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60" windowWidth="29040" windowHeight="15660" tabRatio="886" firstSheet="5" activeTab="5"/>
  </bookViews>
  <sheets>
    <sheet name="modProv" sheetId="529"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et_union" sheetId="225" state="hidden" r:id="rId7"/>
    <sheet name="Список территорий" sheetId="489" r:id="rId8"/>
    <sheet name="Список объектов" sheetId="490" r:id="rId9"/>
    <sheet name="Сценарии" sheetId="491" r:id="rId10"/>
    <sheet name="Баланс" sheetId="492" r:id="rId11"/>
    <sheet name="Реагенты" sheetId="493" r:id="rId12"/>
    <sheet name="ЭЭ" sheetId="494" r:id="rId13"/>
    <sheet name="Амортизация" sheetId="495" r:id="rId14"/>
    <sheet name="Аренда" sheetId="496" r:id="rId15"/>
    <sheet name="Покупка" sheetId="497" r:id="rId16"/>
    <sheet name="Налоги" sheetId="498" r:id="rId17"/>
    <sheet name="ИП + источники" sheetId="499" r:id="rId18"/>
    <sheet name="Экономия_корр" sheetId="500" r:id="rId19"/>
    <sheet name="Плата за негативное возд" sheetId="501" state="veryHidden" r:id="rId20"/>
    <sheet name="Корректировка НВВ" sheetId="502" r:id="rId21"/>
    <sheet name="Калькуляция" sheetId="503" r:id="rId22"/>
    <sheet name="ТМ" sheetId="504" r:id="rId23"/>
    <sheet name="ДПР" sheetId="519" r:id="rId24"/>
    <sheet name="ДПР (концессии)" sheetId="522" r:id="rId25"/>
    <sheet name="TEHSHEET" sheetId="507" state="hidden" r:id="rId26"/>
    <sheet name="Комментарии" sheetId="449" r:id="rId27"/>
    <sheet name="Проверка" sheetId="450" state="hidden" r:id="rId28"/>
    <sheet name="modProvGeneralProc" sheetId="521" state="hidden" r:id="rId29"/>
    <sheet name="REESTR_MO" sheetId="509" state="hidden" r:id="rId30"/>
    <sheet name="REESTR_ORG" sheetId="390" state="hidden" r:id="rId31"/>
    <sheet name="REESTR_TARIFF" sheetId="526" state="hidden" r:id="rId32"/>
    <sheet name="OKOPF" sheetId="511" state="hidden" r:id="rId33"/>
    <sheet name="modfrmRegion" sheetId="485" state="hidden" r:id="rId34"/>
    <sheet name="modfrmSelectTariff" sheetId="527" state="hidden" r:id="rId35"/>
    <sheet name="modHTTP" sheetId="471" state="hidden" r:id="rId36"/>
    <sheet name="modCheckCyan" sheetId="517" state="hidden" r:id="rId37"/>
    <sheet name="modfrmActivity" sheetId="510" state="hidden" r:id="rId38"/>
    <sheet name="modfrmCheckUpdates" sheetId="472" state="hidden" r:id="rId39"/>
    <sheet name="modUpdTemplMain" sheetId="473" state="hidden" r:id="rId40"/>
    <sheet name="modList00" sheetId="475" state="hidden" r:id="rId41"/>
    <sheet name="modThisWorkbook" sheetId="474" state="hidden" r:id="rId42"/>
    <sheet name="modInstruction" sheetId="467" state="hidden" r:id="rId43"/>
    <sheet name="AllSheetsInThisWorkbook" sheetId="389" state="hidden" r:id="rId44"/>
    <sheet name="modHyp" sheetId="398" state="hidden" r:id="rId45"/>
    <sheet name="modfrmReestr" sheetId="451" state="hidden" r:id="rId46"/>
    <sheet name="modReestr" sheetId="452" state="hidden" r:id="rId47"/>
    <sheet name="modList01" sheetId="512" state="hidden" r:id="rId48"/>
    <sheet name="modList02" sheetId="513" state="hidden" r:id="rId49"/>
    <sheet name="modList05" sheetId="514" state="hidden" r:id="rId50"/>
    <sheet name="modList06" sheetId="515" state="hidden" r:id="rId51"/>
    <sheet name="modList09" sheetId="516" state="hidden" r:id="rId52"/>
    <sheet name="modList10" sheetId="518" state="hidden" r:id="rId53"/>
    <sheet name="modList11" sheetId="525" state="hidden" r:id="rId54"/>
    <sheet name="modList16" sheetId="520" state="hidden" r:id="rId55"/>
    <sheet name="modList18" sheetId="523" state="hidden" r:id="rId56"/>
    <sheet name="modList15" sheetId="528" state="hidden" r:id="rId57"/>
  </sheets>
  <definedNames>
    <definedName name="_xlnm._FilterDatabase" localSheetId="27"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et_union!$62:$62</definedName>
    <definedName name="et_List00_go">et_union!$37:$37</definedName>
    <definedName name="et_List00_HAS_DOC2">et_union!$41:$45</definedName>
    <definedName name="et_List00_HAS_DOC3">et_union!$41:$45</definedName>
    <definedName name="et_List00_HAS_DOC4">et_union!$41:$45</definedName>
    <definedName name="et_List00_HAS_DOC5">et_union!$48:$53</definedName>
    <definedName name="et_List00_HAS_DOC6">et_union!$48:$53</definedName>
    <definedName name="et_List00_HAS_DOC7">et_union!$55:$60</definedName>
    <definedName name="et_List00_tariff">et_union!$3:$35</definedName>
    <definedName name="et_List01_mo">et_union!$70:$70</definedName>
    <definedName name="et_List01_tariff">et_union!$66:$68</definedName>
    <definedName name="et_List02_1">et_union!$92:$92</definedName>
    <definedName name="et_List02_obj">et_union!$90:$90</definedName>
    <definedName name="et_List02_tariff_vo">et_union!$83:$88</definedName>
    <definedName name="et_List02_tariff_vs">et_union!$74:$81</definedName>
    <definedName name="et_List03_tariff">et_union!$96:$113</definedName>
    <definedName name="et_List04_tariff_vo">et_union!$174:$201</definedName>
    <definedName name="et_List04_tariff_vo_transp">et_union!$203:$216</definedName>
    <definedName name="et_List04_tariff_vs">et_union!$117:$154</definedName>
    <definedName name="et_List04_tariff_vs_transp">et_union!$156:$172</definedName>
    <definedName name="et_List05_reagent">et_union!$225:$225</definedName>
    <definedName name="et_List05_tariff">et_union!$220:$223</definedName>
    <definedName name="et_List06_tariff">et_union!$229:$241</definedName>
    <definedName name="et_List06_voltage">et_union!$243:$245</definedName>
    <definedName name="et_List06_voltage2">et_union!$247:$253</definedName>
    <definedName name="et_List07_tariff">et_union!$257:$305</definedName>
    <definedName name="et_List08_tariff">et_union!$309:$316</definedName>
    <definedName name="et_List09_org1">et_union!$340:$342</definedName>
    <definedName name="et_List09_org2">et_union!$344:$346</definedName>
    <definedName name="et_List09_org3">et_union!$348:$350</definedName>
    <definedName name="et_List09_org4">et_union!$352:$354</definedName>
    <definedName name="et_List09_org5">et_union!$356:$358</definedName>
    <definedName name="et_List09_tariff">et_union!$320:$338</definedName>
    <definedName name="et_List10_nalog">et_union!$376:$376</definedName>
    <definedName name="et_List10_tariff">et_union!$362:$374</definedName>
    <definedName name="et_List11_tariff">et_union!$380:$403</definedName>
    <definedName name="et_List12_tariff">et_union!$407:$414</definedName>
    <definedName name="et_List13_tariff">et_union!$418:$420</definedName>
    <definedName name="et_List14_tariff">et_union!$424:$457</definedName>
    <definedName name="et_List15_1">et_union!$586:$586</definedName>
    <definedName name="et_List15_tariff">et_union!$461:$584</definedName>
    <definedName name="et_List16_line_d">et_union!$643:$648</definedName>
    <definedName name="et_List16_line_o">et_union!$640:$641</definedName>
    <definedName name="et_List16_line_transp">et_union!$650:$650</definedName>
    <definedName name="et_List16_tariff">et_union!$590:$629</definedName>
    <definedName name="et_List16_tariff_transp">et_union!$631:$638</definedName>
    <definedName name="et_List17_tariff_vo">et_union!$666:$676</definedName>
    <definedName name="et_List17_tariff_vs">et_union!$654:$664</definedName>
    <definedName name="et_List18_block">et_union!$683:$693</definedName>
    <definedName name="et_List18_tariff">et_union!$680:$681</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сведения'!$J$107</definedName>
    <definedName name="hasTranspVS">'Общие сведения'!$I$107</definedName>
    <definedName name="hasVO">'Общие сведения'!$H$107</definedName>
    <definedName name="hasVS">'Общие сведения'!$G$107</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сведения'!$H$7:$H$158</definedName>
    <definedName name="List00_del_tariff_range">'Общие сведения'!$I$113:$I$146</definedName>
    <definedName name="List00_tariff_start">'Общие сведения'!$D$112</definedName>
    <definedName name="List00_vis_flags">'Общие сведения'!$B$112:$B$146</definedName>
    <definedName name="List01_mo_column">'Список территорий'!$N$14:$N$17</definedName>
    <definedName name="List01_mr_column">'Список территорий'!$M$14:$M$17</definedName>
    <definedName name="List02_osn_ekpl_range">'Список объектов'!$N$26:$N$27</definedName>
    <definedName name="List03_vis_flags">Сценарии!$Y$7:$AP$7</definedName>
    <definedName name="List03_vis_flags2">Сценарии!$G$15:$G$35</definedName>
    <definedName name="List04_check_range1">Баланс!$O$16:$AL$67</definedName>
    <definedName name="List04_vis_flags">Баланс!$S$7:$AL$7</definedName>
    <definedName name="List04_vis_flags2">Баланс!$G$14:$G$69</definedName>
    <definedName name="List05_vis_flags">Реагенты!$S$7:$AL$7</definedName>
    <definedName name="List06_vis_flags">ЭЭ!$S$7:$AL$7</definedName>
    <definedName name="List07_vis_flags">Амортизация!$S$7:$AL$7</definedName>
    <definedName name="List08_vis_flags">Аренда!$S$7:$AL$7</definedName>
    <definedName name="List09_vis_flags">Покупка!$S$7:$AL$7</definedName>
    <definedName name="List10_vis_flags">Налоги!$S$7:$AL$7</definedName>
    <definedName name="List11_is_one_block">'ИП + источники'!$N$14</definedName>
    <definedName name="List11_vis_flags">'ИП + источники'!$U$7:$AN$7</definedName>
    <definedName name="List11_vis_flags2">'ИП + источники'!$B$17:$B$65</definedName>
    <definedName name="List12_vis_flags">Экономия_корр!$O$7:$AH$7</definedName>
    <definedName name="List15_vis_flags">Калькуляция!$T$7:$AW$7</definedName>
    <definedName name="List15_vis_flags2">Калькуляция!$C$15:$C$139</definedName>
    <definedName name="List16_vis_flags">ТМ!$Q$7:$AQ$7</definedName>
    <definedName name="List16_vis_flags2">ТМ!$G$14:$G$59</definedName>
    <definedName name="List17_check_range1">ДПР!$Q$16:$Q$28</definedName>
    <definedName name="List17_vis_flags">ДПР!$G$16:$G$28</definedName>
    <definedName name="List18_vis_flags">'ДПР (концессии)'!$G$16:$G$18</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OKOPF!$A$2:$A$96</definedName>
    <definedName name="onlyOneYear">'Общие сведения'!$H$158</definedName>
    <definedName name="org">'Общие сведения'!$E$17</definedName>
    <definedName name="org_declaration">'Общие сведения'!$E$113</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pbStartPageNumber">1</definedName>
    <definedName name="pbUpdatePageNumbering">TRUE</definedName>
    <definedName name="PERIOD">TEHSHEET!$M$8</definedName>
    <definedName name="PERIOD_LENGTH">'Общие сведения'!$H$10</definedName>
    <definedName name="period_list">TEHSHEET!$S$2:$S$9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объектов'!$M$23</definedName>
    <definedName name="pIns_List03_tariff">Сценарии!$M$34</definedName>
    <definedName name="pIns_List04_tariff_vo">Баланс!$L$63</definedName>
    <definedName name="pIns_List04_tariff_vo_transp">Баланс!$L$67</definedName>
    <definedName name="pIns_List04_tariff_vs">Баланс!$L$55</definedName>
    <definedName name="pIns_List04_tariff_vs_transp">Баланс!$L$59</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Налоги!$L$29</definedName>
    <definedName name="pIns_List11_tariff">'ИП + источники'!$L$65</definedName>
    <definedName name="pIns_List12_tariff">Экономия_корр!$L$24</definedName>
    <definedName name="pIns_List13_tariff">'Плата за негативное возд'!$L$15</definedName>
    <definedName name="pIns_List14_tariff">'Корректировка НВВ'!$L$50</definedName>
    <definedName name="pIns_List15_tariff">Калькуляция!$L$139</definedName>
    <definedName name="pIns_List16_tariff">ТМ!$L$55</definedName>
    <definedName name="pIns_List16_tariff_transp">ТМ!$L$59</definedName>
    <definedName name="pins_List17_tariff">ДПР!$L$28</definedName>
    <definedName name="pins_List18_tariff">'ДПР (концессии)'!$L$18</definedName>
    <definedName name="plat_nds">'Общие сведения'!$H$41</definedName>
    <definedName name="REESTR_ORG_RANGE">REESTR_ORG!$A$2:$J$283</definedName>
    <definedName name="REESTR_TARIFF_LIST">REESTR_TARIFF!$A$2:$G$3</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3">Амортизация!$L:$N,Амортизация!$14:$15</definedName>
    <definedName name="_xlnm.Print_Titles" localSheetId="14">Аренда!$L:$N,Аренда!$14:$15</definedName>
    <definedName name="_xlnm.Print_Titles" localSheetId="10">Баланс!$L:$N,Баланс!$15:$16</definedName>
    <definedName name="_xlnm.Print_Titles" localSheetId="23">ДПР!$L:$L,ДПР!$14:$16</definedName>
    <definedName name="_xlnm.Print_Titles" localSheetId="24">'ДПР (концессии)'!$L:$L,'ДПР (концессии)'!$14:$16</definedName>
    <definedName name="_xlnm.Print_Titles" localSheetId="17">'ИП + источники'!$L:$N,'ИП + источники'!$16:$17</definedName>
    <definedName name="_xlnm.Print_Titles" localSheetId="21">Калькуляция!$L:$N,Калькуляция!$14:$15</definedName>
    <definedName name="_xlnm.Print_Titles" localSheetId="20">'Корректировка НВВ'!$L:$N,'Корректировка НВВ'!$14:$15</definedName>
    <definedName name="_xlnm.Print_Titles" localSheetId="16">Налоги!$L:$N,Налоги!$14:$15</definedName>
    <definedName name="_xlnm.Print_Titles" localSheetId="19">'Плата за негативное возд'!$L:$N,'Плата за негативное возд'!$14:$14</definedName>
    <definedName name="_xlnm.Print_Titles" localSheetId="15">Покупка!$L:$N,Покупка!$14:$15</definedName>
    <definedName name="_xlnm.Print_Titles" localSheetId="11">Реагенты!$L:$N,Реагенты!$14:$15</definedName>
    <definedName name="_xlnm.Print_Titles" localSheetId="8">'Список объектов'!$L:$N</definedName>
    <definedName name="_xlnm.Print_Titles" localSheetId="7">'Список территорий'!$14:$14</definedName>
    <definedName name="_xlnm.Print_Titles" localSheetId="9">Сценарии!$L:$N,Сценарии!$14:$15</definedName>
    <definedName name="_xlnm.Print_Titles" localSheetId="22">ТМ!$L:$M,ТМ!$15:$16</definedName>
    <definedName name="_xlnm.Print_Titles" localSheetId="18">Экономия_корр!$L:$N,Экономия_корр!$14:$15</definedName>
    <definedName name="_xlnm.Print_Titles" localSheetId="12">ЭЭ!$L:$N,ЭЭ!$14:$15</definedName>
    <definedName name="_xlnm.Print_Area" localSheetId="5">'Общие сведения'!$E$7:$H$162</definedName>
  </definedNames>
  <calcPr calcId="145621" calcMode="manual"/>
</workbook>
</file>

<file path=xl/calcChain.xml><?xml version="1.0" encoding="utf-8"?>
<calcChain xmlns="http://schemas.openxmlformats.org/spreadsheetml/2006/main">
  <c r="E160" i="488" l="1"/>
  <c r="G160" i="488"/>
  <c r="A1" i="517" l="1"/>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A33" i="517"/>
  <c r="A34" i="517"/>
  <c r="A35" i="517"/>
  <c r="A36" i="517"/>
  <c r="A37" i="517"/>
  <c r="A38" i="517"/>
  <c r="Q473" i="225" l="1"/>
  <c r="P473" i="225"/>
  <c r="O473" i="225"/>
  <c r="R480" i="225"/>
  <c r="Q488" i="225"/>
  <c r="P488" i="225"/>
  <c r="O488" i="225"/>
  <c r="R495" i="225"/>
  <c r="Q503" i="225"/>
  <c r="P503" i="225"/>
  <c r="O503" i="225"/>
  <c r="R506" i="225"/>
  <c r="AL252" i="225"/>
  <c r="AK252" i="225"/>
  <c r="AJ252" i="225"/>
  <c r="AI252" i="225"/>
  <c r="AH252" i="225"/>
  <c r="AG252" i="225"/>
  <c r="AF252" i="225"/>
  <c r="AE252" i="225"/>
  <c r="AD252" i="225"/>
  <c r="AC252" i="225"/>
  <c r="AB252" i="225"/>
  <c r="AA252" i="225"/>
  <c r="Z252" i="225"/>
  <c r="Y252" i="225"/>
  <c r="X252" i="225"/>
  <c r="W252" i="225"/>
  <c r="V252" i="225"/>
  <c r="U252" i="225"/>
  <c r="T252" i="225"/>
  <c r="S252" i="225"/>
  <c r="R252" i="225"/>
  <c r="Q252" i="225"/>
  <c r="P252" i="225"/>
  <c r="O252" i="225"/>
  <c r="AL249" i="225"/>
  <c r="AL247" i="225" s="1"/>
  <c r="AK249" i="225"/>
  <c r="AJ249" i="225"/>
  <c r="AI249" i="225"/>
  <c r="AH249" i="225"/>
  <c r="AG249" i="225"/>
  <c r="AF249" i="225"/>
  <c r="AE249" i="225"/>
  <c r="AE247" i="225" s="1"/>
  <c r="AD249" i="225"/>
  <c r="AD247" i="225" s="1"/>
  <c r="AC249" i="225"/>
  <c r="AB249" i="225"/>
  <c r="AB247" i="225" s="1"/>
  <c r="AA249" i="225"/>
  <c r="AA247" i="225" s="1"/>
  <c r="Z249" i="225"/>
  <c r="Y249" i="225"/>
  <c r="X249" i="225"/>
  <c r="W249" i="225"/>
  <c r="W247" i="225" s="1"/>
  <c r="V249" i="225"/>
  <c r="V247" i="225" s="1"/>
  <c r="U249" i="225"/>
  <c r="T249" i="225"/>
  <c r="T247" i="225" s="1"/>
  <c r="S249" i="225"/>
  <c r="R249" i="225"/>
  <c r="Q249" i="225"/>
  <c r="P249" i="225"/>
  <c r="O249" i="225"/>
  <c r="AJ247" i="225"/>
  <c r="S247" i="225"/>
  <c r="R247" i="225"/>
  <c r="Q247" i="225"/>
  <c r="P247" i="225"/>
  <c r="O247" i="225"/>
  <c r="L247" i="225"/>
  <c r="L253" i="225" s="1"/>
  <c r="A247" i="225"/>
  <c r="A248" i="225" s="1"/>
  <c r="A249" i="225" s="1"/>
  <c r="A250" i="225" s="1"/>
  <c r="A251" i="225" s="1"/>
  <c r="A252" i="225" s="1"/>
  <c r="A253" i="225" s="1"/>
  <c r="P441" i="225"/>
  <c r="B3" i="465"/>
  <c r="X247" i="225" l="1"/>
  <c r="AI247" i="225"/>
  <c r="AG247" i="225"/>
  <c r="Y247" i="225"/>
  <c r="L249" i="225"/>
  <c r="L250" i="225"/>
  <c r="Z247" i="225"/>
  <c r="AH247" i="225"/>
  <c r="L248" i="225"/>
  <c r="AF247" i="225"/>
  <c r="U247" i="225"/>
  <c r="AC247" i="225"/>
  <c r="AK247" i="225"/>
  <c r="L251" i="225"/>
  <c r="L252" i="225"/>
  <c r="B461" i="225" l="1"/>
  <c r="AQ648" i="225"/>
  <c r="AN648" i="225"/>
  <c r="AK648" i="225"/>
  <c r="AH648" i="225"/>
  <c r="AE648" i="225"/>
  <c r="AB648" i="225"/>
  <c r="Y648" i="225"/>
  <c r="V648" i="225"/>
  <c r="S648" i="225"/>
  <c r="P648" i="225"/>
  <c r="AQ647" i="225"/>
  <c r="AN647" i="225"/>
  <c r="AK647" i="225"/>
  <c r="AH647" i="225"/>
  <c r="AE647" i="225"/>
  <c r="AB647" i="225"/>
  <c r="Y647" i="225"/>
  <c r="V647" i="225"/>
  <c r="S647" i="225"/>
  <c r="P647" i="225"/>
  <c r="AQ646" i="225"/>
  <c r="AN646" i="225"/>
  <c r="AK646" i="225"/>
  <c r="AH646" i="225"/>
  <c r="AE646" i="225"/>
  <c r="AB646" i="225"/>
  <c r="Y646" i="225"/>
  <c r="V646" i="225"/>
  <c r="S646" i="225"/>
  <c r="P646" i="225"/>
  <c r="AQ645" i="225"/>
  <c r="AN645" i="225"/>
  <c r="AK645" i="225"/>
  <c r="AH645" i="225"/>
  <c r="AE645" i="225"/>
  <c r="AB645" i="225"/>
  <c r="Y645" i="225"/>
  <c r="V645" i="225"/>
  <c r="S645" i="225"/>
  <c r="P645" i="225"/>
  <c r="AP644" i="225"/>
  <c r="AO644" i="225"/>
  <c r="AQ644" i="225" s="1"/>
  <c r="AM644" i="225"/>
  <c r="AL644" i="225"/>
  <c r="AN644" i="225" s="1"/>
  <c r="AJ644" i="225"/>
  <c r="AI644" i="225"/>
  <c r="AK644" i="225" s="1"/>
  <c r="AG644" i="225"/>
  <c r="AF644" i="225"/>
  <c r="AH644" i="225" s="1"/>
  <c r="AD644" i="225"/>
  <c r="AC644" i="225"/>
  <c r="AE644" i="225" s="1"/>
  <c r="AA644" i="225"/>
  <c r="Z644" i="225"/>
  <c r="AB644" i="225" s="1"/>
  <c r="X644" i="225"/>
  <c r="W644" i="225"/>
  <c r="Y644" i="225" s="1"/>
  <c r="U644" i="225"/>
  <c r="T644" i="225"/>
  <c r="V644" i="225" s="1"/>
  <c r="R644" i="225"/>
  <c r="Q644" i="225"/>
  <c r="S644" i="225" s="1"/>
  <c r="O644" i="225"/>
  <c r="N644" i="225"/>
  <c r="P644" i="225" s="1"/>
  <c r="G643" i="225"/>
  <c r="G644" i="225" s="1"/>
  <c r="G645" i="225" s="1"/>
  <c r="G646" i="225" s="1"/>
  <c r="G647" i="225" s="1"/>
  <c r="G648" i="225" s="1"/>
  <c r="A643" i="225"/>
  <c r="A644" i="225" s="1"/>
  <c r="A645" i="225" s="1"/>
  <c r="A646" i="225" s="1"/>
  <c r="A647" i="225" s="1"/>
  <c r="A648" i="225" s="1"/>
  <c r="AQ641" i="225"/>
  <c r="AN641" i="225"/>
  <c r="AK641" i="225"/>
  <c r="AH641" i="225"/>
  <c r="AE641" i="225"/>
  <c r="AB641" i="225"/>
  <c r="Y641" i="225"/>
  <c r="V641" i="225"/>
  <c r="S641" i="225"/>
  <c r="P641" i="225"/>
  <c r="AQ640" i="225"/>
  <c r="AN640" i="225"/>
  <c r="AK640" i="225"/>
  <c r="AH640" i="225"/>
  <c r="AE640" i="225"/>
  <c r="AB640" i="225"/>
  <c r="Y640" i="225"/>
  <c r="V640" i="225"/>
  <c r="S640" i="225"/>
  <c r="P640" i="225"/>
  <c r="G640" i="225"/>
  <c r="G641" i="225" s="1"/>
  <c r="A640" i="225"/>
  <c r="A641" i="225" s="1"/>
  <c r="A204" i="225"/>
  <c r="A175" i="225"/>
  <c r="A176" i="225" s="1"/>
  <c r="A177" i="225" s="1"/>
  <c r="A178" i="225" s="1"/>
  <c r="A179" i="225" s="1"/>
  <c r="A180" i="225" s="1"/>
  <c r="A157" i="225"/>
  <c r="A118" i="225"/>
  <c r="R586" i="225"/>
  <c r="A586" i="225"/>
  <c r="Q509" i="225"/>
  <c r="P509" i="225"/>
  <c r="O509" i="225"/>
  <c r="AL358" i="225"/>
  <c r="AK358" i="225"/>
  <c r="AJ358" i="225"/>
  <c r="AI358" i="225"/>
  <c r="AH358" i="225"/>
  <c r="AG358" i="225"/>
  <c r="AF358" i="225"/>
  <c r="AE358" i="225"/>
  <c r="AD358" i="225"/>
  <c r="AC358" i="225"/>
  <c r="AB358" i="225"/>
  <c r="AA358" i="225"/>
  <c r="Z358" i="225"/>
  <c r="Y358" i="225"/>
  <c r="X358" i="225"/>
  <c r="W358" i="225"/>
  <c r="V358" i="225"/>
  <c r="U358" i="225"/>
  <c r="T358" i="225"/>
  <c r="S358" i="225"/>
  <c r="R358" i="225"/>
  <c r="Q358" i="225"/>
  <c r="P358" i="225"/>
  <c r="O358" i="225"/>
  <c r="AL354" i="225"/>
  <c r="AK354" i="225"/>
  <c r="AJ354" i="225"/>
  <c r="AI354" i="225"/>
  <c r="AH354" i="225"/>
  <c r="AG354" i="225"/>
  <c r="AF354" i="225"/>
  <c r="AE354" i="225"/>
  <c r="AD354" i="225"/>
  <c r="AC354" i="225"/>
  <c r="AB354" i="225"/>
  <c r="AA354" i="225"/>
  <c r="Z354" i="225"/>
  <c r="Y354" i="225"/>
  <c r="X354" i="225"/>
  <c r="W354" i="225"/>
  <c r="V354" i="225"/>
  <c r="U354" i="225"/>
  <c r="T354" i="225"/>
  <c r="S354" i="225"/>
  <c r="R354" i="225"/>
  <c r="Q354" i="225"/>
  <c r="P354" i="225"/>
  <c r="O354" i="225"/>
  <c r="AL350" i="225"/>
  <c r="AK350" i="225"/>
  <c r="AJ350" i="225"/>
  <c r="AI350" i="225"/>
  <c r="AH350" i="225"/>
  <c r="AG350" i="225"/>
  <c r="AF350" i="225"/>
  <c r="AE350" i="225"/>
  <c r="AD350" i="225"/>
  <c r="AC350" i="225"/>
  <c r="AB350" i="225"/>
  <c r="AA350" i="225"/>
  <c r="Z350" i="225"/>
  <c r="Y350" i="225"/>
  <c r="X350" i="225"/>
  <c r="W350" i="225"/>
  <c r="V350" i="225"/>
  <c r="U350" i="225"/>
  <c r="T350" i="225"/>
  <c r="S350" i="225"/>
  <c r="R350" i="225"/>
  <c r="Q350" i="225"/>
  <c r="P350" i="225"/>
  <c r="O350" i="225"/>
  <c r="AL346" i="225"/>
  <c r="AK346" i="225"/>
  <c r="AJ346" i="225"/>
  <c r="AI346" i="225"/>
  <c r="AH346" i="225"/>
  <c r="AG346" i="225"/>
  <c r="AF346" i="225"/>
  <c r="AE346" i="225"/>
  <c r="AD346" i="225"/>
  <c r="AC346" i="225"/>
  <c r="AB346" i="225"/>
  <c r="AA346" i="225"/>
  <c r="Z346" i="225"/>
  <c r="Y346" i="225"/>
  <c r="X346" i="225"/>
  <c r="W346" i="225"/>
  <c r="V346" i="225"/>
  <c r="U346" i="225"/>
  <c r="T346" i="225"/>
  <c r="S346" i="225"/>
  <c r="R346" i="225"/>
  <c r="Q346" i="225"/>
  <c r="P346" i="225"/>
  <c r="O346" i="225"/>
  <c r="AL342" i="225"/>
  <c r="AK342" i="225"/>
  <c r="AJ342" i="225"/>
  <c r="AI342" i="225"/>
  <c r="AH342" i="225"/>
  <c r="AG342" i="225"/>
  <c r="AF342" i="225"/>
  <c r="AE342" i="225"/>
  <c r="AD342" i="225"/>
  <c r="AC342" i="225"/>
  <c r="AB342" i="225"/>
  <c r="AA342" i="225"/>
  <c r="Z342" i="225"/>
  <c r="Y342" i="225"/>
  <c r="X342" i="225"/>
  <c r="W342" i="225"/>
  <c r="V342" i="225"/>
  <c r="U342" i="225"/>
  <c r="T342" i="225"/>
  <c r="S342" i="225"/>
  <c r="R342" i="225"/>
  <c r="Q342" i="225"/>
  <c r="P342" i="225"/>
  <c r="O342"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7" i="225"/>
  <c r="AK237" i="225"/>
  <c r="AJ237" i="225"/>
  <c r="AI237" i="225"/>
  <c r="AH237" i="225"/>
  <c r="AG237" i="225"/>
  <c r="AF237" i="225"/>
  <c r="AE237" i="225"/>
  <c r="AD237" i="225"/>
  <c r="AC237" i="225"/>
  <c r="AB237" i="225"/>
  <c r="AA237" i="225"/>
  <c r="Z237" i="225"/>
  <c r="Y237" i="225"/>
  <c r="X237" i="225"/>
  <c r="W237" i="225"/>
  <c r="V237" i="225"/>
  <c r="U237" i="225"/>
  <c r="T237" i="225"/>
  <c r="S237" i="225"/>
  <c r="R237" i="225"/>
  <c r="Q237" i="225"/>
  <c r="P237" i="225"/>
  <c r="O237" i="225"/>
  <c r="C570" i="225" l="1"/>
  <c r="C571" i="225"/>
  <c r="O204" i="225"/>
  <c r="O118" i="225"/>
  <c r="O175" i="225"/>
  <c r="A119" i="225"/>
  <c r="A120" i="225" s="1"/>
  <c r="A121" i="225" s="1"/>
  <c r="R509" i="225"/>
  <c r="L666" i="225" l="1"/>
  <c r="R537" i="225"/>
  <c r="L356" i="225"/>
  <c r="L358" i="225" s="1"/>
  <c r="A356" i="225"/>
  <c r="A357" i="225" s="1"/>
  <c r="A358" i="225" s="1"/>
  <c r="F676" i="225"/>
  <c r="F675" i="225"/>
  <c r="F674" i="225"/>
  <c r="F673" i="225"/>
  <c r="F672" i="225"/>
  <c r="F671" i="225"/>
  <c r="F670" i="225"/>
  <c r="F669" i="225"/>
  <c r="F668" i="225"/>
  <c r="F667" i="225"/>
  <c r="A667" i="225"/>
  <c r="A668" i="225" s="1"/>
  <c r="A669" i="225" s="1"/>
  <c r="A670" i="225" s="1"/>
  <c r="A671" i="225" s="1"/>
  <c r="A672" i="225" s="1"/>
  <c r="A673" i="225" s="1"/>
  <c r="A674" i="225" s="1"/>
  <c r="A675" i="225" s="1"/>
  <c r="A676" i="225" s="1"/>
  <c r="G14" i="225"/>
  <c r="L667" i="225" l="1"/>
  <c r="G668" i="225"/>
  <c r="L669" i="225"/>
  <c r="L675" i="225"/>
  <c r="G670" i="225"/>
  <c r="L671" i="225"/>
  <c r="G676" i="225"/>
  <c r="G672" i="225"/>
  <c r="L673" i="225"/>
  <c r="G674" i="225"/>
  <c r="B14" i="225"/>
  <c r="B12" i="225"/>
  <c r="B13" i="225"/>
  <c r="B15" i="225"/>
  <c r="B10" i="225"/>
  <c r="B11" i="225"/>
  <c r="L668" i="225"/>
  <c r="L357" i="225"/>
  <c r="L674" i="225"/>
  <c r="L670" i="225"/>
  <c r="L676" i="225"/>
  <c r="L672" i="225"/>
  <c r="G667" i="225"/>
  <c r="G669" i="225"/>
  <c r="G671" i="225"/>
  <c r="G673" i="225"/>
  <c r="G675" i="225"/>
  <c r="P675" i="225" l="1"/>
  <c r="P672" i="225"/>
  <c r="P674" i="225"/>
  <c r="P676" i="225"/>
  <c r="P668" i="225"/>
  <c r="P670" i="225"/>
  <c r="P669" i="225"/>
  <c r="P671" i="225"/>
  <c r="P667" i="225"/>
  <c r="P673" i="225"/>
  <c r="AQ650" i="225"/>
  <c r="AN650" i="225"/>
  <c r="AK650" i="225"/>
  <c r="AH650" i="225"/>
  <c r="AE650" i="225"/>
  <c r="AB650" i="225"/>
  <c r="Y650" i="225"/>
  <c r="V650" i="225"/>
  <c r="S650" i="225"/>
  <c r="P650" i="225"/>
  <c r="AQ636" i="225"/>
  <c r="AN636" i="225"/>
  <c r="AK636" i="225"/>
  <c r="AH636" i="225"/>
  <c r="AE636" i="225"/>
  <c r="AB636" i="225"/>
  <c r="Y636" i="225"/>
  <c r="V636" i="225"/>
  <c r="S636" i="225"/>
  <c r="P636" i="225"/>
  <c r="AQ635" i="225"/>
  <c r="AN635" i="225"/>
  <c r="AK635" i="225"/>
  <c r="AH635" i="225"/>
  <c r="AE635" i="225"/>
  <c r="AB635" i="225"/>
  <c r="Y635" i="225"/>
  <c r="V635" i="225"/>
  <c r="S635" i="225"/>
  <c r="P635"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5" i="225"/>
  <c r="AN625" i="225"/>
  <c r="AK625" i="225"/>
  <c r="AH625" i="225"/>
  <c r="AE625" i="225"/>
  <c r="AB625" i="225"/>
  <c r="Y625" i="225"/>
  <c r="V625" i="225"/>
  <c r="S625" i="225"/>
  <c r="P625" i="225"/>
  <c r="AQ622" i="225"/>
  <c r="AN622" i="225"/>
  <c r="AK622" i="225"/>
  <c r="AH622" i="225"/>
  <c r="AE622" i="225"/>
  <c r="AB622" i="225"/>
  <c r="Y622" i="225"/>
  <c r="V622" i="225"/>
  <c r="S622" i="225"/>
  <c r="P622" i="225"/>
  <c r="AQ621" i="225"/>
  <c r="AN621" i="225"/>
  <c r="AK621" i="225"/>
  <c r="AH621" i="225"/>
  <c r="AE621" i="225"/>
  <c r="AB621" i="225"/>
  <c r="Y621" i="225"/>
  <c r="V621" i="225"/>
  <c r="S621" i="225"/>
  <c r="P621" i="225"/>
  <c r="AQ619" i="225"/>
  <c r="AN619" i="225"/>
  <c r="AK619" i="225"/>
  <c r="AH619" i="225"/>
  <c r="AE619" i="225"/>
  <c r="AB619" i="225"/>
  <c r="Y619" i="225"/>
  <c r="V619" i="225"/>
  <c r="S619" i="225"/>
  <c r="P619" i="225"/>
  <c r="AQ616" i="225"/>
  <c r="AN616" i="225"/>
  <c r="AK616" i="225"/>
  <c r="AH616" i="225"/>
  <c r="AE616" i="225"/>
  <c r="AB616" i="225"/>
  <c r="Y616" i="225"/>
  <c r="V616" i="225"/>
  <c r="S616" i="225"/>
  <c r="P616" i="225"/>
  <c r="AQ615" i="225"/>
  <c r="AN615" i="225"/>
  <c r="AK615" i="225"/>
  <c r="AH615" i="225"/>
  <c r="AE615" i="225"/>
  <c r="AB615" i="225"/>
  <c r="Y615" i="225"/>
  <c r="V615" i="225"/>
  <c r="S615" i="225"/>
  <c r="P615" i="225"/>
  <c r="AQ613" i="225"/>
  <c r="AN613" i="225"/>
  <c r="AK613" i="225"/>
  <c r="AH613" i="225"/>
  <c r="AE613" i="225"/>
  <c r="AB613" i="225"/>
  <c r="Y613" i="225"/>
  <c r="V613" i="225"/>
  <c r="S613" i="225"/>
  <c r="P613" i="225"/>
  <c r="AQ610" i="225"/>
  <c r="AN610" i="225"/>
  <c r="AK610" i="225"/>
  <c r="AH610" i="225"/>
  <c r="AE610" i="225"/>
  <c r="AB610" i="225"/>
  <c r="Y610" i="225"/>
  <c r="V610" i="225"/>
  <c r="S610" i="225"/>
  <c r="P610" i="225"/>
  <c r="AQ609" i="225"/>
  <c r="AN609" i="225"/>
  <c r="AK609" i="225"/>
  <c r="AH609" i="225"/>
  <c r="AE609" i="225"/>
  <c r="AB609" i="225"/>
  <c r="Y609" i="225"/>
  <c r="V609" i="225"/>
  <c r="S609" i="225"/>
  <c r="P609" i="225"/>
  <c r="AQ607" i="225"/>
  <c r="AN607" i="225"/>
  <c r="AK607" i="225"/>
  <c r="AH607" i="225"/>
  <c r="AE607" i="225"/>
  <c r="AB607" i="225"/>
  <c r="Y607" i="225"/>
  <c r="V607" i="225"/>
  <c r="S607" i="225"/>
  <c r="P607" i="225"/>
  <c r="AN519" i="225"/>
  <c r="AO519" i="225"/>
  <c r="AP519" i="225"/>
  <c r="AQ519" i="225"/>
  <c r="AR519" i="225"/>
  <c r="AS519" i="225"/>
  <c r="AT519" i="225"/>
  <c r="AU519" i="225"/>
  <c r="AV519" i="225"/>
  <c r="AW519" i="225"/>
  <c r="AN520" i="225"/>
  <c r="AO520" i="225"/>
  <c r="AP520" i="225"/>
  <c r="AQ520" i="225"/>
  <c r="AR520" i="225"/>
  <c r="AS520" i="225"/>
  <c r="AT520" i="225"/>
  <c r="AU520" i="225"/>
  <c r="AV520" i="225"/>
  <c r="AW520" i="225"/>
  <c r="AN535" i="225"/>
  <c r="AO535" i="225"/>
  <c r="AP535" i="225"/>
  <c r="AQ535" i="225"/>
  <c r="AR535" i="225"/>
  <c r="AS535" i="225"/>
  <c r="AT535" i="225"/>
  <c r="AU535" i="225"/>
  <c r="AV535" i="225"/>
  <c r="AW535" i="225"/>
  <c r="AN538" i="225"/>
  <c r="AO538" i="225"/>
  <c r="AP538" i="225"/>
  <c r="AQ538" i="225"/>
  <c r="AR538" i="225"/>
  <c r="AS538" i="225"/>
  <c r="AT538" i="225"/>
  <c r="AU538" i="225"/>
  <c r="AV538" i="225"/>
  <c r="AW538" i="225"/>
  <c r="AN539" i="225"/>
  <c r="AN540" i="225"/>
  <c r="AO540" i="225"/>
  <c r="AP540" i="225"/>
  <c r="AQ540" i="225"/>
  <c r="AR540" i="225"/>
  <c r="AS540" i="225"/>
  <c r="AT540" i="225"/>
  <c r="AU540" i="225"/>
  <c r="AV540" i="225"/>
  <c r="AW540" i="225"/>
  <c r="AN541" i="225"/>
  <c r="AO541" i="225"/>
  <c r="AP541" i="225"/>
  <c r="AQ541" i="225"/>
  <c r="AR541" i="225"/>
  <c r="AS541" i="225"/>
  <c r="AT541" i="225"/>
  <c r="AU541" i="225"/>
  <c r="AV541" i="225"/>
  <c r="AW541" i="225"/>
  <c r="AN543" i="225"/>
  <c r="AO543" i="225"/>
  <c r="AP543" i="225"/>
  <c r="AQ543" i="225"/>
  <c r="AR543" i="225"/>
  <c r="AS543" i="225"/>
  <c r="AT543" i="225"/>
  <c r="AU543" i="225"/>
  <c r="AV543" i="225"/>
  <c r="AW543" i="225"/>
  <c r="AN544" i="225"/>
  <c r="AO544" i="225"/>
  <c r="AP544" i="225"/>
  <c r="AQ544" i="225"/>
  <c r="AR544" i="225"/>
  <c r="AS544" i="225"/>
  <c r="AT544" i="225"/>
  <c r="AU544" i="225"/>
  <c r="AV544" i="225"/>
  <c r="AW544" i="225"/>
  <c r="AN545" i="225"/>
  <c r="AO545" i="225"/>
  <c r="AP545" i="225"/>
  <c r="AQ545" i="225"/>
  <c r="AR545" i="225"/>
  <c r="AS545" i="225"/>
  <c r="AT545" i="225"/>
  <c r="AU545" i="225"/>
  <c r="AV545" i="225"/>
  <c r="AW545" i="225"/>
  <c r="AN553" i="225"/>
  <c r="AO553" i="225"/>
  <c r="AP553" i="225"/>
  <c r="AQ553" i="225"/>
  <c r="AR553" i="225"/>
  <c r="AS553" i="225"/>
  <c r="AT553" i="225"/>
  <c r="AU553" i="225"/>
  <c r="AV553" i="225"/>
  <c r="AW553" i="225"/>
  <c r="AN554" i="225"/>
  <c r="AO554" i="225"/>
  <c r="AP554" i="225"/>
  <c r="AQ554" i="225"/>
  <c r="AR554" i="225"/>
  <c r="AS554" i="225"/>
  <c r="AT554" i="225"/>
  <c r="AU554" i="225"/>
  <c r="AV554" i="225"/>
  <c r="AW554" i="225"/>
  <c r="T577" i="225" l="1"/>
  <c r="U577" i="225"/>
  <c r="V577" i="225"/>
  <c r="W577" i="225"/>
  <c r="X577" i="225"/>
  <c r="Y577" i="225"/>
  <c r="Z577" i="225"/>
  <c r="AA577" i="225"/>
  <c r="AB577" i="225"/>
  <c r="AC577" i="225"/>
  <c r="AD577" i="225"/>
  <c r="AE577" i="225"/>
  <c r="AF577" i="225"/>
  <c r="AG577" i="225"/>
  <c r="AH577" i="225"/>
  <c r="AI577" i="225"/>
  <c r="AJ577" i="225"/>
  <c r="AK577" i="225"/>
  <c r="AL577" i="225"/>
  <c r="AM577" i="225"/>
  <c r="S577" i="225"/>
  <c r="Q577" i="225"/>
  <c r="P577" i="225"/>
  <c r="O577" i="225"/>
  <c r="AD97" i="225" l="1"/>
  <c r="AE97" i="225"/>
  <c r="AF97" i="225"/>
  <c r="AG97" i="225"/>
  <c r="AH97" i="225"/>
  <c r="AI97" i="225"/>
  <c r="AJ97" i="225"/>
  <c r="AK97" i="225"/>
  <c r="AL97" i="225"/>
  <c r="AM97" i="225"/>
  <c r="AN97" i="225"/>
  <c r="AO97" i="225"/>
  <c r="AP97" i="225"/>
  <c r="AC97" i="225"/>
  <c r="AB97" i="225"/>
  <c r="AA97" i="225"/>
  <c r="Z97" i="225"/>
  <c r="Y97" i="225"/>
  <c r="U97" i="225"/>
  <c r="T97" i="225"/>
  <c r="S97" i="225"/>
  <c r="U418" i="225"/>
  <c r="T418" i="225"/>
  <c r="S418" i="225"/>
  <c r="R418" i="225"/>
  <c r="Q418" i="225"/>
  <c r="P418" i="225"/>
  <c r="AL333" i="225"/>
  <c r="AK333" i="225"/>
  <c r="AJ333" i="225"/>
  <c r="AI333" i="225"/>
  <c r="AH333" i="225"/>
  <c r="AG333" i="225"/>
  <c r="AF333" i="225"/>
  <c r="AE333" i="225"/>
  <c r="AD333" i="225"/>
  <c r="AC333" i="225"/>
  <c r="AB333" i="225"/>
  <c r="AA333" i="225"/>
  <c r="Z333" i="225"/>
  <c r="Y333" i="225"/>
  <c r="X333" i="225"/>
  <c r="W333" i="225"/>
  <c r="V333" i="225"/>
  <c r="U333" i="225"/>
  <c r="T333" i="225"/>
  <c r="S333" i="225"/>
  <c r="R333" i="225"/>
  <c r="Q333" i="225"/>
  <c r="P333" i="225"/>
  <c r="O333" i="225"/>
  <c r="B2" i="465"/>
  <c r="B382" i="225" l="1"/>
  <c r="B384" i="225"/>
  <c r="B402" i="225"/>
  <c r="B399" i="225"/>
  <c r="B395" i="225"/>
  <c r="B391" i="225"/>
  <c r="B388" i="225"/>
  <c r="B380" i="225"/>
  <c r="B394" i="225"/>
  <c r="B383" i="225"/>
  <c r="B403" i="225"/>
  <c r="B392" i="225"/>
  <c r="B381" i="225"/>
  <c r="B400" i="225"/>
  <c r="B389" i="225"/>
  <c r="B397" i="225"/>
  <c r="B387" i="225"/>
  <c r="B396" i="225"/>
  <c r="B386" i="225"/>
  <c r="B401" i="225"/>
  <c r="B393" i="225"/>
  <c r="B385" i="225"/>
  <c r="B398" i="225"/>
  <c r="B390" i="225"/>
  <c r="F655" i="225"/>
  <c r="R508" i="225"/>
  <c r="Q481" i="225"/>
  <c r="P481" i="225"/>
  <c r="O481" i="225"/>
  <c r="L680" i="225" l="1"/>
  <c r="R571" i="225"/>
  <c r="R570" i="225"/>
  <c r="A92" i="225"/>
  <c r="R507" i="225"/>
  <c r="R505" i="225"/>
  <c r="R504" i="225"/>
  <c r="R503" i="225"/>
  <c r="R502" i="225"/>
  <c r="R501" i="225"/>
  <c r="R500" i="225"/>
  <c r="R499" i="225"/>
  <c r="R497" i="225"/>
  <c r="R494" i="225"/>
  <c r="R493" i="225"/>
  <c r="R492" i="225"/>
  <c r="R491" i="225"/>
  <c r="R490" i="225"/>
  <c r="R489" i="225"/>
  <c r="R485" i="225"/>
  <c r="R484" i="225"/>
  <c r="R483" i="225"/>
  <c r="R482" i="225"/>
  <c r="R479" i="225"/>
  <c r="R478" i="225"/>
  <c r="R477" i="225"/>
  <c r="R476" i="225"/>
  <c r="R475" i="225"/>
  <c r="R474" i="225"/>
  <c r="R472" i="225"/>
  <c r="R470" i="225"/>
  <c r="R468" i="225"/>
  <c r="R467" i="225"/>
  <c r="R466" i="225"/>
  <c r="Q465" i="225"/>
  <c r="P465" i="225"/>
  <c r="O465" i="225"/>
  <c r="R463" i="225"/>
  <c r="A462" i="225"/>
  <c r="A463" i="225" s="1"/>
  <c r="A97" i="225"/>
  <c r="M236" i="225"/>
  <c r="L236" i="225"/>
  <c r="L238" i="225" s="1"/>
  <c r="O207" i="225"/>
  <c r="P207" i="225"/>
  <c r="Q207" i="225"/>
  <c r="R207" i="225"/>
  <c r="S207" i="225"/>
  <c r="T207" i="225"/>
  <c r="U207" i="225"/>
  <c r="V207" i="225"/>
  <c r="W207" i="225"/>
  <c r="X207" i="225"/>
  <c r="Y207" i="225"/>
  <c r="Z207" i="225"/>
  <c r="AA207" i="225"/>
  <c r="AB207" i="225"/>
  <c r="AC207" i="225"/>
  <c r="AD207" i="225"/>
  <c r="AE207" i="225"/>
  <c r="AF207" i="225"/>
  <c r="AG207" i="225"/>
  <c r="AH207" i="225"/>
  <c r="AI207" i="225"/>
  <c r="AJ207" i="225"/>
  <c r="AK207" i="225"/>
  <c r="AL207" i="225"/>
  <c r="A683" i="225"/>
  <c r="A684" i="225" s="1"/>
  <c r="A685" i="225" s="1"/>
  <c r="A686" i="225" s="1"/>
  <c r="A687" i="225" s="1"/>
  <c r="A688" i="225" s="1"/>
  <c r="A689" i="225" s="1"/>
  <c r="A690" i="225" s="1"/>
  <c r="A691" i="225" s="1"/>
  <c r="A692" i="225" s="1"/>
  <c r="A693" i="225" s="1"/>
  <c r="F693" i="225"/>
  <c r="L693" i="225" s="1"/>
  <c r="F692" i="225"/>
  <c r="L692" i="225" s="1"/>
  <c r="F691" i="225"/>
  <c r="L691" i="225" s="1"/>
  <c r="F690" i="225"/>
  <c r="L690" i="225" s="1"/>
  <c r="F689" i="225"/>
  <c r="L689" i="225" s="1"/>
  <c r="F688" i="225"/>
  <c r="L688" i="225" s="1"/>
  <c r="F687" i="225"/>
  <c r="L687" i="225" s="1"/>
  <c r="F686" i="225"/>
  <c r="L686" i="225" s="1"/>
  <c r="F685" i="225"/>
  <c r="L685" i="225" s="1"/>
  <c r="F684" i="225"/>
  <c r="L684" i="225" s="1"/>
  <c r="A681" i="225"/>
  <c r="F664" i="225"/>
  <c r="F663" i="225"/>
  <c r="F662" i="225"/>
  <c r="F661" i="225"/>
  <c r="F660" i="225"/>
  <c r="F659" i="225"/>
  <c r="F658" i="225"/>
  <c r="F657" i="225"/>
  <c r="F656" i="225"/>
  <c r="G655" i="225"/>
  <c r="A591" i="225"/>
  <c r="A35" i="225"/>
  <c r="G35" i="225" s="1"/>
  <c r="A34" i="225"/>
  <c r="G34" i="225" s="1"/>
  <c r="A33" i="225"/>
  <c r="A32" i="225"/>
  <c r="G32" i="225" s="1"/>
  <c r="A31" i="225"/>
  <c r="G31" i="225" s="1"/>
  <c r="A30" i="225"/>
  <c r="G30" i="225" s="1"/>
  <c r="A29" i="225"/>
  <c r="A28" i="225"/>
  <c r="G28" i="225" s="1"/>
  <c r="A27" i="225"/>
  <c r="G27" i="225" s="1"/>
  <c r="A26" i="225"/>
  <c r="G26" i="225" s="1"/>
  <c r="A25" i="225"/>
  <c r="G25" i="225" s="1"/>
  <c r="A24" i="225"/>
  <c r="G24" i="225" s="1"/>
  <c r="A23" i="225"/>
  <c r="G23" i="225" s="1"/>
  <c r="A22" i="225"/>
  <c r="G22" i="225" s="1"/>
  <c r="A21" i="225"/>
  <c r="G21" i="225" s="1"/>
  <c r="A20" i="225"/>
  <c r="G20" i="225" s="1"/>
  <c r="A19" i="225"/>
  <c r="A18" i="225"/>
  <c r="G18" i="225" s="1"/>
  <c r="A17" i="225"/>
  <c r="G17" i="225" s="1"/>
  <c r="A16" i="225"/>
  <c r="G16" i="225" s="1"/>
  <c r="P382" i="225"/>
  <c r="Q382" i="225"/>
  <c r="R382" i="225"/>
  <c r="S382" i="225"/>
  <c r="T382" i="225"/>
  <c r="U382" i="225"/>
  <c r="V382" i="225"/>
  <c r="W382" i="225"/>
  <c r="X382" i="225"/>
  <c r="Y382" i="225"/>
  <c r="Z382" i="225"/>
  <c r="AA382" i="225"/>
  <c r="AB382" i="225"/>
  <c r="AC382" i="225"/>
  <c r="AD382" i="225"/>
  <c r="AE382" i="225"/>
  <c r="AF382" i="225"/>
  <c r="AG382" i="225"/>
  <c r="AH382" i="225"/>
  <c r="AI382" i="225"/>
  <c r="AJ382" i="225"/>
  <c r="AK382" i="225"/>
  <c r="AL382" i="225"/>
  <c r="AM382" i="225"/>
  <c r="AN382" i="225"/>
  <c r="O382" i="225"/>
  <c r="L662" i="225" l="1"/>
  <c r="G661" i="225"/>
  <c r="L663" i="225"/>
  <c r="G656" i="225"/>
  <c r="G664" i="225"/>
  <c r="L657" i="225"/>
  <c r="G660" i="225"/>
  <c r="L658" i="225"/>
  <c r="G659" i="225"/>
  <c r="R473" i="225"/>
  <c r="R465" i="225"/>
  <c r="A464" i="225"/>
  <c r="A465" i="225" s="1"/>
  <c r="A466" i="225" s="1"/>
  <c r="A467" i="225" s="1"/>
  <c r="A468" i="225" s="1"/>
  <c r="A469" i="225" s="1"/>
  <c r="A470" i="225" s="1"/>
  <c r="A471" i="225" s="1"/>
  <c r="A472" i="225" s="1"/>
  <c r="A473" i="225" s="1"/>
  <c r="A474" i="225" s="1"/>
  <c r="A475" i="225" s="1"/>
  <c r="A476" i="225" s="1"/>
  <c r="A477" i="225" s="1"/>
  <c r="A478" i="225" s="1"/>
  <c r="A479" i="225" s="1"/>
  <c r="R488" i="225"/>
  <c r="L237" i="225"/>
  <c r="L664" i="225"/>
  <c r="G663" i="225"/>
  <c r="L661" i="225"/>
  <c r="G662" i="225"/>
  <c r="G684" i="225"/>
  <c r="G686" i="225"/>
  <c r="G688" i="225"/>
  <c r="G690" i="225"/>
  <c r="G692" i="225"/>
  <c r="G685" i="225"/>
  <c r="G687" i="225"/>
  <c r="G689" i="225"/>
  <c r="G691" i="225"/>
  <c r="G693" i="225"/>
  <c r="L660" i="225"/>
  <c r="L656" i="225"/>
  <c r="L659" i="225"/>
  <c r="L655" i="225"/>
  <c r="G658" i="225"/>
  <c r="G657" i="225"/>
  <c r="N591" i="225"/>
  <c r="A592" i="225"/>
  <c r="F590" i="225"/>
  <c r="N590" i="225"/>
  <c r="G19" i="225"/>
  <c r="G29" i="225"/>
  <c r="G33" i="225"/>
  <c r="A481" i="225" l="1"/>
  <c r="A482" i="225" s="1"/>
  <c r="A483" i="225" s="1"/>
  <c r="A484" i="225" s="1"/>
  <c r="A485" i="225" s="1"/>
  <c r="A486" i="225" s="1"/>
  <c r="A487" i="225" s="1"/>
  <c r="A488" i="225" s="1"/>
  <c r="A489" i="225" s="1"/>
  <c r="A490" i="225" s="1"/>
  <c r="A491" i="225" s="1"/>
  <c r="A492" i="225" s="1"/>
  <c r="A493" i="225" s="1"/>
  <c r="A494" i="225" s="1"/>
  <c r="A480" i="225"/>
  <c r="G603" i="225"/>
  <c r="G629" i="225"/>
  <c r="G627" i="225"/>
  <c r="G619" i="225"/>
  <c r="G625" i="225"/>
  <c r="G617" i="225"/>
  <c r="G624" i="225"/>
  <c r="G623" i="225"/>
  <c r="G621" i="225"/>
  <c r="G628" i="225"/>
  <c r="G620" i="225"/>
  <c r="G626" i="225"/>
  <c r="G618" i="225"/>
  <c r="G622" i="225"/>
  <c r="G610" i="225"/>
  <c r="G607" i="225"/>
  <c r="G606" i="225"/>
  <c r="G597" i="225"/>
  <c r="G596" i="225"/>
  <c r="G595" i="225"/>
  <c r="G616" i="225"/>
  <c r="G615" i="225"/>
  <c r="G614" i="225"/>
  <c r="G612" i="225"/>
  <c r="G605" i="225"/>
  <c r="G601" i="225"/>
  <c r="G600" i="225"/>
  <c r="G599" i="225"/>
  <c r="G598" i="225"/>
  <c r="G594" i="225"/>
  <c r="G611" i="225"/>
  <c r="G609" i="225"/>
  <c r="G608" i="225"/>
  <c r="G604" i="225"/>
  <c r="G602" i="225"/>
  <c r="G613" i="225"/>
  <c r="N592" i="225"/>
  <c r="A593" i="225"/>
  <c r="A496" i="225" l="1"/>
  <c r="A497" i="225" s="1"/>
  <c r="A498" i="225" s="1"/>
  <c r="A499" i="225" s="1"/>
  <c r="A500" i="225" s="1"/>
  <c r="A501" i="225" s="1"/>
  <c r="A502" i="225" s="1"/>
  <c r="A503" i="225" s="1"/>
  <c r="A504" i="225" s="1"/>
  <c r="A505" i="225" s="1"/>
  <c r="A495" i="225"/>
  <c r="A594" i="225"/>
  <c r="A595" i="225" s="1"/>
  <c r="N593" i="225"/>
  <c r="A507" i="225" l="1"/>
  <c r="A508" i="225" s="1"/>
  <c r="A506" i="225"/>
  <c r="A596" i="225"/>
  <c r="A512" i="225" l="1"/>
  <c r="A513" i="225" s="1"/>
  <c r="A509" i="225"/>
  <c r="A510" i="225" s="1"/>
  <c r="A511" i="225" s="1"/>
  <c r="A597" i="225"/>
  <c r="A598" i="225" s="1"/>
  <c r="G8" i="225"/>
  <c r="N3" i="225"/>
  <c r="M3" i="225"/>
  <c r="L3" i="225"/>
  <c r="K3" i="225"/>
  <c r="G3" i="225"/>
  <c r="J3" i="225" s="1"/>
  <c r="A599" i="225" l="1"/>
  <c r="L407" i="225"/>
  <c r="L96" i="225"/>
  <c r="L380" i="225"/>
  <c r="L203" i="225"/>
  <c r="L83" i="225"/>
  <c r="L309" i="225"/>
  <c r="L424" i="225"/>
  <c r="L418" i="225"/>
  <c r="L117" i="225"/>
  <c r="L362" i="225"/>
  <c r="L74" i="225"/>
  <c r="L320" i="225"/>
  <c r="L174" i="225"/>
  <c r="L66" i="225"/>
  <c r="L461" i="225"/>
  <c r="L257" i="225"/>
  <c r="L156" i="225"/>
  <c r="L229" i="225"/>
  <c r="L220" i="225"/>
  <c r="L654" i="225"/>
  <c r="A419" i="225"/>
  <c r="O419" i="225" s="1"/>
  <c r="V419" i="225" l="1"/>
  <c r="A600" i="225"/>
  <c r="A601" i="225" l="1"/>
  <c r="A602" i="225" s="1"/>
  <c r="A603" i="225" s="1"/>
  <c r="A604" i="225" s="1"/>
  <c r="W113" i="225"/>
  <c r="V113" i="225"/>
  <c r="W112" i="225"/>
  <c r="V112" i="225"/>
  <c r="W111" i="225"/>
  <c r="V111" i="225"/>
  <c r="W110" i="225"/>
  <c r="V110" i="225"/>
  <c r="W109" i="225"/>
  <c r="V109" i="225"/>
  <c r="W108" i="225"/>
  <c r="V108" i="225"/>
  <c r="W107" i="225"/>
  <c r="V107" i="225"/>
  <c r="W106" i="225"/>
  <c r="V106" i="225"/>
  <c r="W104" i="225"/>
  <c r="V104" i="225"/>
  <c r="W103" i="225"/>
  <c r="V103" i="225"/>
  <c r="W101" i="225"/>
  <c r="V101" i="225"/>
  <c r="W100" i="225"/>
  <c r="V100" i="225"/>
  <c r="W99" i="225"/>
  <c r="V99" i="225"/>
  <c r="W98" i="225"/>
  <c r="V98" i="225"/>
  <c r="A98" i="225"/>
  <c r="A99" i="225" s="1"/>
  <c r="A100" i="225" s="1"/>
  <c r="A101" i="225" s="1"/>
  <c r="A102" i="225" s="1"/>
  <c r="A103" i="225" s="1"/>
  <c r="A104" i="225" s="1"/>
  <c r="A105" i="225" s="1"/>
  <c r="A106" i="225" s="1"/>
  <c r="A107" i="225" s="1"/>
  <c r="A108" i="225" s="1"/>
  <c r="A109" i="225" s="1"/>
  <c r="A110" i="225" s="1"/>
  <c r="A111" i="225" s="1"/>
  <c r="A112" i="225" s="1"/>
  <c r="A113" i="225" s="1"/>
  <c r="A605" i="225" l="1"/>
  <c r="A606" i="225" s="1"/>
  <c r="A607" i="225" s="1"/>
  <c r="A608" i="225" s="1"/>
  <c r="A609" i="225" l="1"/>
  <c r="A610" i="225" s="1"/>
  <c r="A611" i="225" s="1"/>
  <c r="A612" i="225" s="1"/>
  <c r="A613" i="225" s="1"/>
  <c r="A614" i="225" s="1"/>
  <c r="A650" i="225"/>
  <c r="A615" i="225" l="1"/>
  <c r="A616" i="225" s="1"/>
  <c r="A617" i="225" s="1"/>
  <c r="A618" i="225" s="1"/>
  <c r="A619" i="225" s="1"/>
  <c r="A620" i="225" s="1"/>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7" i="225"/>
  <c r="AK327" i="225"/>
  <c r="AJ327" i="225"/>
  <c r="AI327" i="225"/>
  <c r="AH327" i="225"/>
  <c r="AG327" i="225"/>
  <c r="AF327" i="225"/>
  <c r="AE327" i="225"/>
  <c r="AD327" i="225"/>
  <c r="AC327" i="225"/>
  <c r="AB327" i="225"/>
  <c r="AA327" i="225"/>
  <c r="Z327" i="225"/>
  <c r="Y327" i="225"/>
  <c r="X327" i="225"/>
  <c r="W327" i="225"/>
  <c r="V327" i="225"/>
  <c r="U327" i="225"/>
  <c r="T327" i="225"/>
  <c r="S327" i="225"/>
  <c r="R327" i="225"/>
  <c r="Q327" i="225"/>
  <c r="P327" i="225"/>
  <c r="O327" i="225"/>
  <c r="AL324" i="225"/>
  <c r="AK324" i="225"/>
  <c r="AJ324" i="225"/>
  <c r="AI324" i="225"/>
  <c r="AH324" i="225"/>
  <c r="AG324" i="225"/>
  <c r="AF324" i="225"/>
  <c r="AE324" i="225"/>
  <c r="AD324" i="225"/>
  <c r="AC324" i="225"/>
  <c r="AB324" i="225"/>
  <c r="AA324" i="225"/>
  <c r="Z324" i="225"/>
  <c r="Y324" i="225"/>
  <c r="X324" i="225"/>
  <c r="W324" i="225"/>
  <c r="V324" i="225"/>
  <c r="U324" i="225"/>
  <c r="T324" i="225"/>
  <c r="S324" i="225"/>
  <c r="R324" i="225"/>
  <c r="Q324" i="225"/>
  <c r="P324" i="225"/>
  <c r="O324" i="225"/>
  <c r="AL321" i="225"/>
  <c r="AL320" i="225" s="1"/>
  <c r="AK321" i="225"/>
  <c r="AK320" i="225" s="1"/>
  <c r="AJ321" i="225"/>
  <c r="AJ320" i="225" s="1"/>
  <c r="AI321" i="225"/>
  <c r="AI320" i="225" s="1"/>
  <c r="AH321" i="225"/>
  <c r="AH320" i="225" s="1"/>
  <c r="AG321" i="225"/>
  <c r="AF321" i="225"/>
  <c r="AF320" i="225" s="1"/>
  <c r="AE321" i="225"/>
  <c r="AE320" i="225" s="1"/>
  <c r="AD321" i="225"/>
  <c r="AD320" i="225" s="1"/>
  <c r="AC321" i="225"/>
  <c r="AC320" i="225" s="1"/>
  <c r="AB321" i="225"/>
  <c r="AB320" i="225" s="1"/>
  <c r="AA321" i="225"/>
  <c r="AA320" i="225" s="1"/>
  <c r="Z321" i="225"/>
  <c r="Y321" i="225"/>
  <c r="Y320" i="225" s="1"/>
  <c r="X321" i="225"/>
  <c r="W321" i="225"/>
  <c r="W320" i="225" s="1"/>
  <c r="V321" i="225"/>
  <c r="U321" i="225"/>
  <c r="U320" i="225" s="1"/>
  <c r="T321" i="225"/>
  <c r="T320" i="225" s="1"/>
  <c r="S321" i="225"/>
  <c r="S320" i="225" s="1"/>
  <c r="R321" i="225"/>
  <c r="R320" i="225" s="1"/>
  <c r="Q321" i="225"/>
  <c r="Q320" i="225" s="1"/>
  <c r="P321" i="225"/>
  <c r="P320" i="225" s="1"/>
  <c r="O321" i="225"/>
  <c r="O320" i="225" s="1"/>
  <c r="A655" i="225"/>
  <c r="AP637" i="225"/>
  <c r="AO637" i="225"/>
  <c r="AM637" i="225"/>
  <c r="AL637" i="225"/>
  <c r="AJ637" i="225"/>
  <c r="AI637" i="225"/>
  <c r="AG637" i="225"/>
  <c r="AF637" i="225"/>
  <c r="AD637" i="225"/>
  <c r="AC637" i="225"/>
  <c r="AA637" i="225"/>
  <c r="Z637" i="225"/>
  <c r="X637" i="225"/>
  <c r="W637" i="225"/>
  <c r="U637" i="225"/>
  <c r="T637" i="225"/>
  <c r="R637" i="225"/>
  <c r="Q637" i="225"/>
  <c r="O637" i="225"/>
  <c r="N637" i="225"/>
  <c r="A632" i="225"/>
  <c r="N631" i="225"/>
  <c r="N667" i="225" l="1"/>
  <c r="P655" i="225"/>
  <c r="N655" i="225"/>
  <c r="N672" i="225"/>
  <c r="N670" i="225"/>
  <c r="N676" i="225"/>
  <c r="N668" i="225"/>
  <c r="N675" i="225"/>
  <c r="N674" i="225"/>
  <c r="N673" i="225"/>
  <c r="N669" i="225"/>
  <c r="N671" i="225"/>
  <c r="Q670" i="225"/>
  <c r="Q668" i="225"/>
  <c r="Q674" i="225"/>
  <c r="Q676" i="225"/>
  <c r="Q675" i="225"/>
  <c r="Q667" i="225"/>
  <c r="Q673" i="225"/>
  <c r="Q671" i="225"/>
  <c r="Q669" i="225"/>
  <c r="Q672" i="225"/>
  <c r="Q655" i="225"/>
  <c r="Z320" i="225"/>
  <c r="X320" i="225"/>
  <c r="AG320" i="225"/>
  <c r="V320" i="225"/>
  <c r="A656" i="225"/>
  <c r="P656" i="225" s="1"/>
  <c r="Q498" i="225"/>
  <c r="P486" i="225"/>
  <c r="O498" i="225"/>
  <c r="O496" i="225" s="1"/>
  <c r="O487" i="225" s="1"/>
  <c r="O471" i="225"/>
  <c r="O469" i="225" s="1"/>
  <c r="O464" i="225" s="1"/>
  <c r="O462" i="225" s="1"/>
  <c r="P471" i="225"/>
  <c r="P469" i="225" s="1"/>
  <c r="Q471" i="225"/>
  <c r="Q486" i="225"/>
  <c r="P498" i="225"/>
  <c r="P496" i="225" s="1"/>
  <c r="P487" i="225" s="1"/>
  <c r="O486" i="225"/>
  <c r="V463" i="225"/>
  <c r="AM463" i="225"/>
  <c r="AH463" i="225"/>
  <c r="AI463" i="225"/>
  <c r="AB463" i="225"/>
  <c r="AC463" i="225"/>
  <c r="X463" i="225"/>
  <c r="AD463" i="225"/>
  <c r="W463" i="225"/>
  <c r="S463" i="225"/>
  <c r="Y463" i="225"/>
  <c r="AJ463" i="225"/>
  <c r="AK463" i="225"/>
  <c r="T463" i="225"/>
  <c r="AE463" i="225"/>
  <c r="AF463" i="225"/>
  <c r="AL463" i="225"/>
  <c r="Z463" i="225"/>
  <c r="AA463" i="225"/>
  <c r="AG463" i="225"/>
  <c r="U463" i="225"/>
  <c r="A621" i="225"/>
  <c r="A622" i="225" s="1"/>
  <c r="A623" i="225" s="1"/>
  <c r="A624" i="225" s="1"/>
  <c r="A625" i="225" s="1"/>
  <c r="A626" i="225" s="1"/>
  <c r="A633" i="225"/>
  <c r="N632" i="225"/>
  <c r="AP602" i="225" l="1"/>
  <c r="AF602" i="225"/>
  <c r="AH602" i="225" s="1"/>
  <c r="N602" i="225"/>
  <c r="P602" i="225" s="1"/>
  <c r="AL602" i="225"/>
  <c r="AN602" i="225" s="1"/>
  <c r="R602" i="225"/>
  <c r="R598" i="225"/>
  <c r="X602" i="225"/>
  <c r="X598" i="225"/>
  <c r="AD602" i="225"/>
  <c r="U598" i="225"/>
  <c r="AD598" i="225"/>
  <c r="AI602" i="225"/>
  <c r="AK602" i="225" s="1"/>
  <c r="AJ598" i="225"/>
  <c r="AO602" i="225"/>
  <c r="AQ602" i="225" s="1"/>
  <c r="Z602" i="225"/>
  <c r="AB602" i="225" s="1"/>
  <c r="AP598" i="225"/>
  <c r="O602" i="225"/>
  <c r="Q602" i="225"/>
  <c r="S602" i="225" s="1"/>
  <c r="AG598" i="225"/>
  <c r="Q598" i="225"/>
  <c r="S598" i="225" s="1"/>
  <c r="W602" i="225"/>
  <c r="Y602" i="225" s="1"/>
  <c r="AA602" i="225"/>
  <c r="AC602" i="225"/>
  <c r="AE602" i="225" s="1"/>
  <c r="AA598" i="225"/>
  <c r="AC598" i="225"/>
  <c r="AE598" i="225" s="1"/>
  <c r="AG602" i="225"/>
  <c r="AJ602" i="225"/>
  <c r="AM602" i="225"/>
  <c r="AM598" i="225"/>
  <c r="AO598" i="225"/>
  <c r="T598" i="225"/>
  <c r="V598" i="225" s="1"/>
  <c r="W598" i="225"/>
  <c r="Z598" i="225"/>
  <c r="AB598" i="225" s="1"/>
  <c r="T602" i="225"/>
  <c r="V602" i="225" s="1"/>
  <c r="U602" i="225"/>
  <c r="AF598" i="225"/>
  <c r="AI598" i="225"/>
  <c r="AK598" i="225" s="1"/>
  <c r="AL598" i="225"/>
  <c r="AN598" i="225" s="1"/>
  <c r="Q656" i="225"/>
  <c r="N656" i="225"/>
  <c r="AI614" i="225"/>
  <c r="AK614" i="225" s="1"/>
  <c r="AC620" i="225"/>
  <c r="AE620" i="225" s="1"/>
  <c r="AA620" i="225"/>
  <c r="AA618" i="225" s="1"/>
  <c r="Z620" i="225"/>
  <c r="AB620" i="225" s="1"/>
  <c r="AF614" i="225"/>
  <c r="AH614" i="225" s="1"/>
  <c r="W614" i="225"/>
  <c r="Y614" i="225" s="1"/>
  <c r="R608" i="225"/>
  <c r="R606" i="225" s="1"/>
  <c r="T608" i="225"/>
  <c r="T606" i="225" s="1"/>
  <c r="V606" i="225" s="1"/>
  <c r="T620" i="225"/>
  <c r="V620" i="225" s="1"/>
  <c r="R620" i="225"/>
  <c r="R618" i="225" s="1"/>
  <c r="AI620" i="225"/>
  <c r="AK620" i="225" s="1"/>
  <c r="AJ614" i="225"/>
  <c r="AJ612" i="225" s="1"/>
  <c r="AC614" i="225"/>
  <c r="AE614" i="225" s="1"/>
  <c r="AL608" i="225"/>
  <c r="AL606" i="225" s="1"/>
  <c r="AN606" i="225" s="1"/>
  <c r="Z608" i="225"/>
  <c r="Z606" i="225" s="1"/>
  <c r="AB606" i="225" s="1"/>
  <c r="AD620" i="225"/>
  <c r="AD618" i="225" s="1"/>
  <c r="W620" i="225"/>
  <c r="Y620" i="225" s="1"/>
  <c r="AG614" i="225"/>
  <c r="AG612" i="225" s="1"/>
  <c r="O614" i="225"/>
  <c r="O612" i="225" s="1"/>
  <c r="U608" i="225"/>
  <c r="U606" i="225" s="1"/>
  <c r="AA608" i="225"/>
  <c r="AA606" i="225" s="1"/>
  <c r="AI608" i="225"/>
  <c r="AI606" i="225" s="1"/>
  <c r="AK606" i="225" s="1"/>
  <c r="AO620" i="225"/>
  <c r="AQ620" i="225" s="1"/>
  <c r="AF620" i="225"/>
  <c r="AH620" i="225" s="1"/>
  <c r="AD614" i="225"/>
  <c r="AD612" i="225" s="1"/>
  <c r="X614" i="225"/>
  <c r="X612" i="225" s="1"/>
  <c r="AC608" i="225"/>
  <c r="AC606" i="225" s="1"/>
  <c r="AE606" i="225" s="1"/>
  <c r="AD608" i="225"/>
  <c r="AD606" i="225" s="1"/>
  <c r="AF608" i="225"/>
  <c r="AH608" i="225" s="1"/>
  <c r="Q620" i="225"/>
  <c r="S620" i="225" s="1"/>
  <c r="O620" i="225"/>
  <c r="O618" i="225" s="1"/>
  <c r="Q614" i="225"/>
  <c r="S614" i="225" s="1"/>
  <c r="AA614" i="225"/>
  <c r="AA612" i="225" s="1"/>
  <c r="Q608" i="225"/>
  <c r="S608" i="225" s="1"/>
  <c r="AM608" i="225"/>
  <c r="AM606" i="225" s="1"/>
  <c r="T614" i="225"/>
  <c r="V614" i="225" s="1"/>
  <c r="AM620" i="225"/>
  <c r="AM618" i="225" s="1"/>
  <c r="X620" i="225"/>
  <c r="X618" i="225" s="1"/>
  <c r="AP614" i="225"/>
  <c r="AP612" i="225" s="1"/>
  <c r="N614" i="225"/>
  <c r="P614" i="225" s="1"/>
  <c r="W608" i="225"/>
  <c r="W606" i="225" s="1"/>
  <c r="Y606" i="225" s="1"/>
  <c r="AP608" i="225"/>
  <c r="AP606" i="225" s="1"/>
  <c r="AM614" i="225"/>
  <c r="AM612" i="225" s="1"/>
  <c r="N620" i="225"/>
  <c r="P620" i="225" s="1"/>
  <c r="U620" i="225"/>
  <c r="U618" i="225" s="1"/>
  <c r="AG620" i="225"/>
  <c r="AG618" i="225" s="1"/>
  <c r="U614" i="225"/>
  <c r="U612" i="225" s="1"/>
  <c r="AO614" i="225"/>
  <c r="AQ614" i="225" s="1"/>
  <c r="AO608" i="225"/>
  <c r="AQ608" i="225" s="1"/>
  <c r="AJ608" i="225"/>
  <c r="AJ606" i="225" s="1"/>
  <c r="R614" i="225"/>
  <c r="R612" i="225" s="1"/>
  <c r="AL620" i="225"/>
  <c r="AN620" i="225" s="1"/>
  <c r="AP620" i="225"/>
  <c r="AP618" i="225" s="1"/>
  <c r="AJ620" i="225"/>
  <c r="AJ618" i="225" s="1"/>
  <c r="Z614" i="225"/>
  <c r="AB614" i="225" s="1"/>
  <c r="AL614" i="225"/>
  <c r="AN614" i="225" s="1"/>
  <c r="X608" i="225"/>
  <c r="X606" i="225" s="1"/>
  <c r="AG608" i="225"/>
  <c r="AG606" i="225" s="1"/>
  <c r="AI626" i="225"/>
  <c r="AK626" i="225" s="1"/>
  <c r="Z626" i="225"/>
  <c r="AB626" i="225" s="1"/>
  <c r="O626" i="225"/>
  <c r="O624" i="225" s="1"/>
  <c r="AP626" i="225"/>
  <c r="AP624" i="225" s="1"/>
  <c r="AG626" i="225"/>
  <c r="AG624" i="225" s="1"/>
  <c r="X626" i="225"/>
  <c r="X624" i="225" s="1"/>
  <c r="T626" i="225"/>
  <c r="V626" i="225" s="1"/>
  <c r="AO626" i="225"/>
  <c r="AQ626" i="225" s="1"/>
  <c r="AF626" i="225"/>
  <c r="AH626" i="225" s="1"/>
  <c r="W626" i="225"/>
  <c r="Y626" i="225" s="1"/>
  <c r="AL626" i="225"/>
  <c r="AN626" i="225" s="1"/>
  <c r="Q626" i="225"/>
  <c r="S626" i="225" s="1"/>
  <c r="AM626" i="225"/>
  <c r="AM624" i="225" s="1"/>
  <c r="AD626" i="225"/>
  <c r="AD624" i="225" s="1"/>
  <c r="U626" i="225"/>
  <c r="U624" i="225" s="1"/>
  <c r="AC626" i="225"/>
  <c r="AE626" i="225" s="1"/>
  <c r="AJ626" i="225"/>
  <c r="AJ624" i="225" s="1"/>
  <c r="R626" i="225"/>
  <c r="R624" i="225" s="1"/>
  <c r="AA626" i="225"/>
  <c r="AA624" i="225" s="1"/>
  <c r="N626" i="225"/>
  <c r="P626" i="225" s="1"/>
  <c r="AC600" i="225"/>
  <c r="AE600" i="225" s="1"/>
  <c r="R595" i="225"/>
  <c r="R597" i="225" s="1"/>
  <c r="O608" i="225"/>
  <c r="O606" i="225" s="1"/>
  <c r="AA600" i="225"/>
  <c r="U595" i="225"/>
  <c r="U597" i="225" s="1"/>
  <c r="AF599" i="225"/>
  <c r="AF601" i="225" s="1"/>
  <c r="AP599" i="225"/>
  <c r="AP601" i="225" s="1"/>
  <c r="AJ596" i="225"/>
  <c r="AI600" i="225"/>
  <c r="AK600" i="225" s="1"/>
  <c r="Y598" i="225"/>
  <c r="R600" i="225"/>
  <c r="N599" i="225"/>
  <c r="N601" i="225" s="1"/>
  <c r="AA596" i="225"/>
  <c r="O600" i="225"/>
  <c r="AC599" i="225"/>
  <c r="AE599" i="225" s="1"/>
  <c r="Q595" i="225"/>
  <c r="S595" i="225" s="1"/>
  <c r="T599" i="225"/>
  <c r="T601" i="225" s="1"/>
  <c r="N596" i="225"/>
  <c r="P596" i="225" s="1"/>
  <c r="X600" i="225"/>
  <c r="AG600" i="225"/>
  <c r="R599" i="225"/>
  <c r="R601" i="225" s="1"/>
  <c r="O599" i="225"/>
  <c r="O601" i="225" s="1"/>
  <c r="AM599" i="225"/>
  <c r="AM601" i="225" s="1"/>
  <c r="AO596" i="225"/>
  <c r="AQ596" i="225" s="1"/>
  <c r="X596" i="225"/>
  <c r="AC596" i="225"/>
  <c r="AE596" i="225" s="1"/>
  <c r="AD595" i="225"/>
  <c r="AD597" i="225" s="1"/>
  <c r="W595" i="225"/>
  <c r="W597" i="225" s="1"/>
  <c r="Z596" i="225"/>
  <c r="AB596" i="225" s="1"/>
  <c r="AL595" i="225"/>
  <c r="AL597" i="225" s="1"/>
  <c r="AJ600" i="225"/>
  <c r="N600" i="225"/>
  <c r="P600" i="225" s="1"/>
  <c r="Q599" i="225"/>
  <c r="S599" i="225" s="1"/>
  <c r="AD596" i="225"/>
  <c r="AA595" i="225"/>
  <c r="AA597" i="225" s="1"/>
  <c r="AC595" i="225"/>
  <c r="AE595" i="225" s="1"/>
  <c r="T600" i="225"/>
  <c r="V600" i="225" s="1"/>
  <c r="W600" i="225"/>
  <c r="Y600" i="225" s="1"/>
  <c r="X599" i="225"/>
  <c r="X601" i="225" s="1"/>
  <c r="AF596" i="225"/>
  <c r="AH596" i="225" s="1"/>
  <c r="AF595" i="225"/>
  <c r="AH595" i="225" s="1"/>
  <c r="AL600" i="225"/>
  <c r="AN600" i="225" s="1"/>
  <c r="AO600" i="225"/>
  <c r="AQ600" i="225" s="1"/>
  <c r="Z599" i="225"/>
  <c r="Z601" i="225" s="1"/>
  <c r="U599" i="225"/>
  <c r="U601" i="225" s="1"/>
  <c r="W596" i="225"/>
  <c r="Y596" i="225" s="1"/>
  <c r="AP596" i="225"/>
  <c r="AG595" i="225"/>
  <c r="AG597" i="225" s="1"/>
  <c r="Z595" i="225"/>
  <c r="AB595" i="225" s="1"/>
  <c r="Z600" i="225"/>
  <c r="AB600" i="225" s="1"/>
  <c r="Q600" i="225"/>
  <c r="S600" i="225" s="1"/>
  <c r="AD600" i="225"/>
  <c r="AJ599" i="225"/>
  <c r="AJ601" i="225" s="1"/>
  <c r="W599" i="225"/>
  <c r="W601" i="225" s="1"/>
  <c r="N598" i="225"/>
  <c r="P598" i="225" s="1"/>
  <c r="T596" i="225"/>
  <c r="V596" i="225" s="1"/>
  <c r="U596" i="225"/>
  <c r="AI595" i="225"/>
  <c r="AK595" i="225" s="1"/>
  <c r="AM595" i="225"/>
  <c r="AM597" i="225" s="1"/>
  <c r="AL596" i="225"/>
  <c r="AN596" i="225" s="1"/>
  <c r="O595" i="225"/>
  <c r="O597" i="225" s="1"/>
  <c r="N608" i="225"/>
  <c r="P608" i="225" s="1"/>
  <c r="AF600" i="225"/>
  <c r="AH600" i="225" s="1"/>
  <c r="AM600" i="225"/>
  <c r="AO599" i="225"/>
  <c r="AO601" i="225" s="1"/>
  <c r="AG599" i="225"/>
  <c r="AG601" i="225" s="1"/>
  <c r="AI599" i="225"/>
  <c r="AK599" i="225" s="1"/>
  <c r="AQ598" i="225"/>
  <c r="AI596" i="225"/>
  <c r="AK596" i="225" s="1"/>
  <c r="O596" i="225"/>
  <c r="Q596" i="225"/>
  <c r="S596" i="225" s="1"/>
  <c r="AO595" i="225"/>
  <c r="AO597" i="225" s="1"/>
  <c r="AJ595" i="225"/>
  <c r="AJ597" i="225" s="1"/>
  <c r="U600" i="225"/>
  <c r="AP600" i="225"/>
  <c r="AL599" i="225"/>
  <c r="AL601" i="225" s="1"/>
  <c r="AD599" i="225"/>
  <c r="AD601" i="225" s="1"/>
  <c r="AA599" i="225"/>
  <c r="AA601" i="225" s="1"/>
  <c r="O598" i="225"/>
  <c r="AH598" i="225"/>
  <c r="AG596" i="225"/>
  <c r="R596" i="225"/>
  <c r="AM596" i="225"/>
  <c r="T595" i="225"/>
  <c r="T597" i="225" s="1"/>
  <c r="AP595" i="225"/>
  <c r="AP597" i="225" s="1"/>
  <c r="X595" i="225"/>
  <c r="X597" i="225" s="1"/>
  <c r="N595" i="225"/>
  <c r="N597" i="225" s="1"/>
  <c r="A657" i="225"/>
  <c r="S462" i="225"/>
  <c r="AN462" i="225" s="1"/>
  <c r="R481" i="225"/>
  <c r="R486" i="225"/>
  <c r="R471" i="225"/>
  <c r="Q469" i="225"/>
  <c r="Q464" i="225" s="1"/>
  <c r="Q462" i="225" s="1"/>
  <c r="P464" i="225"/>
  <c r="P462" i="225" s="1"/>
  <c r="Q496" i="225"/>
  <c r="Q487" i="225" s="1"/>
  <c r="R498" i="225"/>
  <c r="A627" i="225"/>
  <c r="A628" i="225" s="1"/>
  <c r="A629" i="225" s="1"/>
  <c r="A634" i="225"/>
  <c r="N633" i="225"/>
  <c r="A514" i="225"/>
  <c r="A515" i="225" s="1"/>
  <c r="A516" i="225" s="1"/>
  <c r="A517" i="225" s="1"/>
  <c r="A518" i="225" s="1"/>
  <c r="A519" i="225" s="1"/>
  <c r="A520" i="225" s="1"/>
  <c r="A521" i="225" s="1"/>
  <c r="A522" i="225" s="1"/>
  <c r="A425" i="225"/>
  <c r="A426" i="225" s="1"/>
  <c r="A427" i="225" s="1"/>
  <c r="A428" i="225" s="1"/>
  <c r="A429" i="225" s="1"/>
  <c r="A430" i="225" s="1"/>
  <c r="R574" i="225"/>
  <c r="R568" i="225"/>
  <c r="R567" i="225"/>
  <c r="R566" i="225"/>
  <c r="R565" i="225"/>
  <c r="AM564" i="225"/>
  <c r="AL564" i="225"/>
  <c r="AW564" i="225" s="1"/>
  <c r="AK564" i="225"/>
  <c r="AV564" i="225" s="1"/>
  <c r="AJ564" i="225"/>
  <c r="AU564" i="225" s="1"/>
  <c r="AI564" i="225"/>
  <c r="AT564" i="225" s="1"/>
  <c r="AH564" i="225"/>
  <c r="AS564" i="225" s="1"/>
  <c r="AG564" i="225"/>
  <c r="AR564" i="225" s="1"/>
  <c r="AF564" i="225"/>
  <c r="AQ564" i="225" s="1"/>
  <c r="AE564" i="225"/>
  <c r="AP564" i="225" s="1"/>
  <c r="AD564" i="225"/>
  <c r="AO564" i="225" s="1"/>
  <c r="AC564" i="225"/>
  <c r="AB564" i="225"/>
  <c r="AA564" i="225"/>
  <c r="Z564" i="225"/>
  <c r="Y564" i="225"/>
  <c r="X564" i="225"/>
  <c r="W564" i="225"/>
  <c r="V564" i="225"/>
  <c r="U564" i="225"/>
  <c r="T564" i="225"/>
  <c r="S564" i="225"/>
  <c r="AN564" i="225" s="1"/>
  <c r="Q564" i="225"/>
  <c r="P564" i="225"/>
  <c r="O564" i="225"/>
  <c r="R563" i="225"/>
  <c r="R562" i="225"/>
  <c r="R561" i="225"/>
  <c r="R554" i="225"/>
  <c r="R553" i="225"/>
  <c r="R545" i="225"/>
  <c r="R544" i="225"/>
  <c r="R543" i="225"/>
  <c r="AM542" i="225"/>
  <c r="AL542" i="225"/>
  <c r="AW542" i="225" s="1"/>
  <c r="AK542" i="225"/>
  <c r="AV542" i="225" s="1"/>
  <c r="AJ542" i="225"/>
  <c r="AU542" i="225" s="1"/>
  <c r="AI542" i="225"/>
  <c r="AT542" i="225" s="1"/>
  <c r="AH542" i="225"/>
  <c r="AS542" i="225" s="1"/>
  <c r="AG542" i="225"/>
  <c r="AR542" i="225" s="1"/>
  <c r="AF542" i="225"/>
  <c r="AQ542" i="225" s="1"/>
  <c r="AE542" i="225"/>
  <c r="AP542" i="225" s="1"/>
  <c r="AD542" i="225"/>
  <c r="AO542" i="225" s="1"/>
  <c r="AC542" i="225"/>
  <c r="AB542" i="225"/>
  <c r="AA542" i="225"/>
  <c r="Z542" i="225"/>
  <c r="Y542" i="225"/>
  <c r="X542" i="225"/>
  <c r="W542" i="225"/>
  <c r="V542" i="225"/>
  <c r="U542" i="225"/>
  <c r="T542" i="225"/>
  <c r="S542" i="225"/>
  <c r="AN542" i="225" s="1"/>
  <c r="Q542" i="225"/>
  <c r="P542" i="225"/>
  <c r="O542" i="225"/>
  <c r="R541" i="225"/>
  <c r="R540" i="225"/>
  <c r="R539" i="225"/>
  <c r="R538" i="225"/>
  <c r="AW537" i="225"/>
  <c r="AV537" i="225"/>
  <c r="AU537" i="225"/>
  <c r="AT537" i="225"/>
  <c r="AS537" i="225"/>
  <c r="AR537" i="225"/>
  <c r="AQ537" i="225"/>
  <c r="AP537" i="225"/>
  <c r="AO537" i="225"/>
  <c r="AN537" i="225"/>
  <c r="R535" i="225"/>
  <c r="R520" i="225"/>
  <c r="R519" i="225"/>
  <c r="P657" i="225" l="1"/>
  <c r="N657" i="225"/>
  <c r="Q657" i="225"/>
  <c r="Q430" i="225"/>
  <c r="P430" i="225"/>
  <c r="W612" i="225"/>
  <c r="Y612" i="225" s="1"/>
  <c r="N612" i="225"/>
  <c r="P612" i="225" s="1"/>
  <c r="N618" i="225"/>
  <c r="P618" i="225" s="1"/>
  <c r="AF618" i="225"/>
  <c r="AH618" i="225" s="1"/>
  <c r="AL612" i="225"/>
  <c r="AN612" i="225" s="1"/>
  <c r="Z612" i="225"/>
  <c r="AB612" i="225" s="1"/>
  <c r="AL618" i="225"/>
  <c r="AN618" i="225" s="1"/>
  <c r="Q612" i="225"/>
  <c r="S612" i="225" s="1"/>
  <c r="AC601" i="225"/>
  <c r="AO618" i="225"/>
  <c r="AQ618" i="225" s="1"/>
  <c r="AC618" i="225"/>
  <c r="AE618" i="225" s="1"/>
  <c r="AF612" i="225"/>
  <c r="AH612" i="225" s="1"/>
  <c r="T618" i="225"/>
  <c r="V618" i="225" s="1"/>
  <c r="Q601" i="225"/>
  <c r="AF606" i="225"/>
  <c r="AH606" i="225" s="1"/>
  <c r="N606" i="225"/>
  <c r="P606" i="225" s="1"/>
  <c r="AN599" i="225"/>
  <c r="Y608" i="225"/>
  <c r="V599" i="225"/>
  <c r="AE608" i="225"/>
  <c r="V595" i="225"/>
  <c r="Q606" i="225"/>
  <c r="S606" i="225" s="1"/>
  <c r="AF597" i="225"/>
  <c r="AI612" i="225"/>
  <c r="AK612" i="225" s="1"/>
  <c r="AH599" i="225"/>
  <c r="Q618" i="225"/>
  <c r="S618" i="225" s="1"/>
  <c r="AI618" i="225"/>
  <c r="AK618" i="225" s="1"/>
  <c r="AO612" i="225"/>
  <c r="AQ612" i="225" s="1"/>
  <c r="Q597" i="225"/>
  <c r="AB608" i="225"/>
  <c r="Y599" i="225"/>
  <c r="P599" i="225"/>
  <c r="Z597" i="225"/>
  <c r="Y595" i="225"/>
  <c r="Z618" i="225"/>
  <c r="AB618" i="225" s="1"/>
  <c r="T612" i="225"/>
  <c r="V612" i="225" s="1"/>
  <c r="W618" i="225"/>
  <c r="Y618" i="225" s="1"/>
  <c r="AI601" i="225"/>
  <c r="AO606" i="225"/>
  <c r="AQ606" i="225" s="1"/>
  <c r="AB599" i="225"/>
  <c r="AN595" i="225"/>
  <c r="V608" i="225"/>
  <c r="AQ595" i="225"/>
  <c r="AI597" i="225"/>
  <c r="AK608" i="225"/>
  <c r="AQ599" i="225"/>
  <c r="AN608" i="225"/>
  <c r="AC612" i="225"/>
  <c r="AE612" i="225" s="1"/>
  <c r="AC597" i="225"/>
  <c r="P595" i="225"/>
  <c r="A658" i="225"/>
  <c r="A524" i="225"/>
  <c r="O524" i="225" s="1"/>
  <c r="A523" i="225"/>
  <c r="AO624" i="225"/>
  <c r="AQ624" i="225" s="1"/>
  <c r="T624" i="225"/>
  <c r="V624" i="225" s="1"/>
  <c r="AL624" i="225"/>
  <c r="AN624" i="225" s="1"/>
  <c r="W624" i="225"/>
  <c r="Y624" i="225" s="1"/>
  <c r="Z624" i="225"/>
  <c r="AB624" i="225" s="1"/>
  <c r="AF624" i="225"/>
  <c r="AH624" i="225" s="1"/>
  <c r="AC624" i="225"/>
  <c r="AE624" i="225" s="1"/>
  <c r="Q624" i="225"/>
  <c r="S624" i="225" s="1"/>
  <c r="AI624" i="225"/>
  <c r="AK624" i="225" s="1"/>
  <c r="N624" i="225"/>
  <c r="P624" i="225" s="1"/>
  <c r="A431" i="225"/>
  <c r="T462" i="225"/>
  <c r="U462" i="225" s="1"/>
  <c r="V462" i="225" s="1"/>
  <c r="W462" i="225" s="1"/>
  <c r="X462" i="225" s="1"/>
  <c r="Y462" i="225" s="1"/>
  <c r="Z462" i="225" s="1"/>
  <c r="AA462" i="225" s="1"/>
  <c r="AB462" i="225" s="1"/>
  <c r="AC462" i="225" s="1"/>
  <c r="AD462" i="225"/>
  <c r="AO462" i="225" s="1"/>
  <c r="R469" i="225"/>
  <c r="R487" i="225"/>
  <c r="R496" i="225"/>
  <c r="R464" i="225"/>
  <c r="R462" i="225"/>
  <c r="N634" i="225"/>
  <c r="A635" i="225"/>
  <c r="A636" i="225" s="1"/>
  <c r="A637" i="225" s="1"/>
  <c r="A638" i="225" s="1"/>
  <c r="AK524" i="225"/>
  <c r="AV524" i="225" s="1"/>
  <c r="R564" i="225"/>
  <c r="R542" i="225"/>
  <c r="AH522" i="225"/>
  <c r="AS522" i="225" s="1"/>
  <c r="AL521" i="225"/>
  <c r="AW521" i="225" s="1"/>
  <c r="AD517" i="225"/>
  <c r="AO517" i="225" s="1"/>
  <c r="Z514" i="225"/>
  <c r="AC521" i="225"/>
  <c r="Y516" i="225"/>
  <c r="AI516" i="225"/>
  <c r="AT516" i="225" s="1"/>
  <c r="X518" i="225"/>
  <c r="T515" i="225"/>
  <c r="AE522" i="225"/>
  <c r="AP522" i="225" s="1"/>
  <c r="AA517" i="225"/>
  <c r="W514" i="225"/>
  <c r="AH517" i="225"/>
  <c r="AS517" i="225" s="1"/>
  <c r="AD514" i="225"/>
  <c r="Y521" i="225"/>
  <c r="U516" i="225"/>
  <c r="T522" i="225"/>
  <c r="AJ516" i="225"/>
  <c r="AU516" i="225" s="1"/>
  <c r="Z522" i="225"/>
  <c r="V517" i="225"/>
  <c r="AE521" i="225"/>
  <c r="AP521" i="225" s="1"/>
  <c r="U521" i="225"/>
  <c r="AK515" i="225"/>
  <c r="AV515" i="225" s="1"/>
  <c r="AI514" i="225"/>
  <c r="AJ517" i="225"/>
  <c r="AU517" i="225" s="1"/>
  <c r="AF514" i="225"/>
  <c r="W522" i="225"/>
  <c r="AM516" i="225"/>
  <c r="AL522" i="225"/>
  <c r="AW522" i="225" s="1"/>
  <c r="Z517" i="225"/>
  <c r="V514" i="225"/>
  <c r="AK518" i="225"/>
  <c r="AV518" i="225" s="1"/>
  <c r="AG515" i="225"/>
  <c r="AR515" i="225" s="1"/>
  <c r="AF521" i="225"/>
  <c r="AQ521" i="225" s="1"/>
  <c r="AB516" i="225"/>
  <c r="AG518" i="225"/>
  <c r="AR518" i="225" s="1"/>
  <c r="AF522" i="225"/>
  <c r="AQ522" i="225" s="1"/>
  <c r="X514" i="225"/>
  <c r="AI521" i="225"/>
  <c r="AT521" i="225" s="1"/>
  <c r="AE516" i="225"/>
  <c r="AP516" i="225" s="1"/>
  <c r="V522" i="225"/>
  <c r="AL516" i="225"/>
  <c r="AW516" i="225" s="1"/>
  <c r="AI522" i="225"/>
  <c r="AT522" i="225" s="1"/>
  <c r="AC518" i="225"/>
  <c r="Y515" i="225"/>
  <c r="X521" i="225"/>
  <c r="T516" i="225"/>
  <c r="AH516" i="225"/>
  <c r="AS516" i="225" s="1"/>
  <c r="AM517" i="225"/>
  <c r="AC515" i="225"/>
  <c r="AB517" i="225"/>
  <c r="Q518" i="225"/>
  <c r="AD521" i="225"/>
  <c r="AO521" i="225" s="1"/>
  <c r="Z516" i="225"/>
  <c r="AM515" i="225"/>
  <c r="Y518" i="225"/>
  <c r="U515" i="225"/>
  <c r="X522" i="225"/>
  <c r="T517" i="225"/>
  <c r="W521" i="225"/>
  <c r="AA521" i="225"/>
  <c r="W516" i="225"/>
  <c r="AH521" i="225"/>
  <c r="AS521" i="225" s="1"/>
  <c r="AD516" i="225"/>
  <c r="AO516" i="225" s="1"/>
  <c r="AD522" i="225"/>
  <c r="AO522" i="225" s="1"/>
  <c r="U518" i="225"/>
  <c r="AK514" i="225"/>
  <c r="AJ518" i="225"/>
  <c r="AU518" i="225" s="1"/>
  <c r="AF515" i="225"/>
  <c r="AQ515" i="225" s="1"/>
  <c r="AL515" i="225"/>
  <c r="AW515" i="225" s="1"/>
  <c r="AK517" i="225"/>
  <c r="AV517" i="225" s="1"/>
  <c r="AG514" i="225"/>
  <c r="AJ521" i="225"/>
  <c r="AU521" i="225" s="1"/>
  <c r="AF516" i="225"/>
  <c r="AQ516" i="225" s="1"/>
  <c r="AE517" i="225"/>
  <c r="AP517" i="225" s="1"/>
  <c r="AM518" i="225"/>
  <c r="AI515" i="225"/>
  <c r="AT515" i="225" s="1"/>
  <c r="Z521" i="225"/>
  <c r="V516" i="225"/>
  <c r="AK522" i="225"/>
  <c r="AV522" i="225" s="1"/>
  <c r="AG517" i="225"/>
  <c r="AR517" i="225" s="1"/>
  <c r="AC514" i="225"/>
  <c r="AB518" i="225"/>
  <c r="X515" i="225"/>
  <c r="V521" i="225"/>
  <c r="AA514" i="225"/>
  <c r="AI518" i="225"/>
  <c r="AT518" i="225" s="1"/>
  <c r="AH518" i="225"/>
  <c r="AS518" i="225" s="1"/>
  <c r="AD515" i="225"/>
  <c r="AO515" i="225" s="1"/>
  <c r="AG522" i="225"/>
  <c r="AR522" i="225" s="1"/>
  <c r="AC517" i="225"/>
  <c r="Y514" i="225"/>
  <c r="AB521" i="225"/>
  <c r="X516" i="225"/>
  <c r="AA516" i="225"/>
  <c r="AE518" i="225"/>
  <c r="AP518" i="225" s="1"/>
  <c r="AA515" i="225"/>
  <c r="AL518" i="225"/>
  <c r="AW518" i="225" s="1"/>
  <c r="AH515" i="225"/>
  <c r="AS515" i="225" s="1"/>
  <c r="AC522" i="225"/>
  <c r="Y517" i="225"/>
  <c r="U514" i="225"/>
  <c r="T518" i="225"/>
  <c r="AJ514" i="225"/>
  <c r="AA522" i="225"/>
  <c r="W517" i="225"/>
  <c r="Z518" i="225"/>
  <c r="V515" i="225"/>
  <c r="Y522" i="225"/>
  <c r="U517" i="225"/>
  <c r="AM521" i="225"/>
  <c r="T521" i="225"/>
  <c r="AJ515" i="225"/>
  <c r="AU515" i="225" s="1"/>
  <c r="AE515" i="225"/>
  <c r="AP515" i="225" s="1"/>
  <c r="W518" i="225"/>
  <c r="AM514" i="225"/>
  <c r="AD518" i="225"/>
  <c r="AO518" i="225" s="1"/>
  <c r="Z515" i="225"/>
  <c r="U522" i="225"/>
  <c r="AK516" i="225"/>
  <c r="AV516" i="225" s="1"/>
  <c r="AJ522" i="225"/>
  <c r="AU522" i="225" s="1"/>
  <c r="AF517" i="225"/>
  <c r="AQ517" i="225" s="1"/>
  <c r="AB514" i="225"/>
  <c r="W515" i="225"/>
  <c r="AL517" i="225"/>
  <c r="AW517" i="225" s="1"/>
  <c r="AH514" i="225"/>
  <c r="AK521" i="225"/>
  <c r="AV521" i="225" s="1"/>
  <c r="AG516" i="225"/>
  <c r="AR516" i="225" s="1"/>
  <c r="AA518" i="225"/>
  <c r="AF518" i="225"/>
  <c r="AQ518" i="225" s="1"/>
  <c r="AB515" i="225"/>
  <c r="AM522" i="225"/>
  <c r="AI517" i="225"/>
  <c r="AT517" i="225" s="1"/>
  <c r="AE514" i="225"/>
  <c r="V518" i="225"/>
  <c r="AL514" i="225"/>
  <c r="AG521" i="225"/>
  <c r="AR521" i="225" s="1"/>
  <c r="AC516" i="225"/>
  <c r="AB522" i="225"/>
  <c r="X517" i="225"/>
  <c r="T514" i="225"/>
  <c r="S514" i="225"/>
  <c r="S515" i="225"/>
  <c r="AN515" i="225" s="1"/>
  <c r="S516" i="225"/>
  <c r="AN516" i="225" s="1"/>
  <c r="S517" i="225"/>
  <c r="AN517" i="225" s="1"/>
  <c r="Q514" i="225"/>
  <c r="S518" i="225"/>
  <c r="AN518" i="225" s="1"/>
  <c r="Q515" i="225"/>
  <c r="S521" i="225"/>
  <c r="AN521" i="225" s="1"/>
  <c r="Q516" i="225"/>
  <c r="S522" i="225"/>
  <c r="AN522" i="225" s="1"/>
  <c r="P518" i="225"/>
  <c r="Q517" i="225"/>
  <c r="Q521" i="225"/>
  <c r="O514" i="225"/>
  <c r="Q522" i="225"/>
  <c r="O522" i="225"/>
  <c r="P514" i="225"/>
  <c r="P515" i="225"/>
  <c r="P516" i="225"/>
  <c r="P517" i="225"/>
  <c r="O515" i="225"/>
  <c r="P521" i="225"/>
  <c r="O516" i="225"/>
  <c r="P522" i="225"/>
  <c r="O517" i="225"/>
  <c r="O518" i="225"/>
  <c r="O521" i="225"/>
  <c r="A432" i="225" l="1"/>
  <c r="Q431" i="225"/>
  <c r="P658" i="225"/>
  <c r="N658" i="225"/>
  <c r="Q658" i="225"/>
  <c r="T524" i="225"/>
  <c r="AL524" i="225"/>
  <c r="AW524" i="225" s="1"/>
  <c r="AF524" i="225"/>
  <c r="AQ524" i="225" s="1"/>
  <c r="AI524" i="225"/>
  <c r="AT524" i="225" s="1"/>
  <c r="Z524" i="225"/>
  <c r="AR514" i="225"/>
  <c r="AN514" i="225"/>
  <c r="AP514" i="225"/>
  <c r="AS514" i="225"/>
  <c r="AO514" i="225"/>
  <c r="AW514" i="225"/>
  <c r="AT514" i="225"/>
  <c r="AV514" i="225"/>
  <c r="AQ514" i="225"/>
  <c r="AU514" i="225"/>
  <c r="AD524" i="225"/>
  <c r="AO524" i="225" s="1"/>
  <c r="AE524" i="225"/>
  <c r="AP524" i="225" s="1"/>
  <c r="P524" i="225"/>
  <c r="X524" i="225"/>
  <c r="U524" i="225"/>
  <c r="AM524" i="225"/>
  <c r="AB524" i="225"/>
  <c r="W524" i="225"/>
  <c r="Q524" i="225"/>
  <c r="AH524" i="225"/>
  <c r="AS524" i="225" s="1"/>
  <c r="Y524" i="225"/>
  <c r="V524" i="225"/>
  <c r="AG524" i="225"/>
  <c r="AR524" i="225" s="1"/>
  <c r="S524" i="225"/>
  <c r="AN524" i="225" s="1"/>
  <c r="AA524" i="225"/>
  <c r="A525" i="225"/>
  <c r="A526" i="225" s="1"/>
  <c r="AB526" i="225" s="1"/>
  <c r="AJ524" i="225"/>
  <c r="AU524" i="225" s="1"/>
  <c r="AC524" i="225"/>
  <c r="A659" i="225"/>
  <c r="AG523" i="225"/>
  <c r="AR523" i="225" s="1"/>
  <c r="Y523" i="225"/>
  <c r="Y513" i="225" s="1"/>
  <c r="Q523" i="225"/>
  <c r="Q513" i="225" s="1"/>
  <c r="AF523" i="225"/>
  <c r="AQ523" i="225" s="1"/>
  <c r="X523" i="225"/>
  <c r="X513" i="225" s="1"/>
  <c r="P523" i="225"/>
  <c r="P513" i="225" s="1"/>
  <c r="AM523" i="225"/>
  <c r="AM513" i="225" s="1"/>
  <c r="AE523" i="225"/>
  <c r="AP523" i="225" s="1"/>
  <c r="W523" i="225"/>
  <c r="W513" i="225" s="1"/>
  <c r="O523" i="225"/>
  <c r="O513" i="225" s="1"/>
  <c r="AL523" i="225"/>
  <c r="AW523" i="225" s="1"/>
  <c r="AD523" i="225"/>
  <c r="AO523" i="225" s="1"/>
  <c r="V523" i="225"/>
  <c r="V513" i="225" s="1"/>
  <c r="AK523" i="225"/>
  <c r="AV523" i="225" s="1"/>
  <c r="AC523" i="225"/>
  <c r="AC513" i="225" s="1"/>
  <c r="U523" i="225"/>
  <c r="U513" i="225" s="1"/>
  <c r="AJ523" i="225"/>
  <c r="AU523" i="225" s="1"/>
  <c r="AB523" i="225"/>
  <c r="AB513" i="225" s="1"/>
  <c r="T523" i="225"/>
  <c r="T513" i="225" s="1"/>
  <c r="AI523" i="225"/>
  <c r="AT523" i="225" s="1"/>
  <c r="AA523" i="225"/>
  <c r="AA513" i="225" s="1"/>
  <c r="S523" i="225"/>
  <c r="AN523" i="225" s="1"/>
  <c r="AH523" i="225"/>
  <c r="AS523" i="225" s="1"/>
  <c r="Z523" i="225"/>
  <c r="Z513" i="225" s="1"/>
  <c r="A433" i="225"/>
  <c r="AE462" i="225"/>
  <c r="AP462" i="225" s="1"/>
  <c r="R515" i="225"/>
  <c r="R518" i="225"/>
  <c r="R522" i="225"/>
  <c r="R516" i="225"/>
  <c r="R521" i="225"/>
  <c r="R517" i="225"/>
  <c r="R514" i="225"/>
  <c r="P659" i="225" l="1"/>
  <c r="Q659" i="225"/>
  <c r="N659" i="225"/>
  <c r="A434" i="225"/>
  <c r="P432" i="225"/>
  <c r="Q432" i="225"/>
  <c r="R524" i="225"/>
  <c r="V526" i="225"/>
  <c r="AF513" i="225"/>
  <c r="AQ513" i="225" s="1"/>
  <c r="AI513" i="225"/>
  <c r="AT513" i="225" s="1"/>
  <c r="AE513" i="225"/>
  <c r="AP513" i="225" s="1"/>
  <c r="AD513" i="225"/>
  <c r="AO513" i="225" s="1"/>
  <c r="S513" i="225"/>
  <c r="AN513" i="225" s="1"/>
  <c r="AK513" i="225"/>
  <c r="AV513" i="225" s="1"/>
  <c r="AG513" i="225"/>
  <c r="AR513" i="225" s="1"/>
  <c r="AJ513" i="225"/>
  <c r="AU513" i="225" s="1"/>
  <c r="AL513" i="225"/>
  <c r="AW513" i="225" s="1"/>
  <c r="AH513" i="225"/>
  <c r="AS513" i="225" s="1"/>
  <c r="U526" i="225"/>
  <c r="Y526" i="225"/>
  <c r="AC526" i="225"/>
  <c r="AI526" i="225"/>
  <c r="AT526" i="225" s="1"/>
  <c r="A527" i="225"/>
  <c r="U527" i="225" s="1"/>
  <c r="AF526" i="225"/>
  <c r="AQ526" i="225" s="1"/>
  <c r="AJ526" i="225"/>
  <c r="AU526" i="225" s="1"/>
  <c r="W526" i="225"/>
  <c r="AA526" i="225"/>
  <c r="X526" i="225"/>
  <c r="AK526" i="225"/>
  <c r="AV526" i="225" s="1"/>
  <c r="AG526" i="225"/>
  <c r="AR526" i="225" s="1"/>
  <c r="AE526" i="225"/>
  <c r="AP526" i="225" s="1"/>
  <c r="Q526" i="225"/>
  <c r="T526" i="225"/>
  <c r="AL526" i="225"/>
  <c r="AW526" i="225" s="1"/>
  <c r="AM526" i="225"/>
  <c r="AD526" i="225"/>
  <c r="AO526" i="225" s="1"/>
  <c r="O526" i="225"/>
  <c r="AH526" i="225"/>
  <c r="AS526" i="225" s="1"/>
  <c r="P526" i="225"/>
  <c r="Z526" i="225"/>
  <c r="S526" i="225"/>
  <c r="AN526" i="225" s="1"/>
  <c r="A660" i="225"/>
  <c r="R523" i="225"/>
  <c r="AF462" i="225"/>
  <c r="R513" i="225"/>
  <c r="A435" i="225" l="1"/>
  <c r="P660" i="225"/>
  <c r="N660" i="225"/>
  <c r="Q660" i="225"/>
  <c r="P527" i="225"/>
  <c r="AF527" i="225"/>
  <c r="AQ527" i="225" s="1"/>
  <c r="AA527" i="225"/>
  <c r="AD527" i="225"/>
  <c r="AO527" i="225" s="1"/>
  <c r="AE527" i="225"/>
  <c r="AP527" i="225" s="1"/>
  <c r="AL527" i="225"/>
  <c r="AW527" i="225" s="1"/>
  <c r="AC527" i="225"/>
  <c r="Z527" i="225"/>
  <c r="W527" i="225"/>
  <c r="V527" i="225"/>
  <c r="AB527" i="225"/>
  <c r="Y527" i="225"/>
  <c r="Q527" i="225"/>
  <c r="O527" i="225"/>
  <c r="AM527" i="225"/>
  <c r="T527" i="225"/>
  <c r="AI527" i="225"/>
  <c r="AT527" i="225" s="1"/>
  <c r="AH527" i="225"/>
  <c r="AS527" i="225" s="1"/>
  <c r="X527" i="225"/>
  <c r="AK527" i="225"/>
  <c r="AV527" i="225" s="1"/>
  <c r="AJ527" i="225"/>
  <c r="AU527" i="225" s="1"/>
  <c r="S527" i="225"/>
  <c r="AN527" i="225" s="1"/>
  <c r="R526" i="225"/>
  <c r="AG527" i="225"/>
  <c r="AR527" i="225" s="1"/>
  <c r="A528" i="225"/>
  <c r="S528" i="225" s="1"/>
  <c r="A661" i="225"/>
  <c r="AG462" i="225"/>
  <c r="AR462" i="225" s="1"/>
  <c r="AQ462" i="225"/>
  <c r="P661" i="225" l="1"/>
  <c r="N661" i="225"/>
  <c r="Q661" i="225"/>
  <c r="A436" i="225"/>
  <c r="O528" i="225"/>
  <c r="Q528" i="225"/>
  <c r="AI528" i="225"/>
  <c r="AT528" i="225" s="1"/>
  <c r="R527" i="225"/>
  <c r="AL528" i="225"/>
  <c r="AW528" i="225" s="1"/>
  <c r="AM528" i="225"/>
  <c r="U528" i="225"/>
  <c r="AA528" i="225"/>
  <c r="W528" i="225"/>
  <c r="AD528" i="225"/>
  <c r="Z528" i="225"/>
  <c r="AF528" i="225"/>
  <c r="AQ528" i="225" s="1"/>
  <c r="AK528" i="225"/>
  <c r="AV528" i="225" s="1"/>
  <c r="P528" i="225"/>
  <c r="V528" i="225"/>
  <c r="Y528" i="225"/>
  <c r="T528" i="225"/>
  <c r="X528" i="225"/>
  <c r="AC528" i="225"/>
  <c r="AE528" i="225"/>
  <c r="AP528" i="225" s="1"/>
  <c r="A529" i="225"/>
  <c r="Y529" i="225" s="1"/>
  <c r="AB528" i="225"/>
  <c r="AG528" i="225"/>
  <c r="AR528" i="225" s="1"/>
  <c r="AJ528" i="225"/>
  <c r="AU528" i="225" s="1"/>
  <c r="AH528" i="225"/>
  <c r="AS528" i="225" s="1"/>
  <c r="AH462" i="225"/>
  <c r="AS462" i="225" s="1"/>
  <c r="A662" i="225"/>
  <c r="Q453" i="225"/>
  <c r="Q452" i="225" s="1"/>
  <c r="P453" i="225"/>
  <c r="P452" i="225" s="1"/>
  <c r="P429" i="225"/>
  <c r="A420" i="225"/>
  <c r="O420" i="225" s="1"/>
  <c r="A408" i="225"/>
  <c r="A409" i="225" s="1"/>
  <c r="A410" i="225" s="1"/>
  <c r="A411" i="225" s="1"/>
  <c r="A412" i="225" s="1"/>
  <c r="AH408" i="225"/>
  <c r="AG408" i="225"/>
  <c r="AF408" i="225"/>
  <c r="AE408" i="225"/>
  <c r="AD408" i="225"/>
  <c r="AC408" i="225"/>
  <c r="AB408" i="225"/>
  <c r="AA408" i="225"/>
  <c r="Z408" i="225"/>
  <c r="Y408" i="225"/>
  <c r="X408" i="225"/>
  <c r="W408" i="225"/>
  <c r="V408" i="225"/>
  <c r="U408" i="225"/>
  <c r="T408" i="225"/>
  <c r="S408" i="225"/>
  <c r="R408" i="225"/>
  <c r="Q408" i="225"/>
  <c r="P408" i="225"/>
  <c r="O408" i="225"/>
  <c r="AO528" i="225" l="1"/>
  <c r="AN528" i="225"/>
  <c r="A437" i="225"/>
  <c r="P662" i="225"/>
  <c r="Q662" i="225"/>
  <c r="N662" i="225"/>
  <c r="R528" i="225"/>
  <c r="AE529" i="225"/>
  <c r="AP529" i="225" s="1"/>
  <c r="AA529" i="225"/>
  <c r="AD529" i="225"/>
  <c r="A530" i="225"/>
  <c r="V530" i="225" s="1"/>
  <c r="V529" i="225"/>
  <c r="AG529" i="225"/>
  <c r="AR529" i="225" s="1"/>
  <c r="P529" i="225"/>
  <c r="AC529" i="225"/>
  <c r="Z529" i="225"/>
  <c r="AB529" i="225"/>
  <c r="X529" i="225"/>
  <c r="AM529" i="225"/>
  <c r="S529" i="225"/>
  <c r="AK529" i="225"/>
  <c r="AV529" i="225" s="1"/>
  <c r="AH529" i="225"/>
  <c r="AS529" i="225" s="1"/>
  <c r="AL529" i="225"/>
  <c r="AW529" i="225" s="1"/>
  <c r="Q529" i="225"/>
  <c r="AI529" i="225"/>
  <c r="AT529" i="225" s="1"/>
  <c r="W529" i="225"/>
  <c r="U529" i="225"/>
  <c r="O529" i="225"/>
  <c r="AJ529" i="225"/>
  <c r="AU529" i="225" s="1"/>
  <c r="T529" i="225"/>
  <c r="AF529" i="225"/>
  <c r="AQ529" i="225" s="1"/>
  <c r="AI462" i="225"/>
  <c r="AT462" i="225" s="1"/>
  <c r="A663" i="225"/>
  <c r="V420" i="225"/>
  <c r="V418" i="225" s="1"/>
  <c r="O418" i="225"/>
  <c r="P427" i="225"/>
  <c r="P425" i="225" s="1"/>
  <c r="AL530" i="225"/>
  <c r="AW530" i="225" s="1"/>
  <c r="AK530" i="225"/>
  <c r="AV530" i="225" s="1"/>
  <c r="A413" i="225"/>
  <c r="A414" i="225" s="1"/>
  <c r="T412" i="225"/>
  <c r="Q412" i="225"/>
  <c r="V412" i="225"/>
  <c r="AH412" i="225"/>
  <c r="AB412" i="225"/>
  <c r="R412" i="225"/>
  <c r="AC412" i="225"/>
  <c r="U412" i="225"/>
  <c r="AG412" i="225"/>
  <c r="S412" i="225"/>
  <c r="AF412" i="225"/>
  <c r="Y412" i="225"/>
  <c r="P412" i="225"/>
  <c r="AA412" i="225"/>
  <c r="W412" i="225"/>
  <c r="Z412" i="225"/>
  <c r="O412" i="225"/>
  <c r="O413" i="225" s="1"/>
  <c r="X412" i="225"/>
  <c r="AE412" i="225"/>
  <c r="AD412" i="225"/>
  <c r="AO529" i="225" l="1"/>
  <c r="AN529" i="225"/>
  <c r="P663" i="225"/>
  <c r="Q663" i="225"/>
  <c r="N663" i="225"/>
  <c r="A438" i="225"/>
  <c r="AI530" i="225"/>
  <c r="AT530" i="225" s="1"/>
  <c r="P530" i="225"/>
  <c r="Q530" i="225"/>
  <c r="U530" i="225"/>
  <c r="T530" i="225"/>
  <c r="Y530" i="225"/>
  <c r="Z530" i="225"/>
  <c r="X530" i="225"/>
  <c r="AE530" i="225"/>
  <c r="AP530" i="225" s="1"/>
  <c r="AB530" i="225"/>
  <c r="AD530" i="225"/>
  <c r="AO530" i="225" s="1"/>
  <c r="AF530" i="225"/>
  <c r="AQ530" i="225" s="1"/>
  <c r="A531" i="225"/>
  <c r="AH531" i="225" s="1"/>
  <c r="AS531" i="225" s="1"/>
  <c r="S530" i="225"/>
  <c r="AN530" i="225" s="1"/>
  <c r="O530" i="225"/>
  <c r="AC530" i="225"/>
  <c r="AH530" i="225"/>
  <c r="AS530" i="225" s="1"/>
  <c r="AJ530" i="225"/>
  <c r="AU530" i="225" s="1"/>
  <c r="AM530" i="225"/>
  <c r="AA530" i="225"/>
  <c r="W530" i="225"/>
  <c r="AG530" i="225"/>
  <c r="AR530" i="225" s="1"/>
  <c r="R529" i="225"/>
  <c r="AJ462" i="225"/>
  <c r="AU462" i="225" s="1"/>
  <c r="A664" i="225"/>
  <c r="P413" i="225"/>
  <c r="O414" i="225"/>
  <c r="AK531" i="225"/>
  <c r="AV531" i="225" s="1"/>
  <c r="AA531" i="225"/>
  <c r="AF531" i="225"/>
  <c r="AQ531" i="225" s="1"/>
  <c r="AD531" i="225"/>
  <c r="AO531" i="225" s="1"/>
  <c r="U531" i="225"/>
  <c r="P531" i="225"/>
  <c r="T531" i="225"/>
  <c r="V531" i="225"/>
  <c r="AI531" i="225"/>
  <c r="AT531" i="225" s="1"/>
  <c r="AC531" i="225"/>
  <c r="S531" i="225"/>
  <c r="AN531" i="225" s="1"/>
  <c r="X531" i="225"/>
  <c r="A532" i="225"/>
  <c r="AG531" i="225"/>
  <c r="AR531" i="225" s="1"/>
  <c r="Y531" i="225"/>
  <c r="Q531" i="225"/>
  <c r="AJ531" i="225"/>
  <c r="AU531" i="225" s="1"/>
  <c r="AB531" i="225"/>
  <c r="Z531" i="225"/>
  <c r="AE531" i="225"/>
  <c r="AP531" i="225" s="1"/>
  <c r="O531" i="225"/>
  <c r="AL531" i="225"/>
  <c r="AW531" i="225" s="1"/>
  <c r="A439" i="225" l="1"/>
  <c r="P664" i="225"/>
  <c r="Q664" i="225"/>
  <c r="N664" i="225"/>
  <c r="W531" i="225"/>
  <c r="AM531" i="225"/>
  <c r="R530" i="225"/>
  <c r="AK462" i="225"/>
  <c r="AV462" i="225" s="1"/>
  <c r="P414" i="225"/>
  <c r="Q413" i="225"/>
  <c r="A533" i="225"/>
  <c r="T532" i="225"/>
  <c r="AB532" i="225"/>
  <c r="AJ532" i="225"/>
  <c r="AU532" i="225" s="1"/>
  <c r="Q532" i="225"/>
  <c r="O532" i="225"/>
  <c r="U532" i="225"/>
  <c r="AC532" i="225"/>
  <c r="AK532" i="225"/>
  <c r="AV532" i="225" s="1"/>
  <c r="AA532" i="225"/>
  <c r="V532" i="225"/>
  <c r="AD532" i="225"/>
  <c r="AL532" i="225"/>
  <c r="AW532" i="225" s="1"/>
  <c r="Z532" i="225"/>
  <c r="W532" i="225"/>
  <c r="AE532" i="225"/>
  <c r="AP532" i="225" s="1"/>
  <c r="AM532" i="225"/>
  <c r="Y532" i="225"/>
  <c r="AG532" i="225"/>
  <c r="AR532" i="225" s="1"/>
  <c r="P532" i="225"/>
  <c r="AH532" i="225"/>
  <c r="AS532" i="225" s="1"/>
  <c r="X532" i="225"/>
  <c r="AF532" i="225"/>
  <c r="AQ532" i="225" s="1"/>
  <c r="S532" i="225"/>
  <c r="AI532" i="225"/>
  <c r="AT532" i="225" s="1"/>
  <c r="R531" i="225"/>
  <c r="A381" i="225"/>
  <c r="A382" i="225" s="1"/>
  <c r="A383" i="225" s="1"/>
  <c r="A384" i="225" s="1"/>
  <c r="A385" i="225" s="1"/>
  <c r="A386" i="225" s="1"/>
  <c r="A387" i="225" s="1"/>
  <c r="A388" i="225" s="1"/>
  <c r="A389" i="225" s="1"/>
  <c r="A390" i="225" s="1"/>
  <c r="A391" i="225" s="1"/>
  <c r="A392" i="225" s="1"/>
  <c r="A393" i="225" s="1"/>
  <c r="A394" i="225" s="1"/>
  <c r="A395" i="225" s="1"/>
  <c r="A396" i="225" s="1"/>
  <c r="A397" i="225" s="1"/>
  <c r="A398" i="225" s="1"/>
  <c r="A399" i="225" s="1"/>
  <c r="A400" i="225" s="1"/>
  <c r="A401" i="225" s="1"/>
  <c r="A402" i="225" s="1"/>
  <c r="A403" i="225" s="1"/>
  <c r="AN400" i="225"/>
  <c r="AM400" i="225"/>
  <c r="AL400" i="225"/>
  <c r="AK400" i="225"/>
  <c r="AJ400" i="225"/>
  <c r="AI400" i="225"/>
  <c r="AH400" i="225"/>
  <c r="AG400" i="225"/>
  <c r="AF400" i="225"/>
  <c r="AE400" i="225"/>
  <c r="AD400" i="225"/>
  <c r="AC400" i="225"/>
  <c r="AB400" i="225"/>
  <c r="AA400" i="225"/>
  <c r="Z400" i="225"/>
  <c r="Y400" i="225"/>
  <c r="X400" i="225"/>
  <c r="W400" i="225"/>
  <c r="V400" i="225"/>
  <c r="U400" i="225"/>
  <c r="T400" i="225"/>
  <c r="S400" i="225"/>
  <c r="R400" i="225"/>
  <c r="Q400" i="225"/>
  <c r="P400" i="225"/>
  <c r="O400" i="225"/>
  <c r="AN395" i="225"/>
  <c r="AM395" i="225"/>
  <c r="AL395" i="225"/>
  <c r="AK395" i="225"/>
  <c r="AJ395" i="225"/>
  <c r="AI395" i="225"/>
  <c r="AH395" i="225"/>
  <c r="AG395" i="225"/>
  <c r="AF395" i="225"/>
  <c r="AE395" i="225"/>
  <c r="AD395" i="225"/>
  <c r="AC395" i="225"/>
  <c r="AB395" i="225"/>
  <c r="AA395" i="225"/>
  <c r="Z395" i="225"/>
  <c r="Y395" i="225"/>
  <c r="X395" i="225"/>
  <c r="W395" i="225"/>
  <c r="V395" i="225"/>
  <c r="U395" i="225"/>
  <c r="T395" i="225"/>
  <c r="S395" i="225"/>
  <c r="R395" i="225"/>
  <c r="Q395" i="225"/>
  <c r="P395" i="225"/>
  <c r="O395" i="225"/>
  <c r="AN391" i="225"/>
  <c r="AM391" i="225"/>
  <c r="AL391" i="225"/>
  <c r="AK391" i="225"/>
  <c r="AJ391" i="225"/>
  <c r="AI391" i="225"/>
  <c r="AH391" i="225"/>
  <c r="AG391" i="225"/>
  <c r="AF391" i="225"/>
  <c r="AE391" i="225"/>
  <c r="AD391" i="225"/>
  <c r="AC391" i="225"/>
  <c r="AB391" i="225"/>
  <c r="AA391" i="225"/>
  <c r="Z391" i="225"/>
  <c r="Y391" i="225"/>
  <c r="X391" i="225"/>
  <c r="W391" i="225"/>
  <c r="V391" i="225"/>
  <c r="U391" i="225"/>
  <c r="T391" i="225"/>
  <c r="S391" i="225"/>
  <c r="R391" i="225"/>
  <c r="Q391" i="225"/>
  <c r="P391" i="225"/>
  <c r="O391" i="225"/>
  <c r="AN387" i="225"/>
  <c r="AM387" i="225"/>
  <c r="AL387" i="225"/>
  <c r="AK387" i="225"/>
  <c r="AJ387" i="225"/>
  <c r="AI387" i="225"/>
  <c r="AH387" i="225"/>
  <c r="AG387" i="225"/>
  <c r="AF387" i="225"/>
  <c r="AE387" i="225"/>
  <c r="AD387" i="225"/>
  <c r="AC387" i="225"/>
  <c r="AB387" i="225"/>
  <c r="AA387" i="225"/>
  <c r="Z387" i="225"/>
  <c r="Y387" i="225"/>
  <c r="X387" i="225"/>
  <c r="W387" i="225"/>
  <c r="V387" i="225"/>
  <c r="U387" i="225"/>
  <c r="T387" i="225"/>
  <c r="S387" i="225"/>
  <c r="R387" i="225"/>
  <c r="Q387" i="225"/>
  <c r="P387" i="225"/>
  <c r="O387" i="225"/>
  <c r="A376" i="225"/>
  <c r="A363" i="225"/>
  <c r="A364" i="225" s="1"/>
  <c r="A365" i="225" s="1"/>
  <c r="A366" i="225" s="1"/>
  <c r="A367" i="225" s="1"/>
  <c r="A368" i="225" s="1"/>
  <c r="A369" i="225" s="1"/>
  <c r="A370" i="225" s="1"/>
  <c r="AL372" i="225"/>
  <c r="AL363" i="225" s="1"/>
  <c r="AK372" i="225"/>
  <c r="AK363" i="225" s="1"/>
  <c r="AJ372" i="225"/>
  <c r="AJ363" i="225" s="1"/>
  <c r="AI372" i="225"/>
  <c r="AI363" i="225" s="1"/>
  <c r="AH372" i="225"/>
  <c r="AH363" i="225" s="1"/>
  <c r="AG372" i="225"/>
  <c r="AG363" i="225" s="1"/>
  <c r="AF372" i="225"/>
  <c r="AF363" i="225" s="1"/>
  <c r="AE372" i="225"/>
  <c r="AE363" i="225" s="1"/>
  <c r="AD372" i="225"/>
  <c r="AD363" i="225" s="1"/>
  <c r="AC372" i="225"/>
  <c r="AC363" i="225" s="1"/>
  <c r="AB372" i="225"/>
  <c r="AB363" i="225" s="1"/>
  <c r="AA372" i="225"/>
  <c r="AA363" i="225" s="1"/>
  <c r="Z372" i="225"/>
  <c r="Z363" i="225" s="1"/>
  <c r="Y372" i="225"/>
  <c r="Y363" i="225" s="1"/>
  <c r="X372" i="225"/>
  <c r="X363" i="225" s="1"/>
  <c r="W372" i="225"/>
  <c r="W363" i="225" s="1"/>
  <c r="V372" i="225"/>
  <c r="V363" i="225" s="1"/>
  <c r="U372" i="225"/>
  <c r="U363" i="225" s="1"/>
  <c r="T372" i="225"/>
  <c r="T363" i="225" s="1"/>
  <c r="S372" i="225"/>
  <c r="S363" i="225" s="1"/>
  <c r="R372" i="225"/>
  <c r="R363" i="225" s="1"/>
  <c r="Q372" i="225"/>
  <c r="Q363" i="225" s="1"/>
  <c r="P372" i="225"/>
  <c r="P363" i="225" s="1"/>
  <c r="O372" i="225"/>
  <c r="O363" i="225" s="1"/>
  <c r="AO532" i="225" l="1"/>
  <c r="AN532" i="225"/>
  <c r="A440" i="225"/>
  <c r="AL462" i="225"/>
  <c r="AW462" i="225" s="1"/>
  <c r="A534" i="225"/>
  <c r="AL534" i="225" s="1"/>
  <c r="AW534" i="225" s="1"/>
  <c r="AK533" i="225"/>
  <c r="AV533" i="225" s="1"/>
  <c r="AC533" i="225"/>
  <c r="U533" i="225"/>
  <c r="AD533" i="225"/>
  <c r="AO533" i="225" s="1"/>
  <c r="AJ533" i="225"/>
  <c r="AU533" i="225" s="1"/>
  <c r="AB533" i="225"/>
  <c r="T533" i="225"/>
  <c r="AI533" i="225"/>
  <c r="AT533" i="225" s="1"/>
  <c r="AA533" i="225"/>
  <c r="S533" i="225"/>
  <c r="AN533" i="225" s="1"/>
  <c r="AH533" i="225"/>
  <c r="AS533" i="225" s="1"/>
  <c r="Z533" i="225"/>
  <c r="Q533" i="225"/>
  <c r="V533" i="225"/>
  <c r="AG533" i="225"/>
  <c r="AR533" i="225" s="1"/>
  <c r="Y533" i="225"/>
  <c r="P533" i="225"/>
  <c r="AL533" i="225"/>
  <c r="AW533" i="225" s="1"/>
  <c r="AF533" i="225"/>
  <c r="AQ533" i="225" s="1"/>
  <c r="X533" i="225"/>
  <c r="O533" i="225"/>
  <c r="AM533" i="225"/>
  <c r="AE533" i="225"/>
  <c r="AP533" i="225" s="1"/>
  <c r="W533" i="225"/>
  <c r="A372" i="225"/>
  <c r="A373" i="225" s="1"/>
  <c r="A374" i="225" s="1"/>
  <c r="A371" i="225"/>
  <c r="Q414" i="225"/>
  <c r="R413" i="225"/>
  <c r="AM534" i="225"/>
  <c r="S534" i="225"/>
  <c r="AJ534" i="225"/>
  <c r="P534" i="225"/>
  <c r="Z534" i="225"/>
  <c r="W534" i="225"/>
  <c r="AG534" i="225"/>
  <c r="AR534" i="225" s="1"/>
  <c r="Q534" i="225"/>
  <c r="AD534" i="225"/>
  <c r="V534" i="225"/>
  <c r="U534" i="225"/>
  <c r="T534" i="225"/>
  <c r="AI534" i="225"/>
  <c r="AT534" i="225" s="1"/>
  <c r="AE534" i="225"/>
  <c r="AP534" i="225" s="1"/>
  <c r="AK534" i="225"/>
  <c r="AV534" i="225" s="1"/>
  <c r="AH534" i="225"/>
  <c r="AF534" i="225"/>
  <c r="AQ534" i="225" s="1"/>
  <c r="Y534" i="225"/>
  <c r="Y525" i="225" s="1"/>
  <c r="A535" i="225"/>
  <c r="A536" i="225" s="1"/>
  <c r="W536" i="225" s="1"/>
  <c r="X534" i="225"/>
  <c r="AC534" i="225"/>
  <c r="O534" i="225"/>
  <c r="R532" i="225"/>
  <c r="AE381" i="225"/>
  <c r="O381" i="225"/>
  <c r="W381" i="225"/>
  <c r="AM381" i="225"/>
  <c r="R381" i="225"/>
  <c r="Z381" i="225"/>
  <c r="AH381" i="225"/>
  <c r="P381" i="225"/>
  <c r="X381" i="225"/>
  <c r="AF381" i="225"/>
  <c r="AN381" i="225"/>
  <c r="T381" i="225"/>
  <c r="AA381" i="225"/>
  <c r="U381" i="225"/>
  <c r="AC381" i="225"/>
  <c r="AK381" i="225"/>
  <c r="AI381" i="225"/>
  <c r="AJ381" i="225"/>
  <c r="S381" i="225"/>
  <c r="AB381" i="225"/>
  <c r="AL381" i="225"/>
  <c r="V381" i="225"/>
  <c r="AD381" i="225"/>
  <c r="Q381" i="225"/>
  <c r="Y381" i="225"/>
  <c r="AG381" i="225"/>
  <c r="A352" i="225"/>
  <c r="A353" i="225" s="1"/>
  <c r="A354" i="225" s="1"/>
  <c r="A348" i="225"/>
  <c r="A349" i="225" s="1"/>
  <c r="A350" i="225" s="1"/>
  <c r="A344" i="225"/>
  <c r="A345" i="225" s="1"/>
  <c r="A346" i="225" s="1"/>
  <c r="A340" i="225"/>
  <c r="A341" i="225" s="1"/>
  <c r="A342" i="225" s="1"/>
  <c r="A321" i="225"/>
  <c r="A322" i="225" s="1"/>
  <c r="A323" i="225" s="1"/>
  <c r="A324" i="225" s="1"/>
  <c r="A325" i="225" s="1"/>
  <c r="A326" i="225" s="1"/>
  <c r="A327" i="225" s="1"/>
  <c r="A328" i="225" s="1"/>
  <c r="A329" i="225" s="1"/>
  <c r="A330" i="225" s="1"/>
  <c r="A331" i="225" s="1"/>
  <c r="A332" i="225" s="1"/>
  <c r="L352" i="225"/>
  <c r="L354" i="225" s="1"/>
  <c r="L348" i="225"/>
  <c r="L350" i="225" s="1"/>
  <c r="L344" i="225"/>
  <c r="L345" i="225" s="1"/>
  <c r="L340" i="225"/>
  <c r="L342" i="225" s="1"/>
  <c r="AO534" i="225" l="1"/>
  <c r="AN534" i="225"/>
  <c r="Q525" i="225"/>
  <c r="AB534" i="225"/>
  <c r="AB525" i="225" s="1"/>
  <c r="AA534" i="225"/>
  <c r="AA525" i="225" s="1"/>
  <c r="A441" i="225"/>
  <c r="A442" i="225" s="1"/>
  <c r="AM462" i="225"/>
  <c r="AC525" i="225"/>
  <c r="U525" i="225"/>
  <c r="W525" i="225"/>
  <c r="AL525" i="225"/>
  <c r="AW525" i="225" s="1"/>
  <c r="P525" i="225"/>
  <c r="X525" i="225"/>
  <c r="Z525" i="225"/>
  <c r="O525" i="225"/>
  <c r="AM525" i="225"/>
  <c r="T525" i="225"/>
  <c r="R533" i="225"/>
  <c r="V525" i="225"/>
  <c r="AJ525" i="225"/>
  <c r="AU525" i="225" s="1"/>
  <c r="AU534" i="225"/>
  <c r="AH525" i="225"/>
  <c r="AS525" i="225" s="1"/>
  <c r="AS534" i="225"/>
  <c r="R414" i="225"/>
  <c r="S413" i="225"/>
  <c r="A336" i="225"/>
  <c r="A337" i="225" s="1"/>
  <c r="A338" i="225" s="1"/>
  <c r="A333" i="225"/>
  <c r="A334" i="225" s="1"/>
  <c r="A335" i="225" s="1"/>
  <c r="AI536" i="225"/>
  <c r="AT536" i="225" s="1"/>
  <c r="AD536" i="225"/>
  <c r="AO536" i="225" s="1"/>
  <c r="Z536" i="225"/>
  <c r="X536" i="225"/>
  <c r="V536" i="225"/>
  <c r="Q536" i="225"/>
  <c r="Q512" i="225" s="1"/>
  <c r="AG536" i="225"/>
  <c r="AR536" i="225" s="1"/>
  <c r="AH536" i="225"/>
  <c r="AS536" i="225" s="1"/>
  <c r="P536" i="225"/>
  <c r="P512" i="225" s="1"/>
  <c r="Y536" i="225"/>
  <c r="AB536" i="225"/>
  <c r="S536" i="225"/>
  <c r="AN536" i="225" s="1"/>
  <c r="U536" i="225"/>
  <c r="AA536" i="225"/>
  <c r="AL536" i="225"/>
  <c r="AW536" i="225" s="1"/>
  <c r="AF536" i="225"/>
  <c r="AQ536" i="225" s="1"/>
  <c r="AM536" i="225"/>
  <c r="O536" i="225"/>
  <c r="AE536" i="225"/>
  <c r="AP536" i="225" s="1"/>
  <c r="AJ536" i="225"/>
  <c r="AU536" i="225" s="1"/>
  <c r="AC536" i="225"/>
  <c r="AK536" i="225"/>
  <c r="AV536" i="225" s="1"/>
  <c r="T536" i="225"/>
  <c r="A537" i="225"/>
  <c r="A538" i="225" s="1"/>
  <c r="A539" i="225" s="1"/>
  <c r="U539" i="225" s="1"/>
  <c r="AD525" i="225"/>
  <c r="S525" i="225"/>
  <c r="R534" i="225"/>
  <c r="AF525" i="225"/>
  <c r="AQ525" i="225" s="1"/>
  <c r="AK525" i="225"/>
  <c r="AV525" i="225" s="1"/>
  <c r="AE525" i="225"/>
  <c r="AP525" i="225" s="1"/>
  <c r="AI525" i="225"/>
  <c r="AT525" i="225" s="1"/>
  <c r="AG525" i="225"/>
  <c r="AR525" i="225" s="1"/>
  <c r="R525" i="225"/>
  <c r="L353" i="225"/>
  <c r="L349" i="225"/>
  <c r="L346" i="225"/>
  <c r="L341" i="225"/>
  <c r="A310" i="225"/>
  <c r="A311" i="225" s="1"/>
  <c r="A312" i="225" s="1"/>
  <c r="A313" i="225" s="1"/>
  <c r="A314" i="225" s="1"/>
  <c r="A315" i="225" s="1"/>
  <c r="A316" i="225" s="1"/>
  <c r="AL311" i="225"/>
  <c r="AL310" i="225" s="1"/>
  <c r="AK311" i="225"/>
  <c r="AK310" i="225" s="1"/>
  <c r="AJ311" i="225"/>
  <c r="AJ310" i="225" s="1"/>
  <c r="AI311" i="225"/>
  <c r="AI310" i="225" s="1"/>
  <c r="AH311" i="225"/>
  <c r="AH310" i="225" s="1"/>
  <c r="AG311" i="225"/>
  <c r="AG310" i="225" s="1"/>
  <c r="AF311" i="225"/>
  <c r="AF310" i="225" s="1"/>
  <c r="AE311" i="225"/>
  <c r="AE310" i="225" s="1"/>
  <c r="AD311" i="225"/>
  <c r="AD310" i="225" s="1"/>
  <c r="AC311" i="225"/>
  <c r="AC310" i="225" s="1"/>
  <c r="AB311" i="225"/>
  <c r="AB310" i="225" s="1"/>
  <c r="AA311" i="225"/>
  <c r="AA310" i="225" s="1"/>
  <c r="Z311" i="225"/>
  <c r="Z310" i="225" s="1"/>
  <c r="Y311" i="225"/>
  <c r="Y310" i="225" s="1"/>
  <c r="X311" i="225"/>
  <c r="X310" i="225" s="1"/>
  <c r="W311" i="225"/>
  <c r="W310" i="225" s="1"/>
  <c r="V311" i="225"/>
  <c r="V310" i="225" s="1"/>
  <c r="U311" i="225"/>
  <c r="U310" i="225" s="1"/>
  <c r="T311" i="225"/>
  <c r="T310" i="225" s="1"/>
  <c r="S311" i="225"/>
  <c r="S310" i="225" s="1"/>
  <c r="R311" i="225"/>
  <c r="R310" i="225" s="1"/>
  <c r="Q311" i="225"/>
  <c r="Q310" i="225" s="1"/>
  <c r="P311" i="225"/>
  <c r="P310" i="225" s="1"/>
  <c r="O311" i="225"/>
  <c r="O310" i="225" s="1"/>
  <c r="A258" i="225"/>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286" i="225" s="1"/>
  <c r="A287" i="225" s="1"/>
  <c r="A288" i="225" s="1"/>
  <c r="A289" i="225" s="1"/>
  <c r="A290" i="225" s="1"/>
  <c r="A291" i="225" s="1"/>
  <c r="A292" i="225" s="1"/>
  <c r="A293" i="225" s="1"/>
  <c r="A294" i="225" s="1"/>
  <c r="A295" i="225" s="1"/>
  <c r="A296" i="225" s="1"/>
  <c r="A297" i="225" s="1"/>
  <c r="A298" i="225" s="1"/>
  <c r="A299" i="225" s="1"/>
  <c r="A300" i="225" s="1"/>
  <c r="A301" i="225" s="1"/>
  <c r="A302" i="225" s="1"/>
  <c r="A303" i="225" s="1"/>
  <c r="A304" i="225" s="1"/>
  <c r="A305" i="225" s="1"/>
  <c r="AL300" i="225"/>
  <c r="AK300" i="225"/>
  <c r="AJ300" i="225"/>
  <c r="AI300" i="225"/>
  <c r="AH300" i="225"/>
  <c r="AG300" i="225"/>
  <c r="AF300" i="225"/>
  <c r="AE300" i="225"/>
  <c r="AD300" i="225"/>
  <c r="AC300" i="225"/>
  <c r="AB300" i="225"/>
  <c r="AA300" i="225"/>
  <c r="Z300" i="225"/>
  <c r="Y300" i="225"/>
  <c r="X300" i="225"/>
  <c r="W300" i="225"/>
  <c r="V300" i="225"/>
  <c r="U300" i="225"/>
  <c r="T300" i="225"/>
  <c r="S300" i="225"/>
  <c r="R300" i="225"/>
  <c r="Q300" i="225"/>
  <c r="P300" i="225"/>
  <c r="O300" i="225"/>
  <c r="AL294" i="225"/>
  <c r="AK294" i="225"/>
  <c r="AJ294" i="225"/>
  <c r="AI294" i="225"/>
  <c r="AH294" i="225"/>
  <c r="AG294" i="225"/>
  <c r="AF294" i="225"/>
  <c r="AE294" i="225"/>
  <c r="AD294" i="225"/>
  <c r="AC294" i="225"/>
  <c r="AB294" i="225"/>
  <c r="AA294" i="225"/>
  <c r="Z294" i="225"/>
  <c r="Y294" i="225"/>
  <c r="X294" i="225"/>
  <c r="W294" i="225"/>
  <c r="V294" i="225"/>
  <c r="U294" i="225"/>
  <c r="T294" i="225"/>
  <c r="S294" i="225"/>
  <c r="R294" i="225"/>
  <c r="Q294" i="225"/>
  <c r="P294" i="225"/>
  <c r="O294" i="225"/>
  <c r="AL281" i="225"/>
  <c r="AL287" i="225" s="1"/>
  <c r="AL293" i="225" s="1"/>
  <c r="AK281" i="225"/>
  <c r="AK287" i="225" s="1"/>
  <c r="AK293" i="225" s="1"/>
  <c r="AJ281" i="225"/>
  <c r="AJ287" i="225" s="1"/>
  <c r="AJ293" i="225" s="1"/>
  <c r="AI281" i="225"/>
  <c r="AI287" i="225" s="1"/>
  <c r="AI293" i="225" s="1"/>
  <c r="AH281" i="225"/>
  <c r="AH287" i="225" s="1"/>
  <c r="AH293" i="225" s="1"/>
  <c r="AG281" i="225"/>
  <c r="AG287" i="225" s="1"/>
  <c r="AG293" i="225" s="1"/>
  <c r="AF281" i="225"/>
  <c r="AF287" i="225" s="1"/>
  <c r="AF293" i="225" s="1"/>
  <c r="AE281" i="225"/>
  <c r="AE287" i="225" s="1"/>
  <c r="AE293" i="225" s="1"/>
  <c r="AD281" i="225"/>
  <c r="AD287" i="225" s="1"/>
  <c r="AD293" i="225" s="1"/>
  <c r="AC281" i="225"/>
  <c r="AC287" i="225" s="1"/>
  <c r="AC293" i="225" s="1"/>
  <c r="AB281" i="225"/>
  <c r="AB287" i="225" s="1"/>
  <c r="AB293" i="225" s="1"/>
  <c r="AA281" i="225"/>
  <c r="AA287" i="225" s="1"/>
  <c r="AA293" i="225" s="1"/>
  <c r="Z281" i="225"/>
  <c r="Z287" i="225" s="1"/>
  <c r="Z293" i="225" s="1"/>
  <c r="Y281" i="225"/>
  <c r="Y287" i="225" s="1"/>
  <c r="Y293" i="225" s="1"/>
  <c r="X281" i="225"/>
  <c r="X287" i="225" s="1"/>
  <c r="X293" i="225" s="1"/>
  <c r="W281" i="225"/>
  <c r="W287" i="225" s="1"/>
  <c r="W293" i="225" s="1"/>
  <c r="V281" i="225"/>
  <c r="V287" i="225" s="1"/>
  <c r="V293" i="225" s="1"/>
  <c r="U281" i="225"/>
  <c r="U287" i="225" s="1"/>
  <c r="U293" i="225" s="1"/>
  <c r="T281" i="225"/>
  <c r="T287" i="225" s="1"/>
  <c r="T293" i="225" s="1"/>
  <c r="S281" i="225"/>
  <c r="S287" i="225" s="1"/>
  <c r="S293" i="225" s="1"/>
  <c r="R281" i="225"/>
  <c r="R287" i="225" s="1"/>
  <c r="R293" i="225" s="1"/>
  <c r="Q281" i="225"/>
  <c r="Q287" i="225" s="1"/>
  <c r="Q293" i="225" s="1"/>
  <c r="P281" i="225"/>
  <c r="P287" i="225" s="1"/>
  <c r="P293" i="225" s="1"/>
  <c r="O281" i="225"/>
  <c r="O287" i="225" s="1"/>
  <c r="O293" i="225" s="1"/>
  <c r="AL280" i="225"/>
  <c r="AL286" i="225" s="1"/>
  <c r="AL292" i="225" s="1"/>
  <c r="AK280" i="225"/>
  <c r="AK286" i="225" s="1"/>
  <c r="AK292" i="225" s="1"/>
  <c r="AJ280" i="225"/>
  <c r="AJ286" i="225" s="1"/>
  <c r="AJ292" i="225" s="1"/>
  <c r="AI280" i="225"/>
  <c r="AI286" i="225" s="1"/>
  <c r="AI292" i="225" s="1"/>
  <c r="AH280" i="225"/>
  <c r="AH286" i="225" s="1"/>
  <c r="AH292" i="225" s="1"/>
  <c r="AG280" i="225"/>
  <c r="AG286" i="225" s="1"/>
  <c r="AG292" i="225" s="1"/>
  <c r="AF280" i="225"/>
  <c r="AF286" i="225" s="1"/>
  <c r="AF292" i="225" s="1"/>
  <c r="AE280" i="225"/>
  <c r="AE286" i="225" s="1"/>
  <c r="AE292" i="225" s="1"/>
  <c r="AD280" i="225"/>
  <c r="AD286" i="225" s="1"/>
  <c r="AD292" i="225" s="1"/>
  <c r="AC280" i="225"/>
  <c r="AC286" i="225" s="1"/>
  <c r="AC292" i="225" s="1"/>
  <c r="AB280" i="225"/>
  <c r="AB286" i="225" s="1"/>
  <c r="AB292" i="225" s="1"/>
  <c r="AA280" i="225"/>
  <c r="AA286" i="225" s="1"/>
  <c r="AA292" i="225" s="1"/>
  <c r="Z280" i="225"/>
  <c r="Z286" i="225" s="1"/>
  <c r="Z292" i="225" s="1"/>
  <c r="Y280" i="225"/>
  <c r="Y286" i="225" s="1"/>
  <c r="Y292" i="225" s="1"/>
  <c r="X280" i="225"/>
  <c r="X286" i="225" s="1"/>
  <c r="X292" i="225" s="1"/>
  <c r="W280" i="225"/>
  <c r="W286" i="225" s="1"/>
  <c r="W292" i="225" s="1"/>
  <c r="V280" i="225"/>
  <c r="V286" i="225" s="1"/>
  <c r="V292" i="225" s="1"/>
  <c r="U280" i="225"/>
  <c r="U286" i="225" s="1"/>
  <c r="U292" i="225" s="1"/>
  <c r="T280" i="225"/>
  <c r="T286" i="225" s="1"/>
  <c r="T292" i="225" s="1"/>
  <c r="S280" i="225"/>
  <c r="S286" i="225" s="1"/>
  <c r="S292" i="225" s="1"/>
  <c r="R280" i="225"/>
  <c r="R286" i="225" s="1"/>
  <c r="R292" i="225" s="1"/>
  <c r="Q280" i="225"/>
  <c r="Q286" i="225" s="1"/>
  <c r="Q292" i="225" s="1"/>
  <c r="P280" i="225"/>
  <c r="P286" i="225" s="1"/>
  <c r="P292" i="225" s="1"/>
  <c r="O280" i="225"/>
  <c r="O286" i="225" s="1"/>
  <c r="O292" i="225" s="1"/>
  <c r="AL279" i="225"/>
  <c r="AL285" i="225" s="1"/>
  <c r="AL291" i="225" s="1"/>
  <c r="AK279" i="225"/>
  <c r="AK285" i="225" s="1"/>
  <c r="AK291" i="225" s="1"/>
  <c r="AJ279" i="225"/>
  <c r="AJ285" i="225" s="1"/>
  <c r="AJ291" i="225" s="1"/>
  <c r="AI279" i="225"/>
  <c r="AI285" i="225" s="1"/>
  <c r="AI291" i="225" s="1"/>
  <c r="AH279" i="225"/>
  <c r="AH285" i="225" s="1"/>
  <c r="AH291" i="225" s="1"/>
  <c r="AG279" i="225"/>
  <c r="AG285" i="225" s="1"/>
  <c r="AG291" i="225" s="1"/>
  <c r="AF279" i="225"/>
  <c r="AF285" i="225" s="1"/>
  <c r="AF291" i="225" s="1"/>
  <c r="AE279" i="225"/>
  <c r="AE285" i="225" s="1"/>
  <c r="AE291" i="225" s="1"/>
  <c r="AD279" i="225"/>
  <c r="AD285" i="225" s="1"/>
  <c r="AD291" i="225" s="1"/>
  <c r="AC279" i="225"/>
  <c r="AC285" i="225" s="1"/>
  <c r="AC291" i="225" s="1"/>
  <c r="AB279" i="225"/>
  <c r="AB285" i="225" s="1"/>
  <c r="AB291" i="225" s="1"/>
  <c r="AA279" i="225"/>
  <c r="AA285" i="225" s="1"/>
  <c r="AA291" i="225" s="1"/>
  <c r="Z279" i="225"/>
  <c r="Z285" i="225" s="1"/>
  <c r="Z291" i="225" s="1"/>
  <c r="Y279" i="225"/>
  <c r="Y285" i="225" s="1"/>
  <c r="Y291" i="225" s="1"/>
  <c r="X279" i="225"/>
  <c r="X285" i="225" s="1"/>
  <c r="X291" i="225" s="1"/>
  <c r="W279" i="225"/>
  <c r="W285" i="225" s="1"/>
  <c r="W291" i="225" s="1"/>
  <c r="V279" i="225"/>
  <c r="V285" i="225" s="1"/>
  <c r="V291" i="225" s="1"/>
  <c r="U279" i="225"/>
  <c r="U285" i="225" s="1"/>
  <c r="U291" i="225" s="1"/>
  <c r="T279" i="225"/>
  <c r="T285" i="225" s="1"/>
  <c r="T291" i="225" s="1"/>
  <c r="S279" i="225"/>
  <c r="S285" i="225" s="1"/>
  <c r="S291" i="225" s="1"/>
  <c r="R279" i="225"/>
  <c r="R285" i="225" s="1"/>
  <c r="R291" i="225" s="1"/>
  <c r="Q279" i="225"/>
  <c r="Q285" i="225" s="1"/>
  <c r="Q291" i="225" s="1"/>
  <c r="P279" i="225"/>
  <c r="P285" i="225" s="1"/>
  <c r="P291" i="225" s="1"/>
  <c r="O279" i="225"/>
  <c r="O285" i="225" s="1"/>
  <c r="O291" i="225" s="1"/>
  <c r="AL278" i="225"/>
  <c r="AL284" i="225" s="1"/>
  <c r="AL290" i="225" s="1"/>
  <c r="AK278" i="225"/>
  <c r="AK284" i="225" s="1"/>
  <c r="AK290" i="225" s="1"/>
  <c r="AJ278" i="225"/>
  <c r="AJ284" i="225" s="1"/>
  <c r="AJ290" i="225" s="1"/>
  <c r="AI278" i="225"/>
  <c r="AI284" i="225" s="1"/>
  <c r="AI290" i="225" s="1"/>
  <c r="AH278" i="225"/>
  <c r="AH284" i="225" s="1"/>
  <c r="AH290" i="225" s="1"/>
  <c r="AG278" i="225"/>
  <c r="AG284" i="225" s="1"/>
  <c r="AG290" i="225" s="1"/>
  <c r="AF278" i="225"/>
  <c r="AF284" i="225" s="1"/>
  <c r="AF290" i="225" s="1"/>
  <c r="AE278" i="225"/>
  <c r="AE284" i="225" s="1"/>
  <c r="AE290" i="225" s="1"/>
  <c r="AD278" i="225"/>
  <c r="AD284" i="225" s="1"/>
  <c r="AD290" i="225" s="1"/>
  <c r="AC278" i="225"/>
  <c r="AC284" i="225" s="1"/>
  <c r="AC290" i="225" s="1"/>
  <c r="AB278" i="225"/>
  <c r="AB284" i="225" s="1"/>
  <c r="AB290" i="225" s="1"/>
  <c r="AA278" i="225"/>
  <c r="AA284" i="225" s="1"/>
  <c r="AA290" i="225" s="1"/>
  <c r="Z278" i="225"/>
  <c r="Z284" i="225" s="1"/>
  <c r="Z290" i="225" s="1"/>
  <c r="Y278" i="225"/>
  <c r="Y284" i="225" s="1"/>
  <c r="Y290" i="225" s="1"/>
  <c r="X278" i="225"/>
  <c r="X284" i="225" s="1"/>
  <c r="X290" i="225" s="1"/>
  <c r="W278" i="225"/>
  <c r="W284" i="225" s="1"/>
  <c r="W290" i="225" s="1"/>
  <c r="V278" i="225"/>
  <c r="V284" i="225" s="1"/>
  <c r="V290" i="225" s="1"/>
  <c r="U278" i="225"/>
  <c r="U284" i="225" s="1"/>
  <c r="U290" i="225" s="1"/>
  <c r="T278" i="225"/>
  <c r="T284" i="225" s="1"/>
  <c r="T290" i="225" s="1"/>
  <c r="S278" i="225"/>
  <c r="S284" i="225" s="1"/>
  <c r="S290" i="225" s="1"/>
  <c r="R278" i="225"/>
  <c r="R284" i="225" s="1"/>
  <c r="R290" i="225" s="1"/>
  <c r="Q278" i="225"/>
  <c r="Q284" i="225" s="1"/>
  <c r="Q290" i="225" s="1"/>
  <c r="P278" i="225"/>
  <c r="P284" i="225" s="1"/>
  <c r="P290" i="225" s="1"/>
  <c r="O278" i="225"/>
  <c r="O284" i="225" s="1"/>
  <c r="O290" i="225" s="1"/>
  <c r="AL277" i="225"/>
  <c r="AL283" i="225" s="1"/>
  <c r="AL289" i="225" s="1"/>
  <c r="AK277" i="225"/>
  <c r="AK283" i="225" s="1"/>
  <c r="AJ277" i="225"/>
  <c r="AJ283" i="225" s="1"/>
  <c r="AJ289" i="225" s="1"/>
  <c r="AI277" i="225"/>
  <c r="AI283" i="225" s="1"/>
  <c r="AH277" i="225"/>
  <c r="AH283" i="225" s="1"/>
  <c r="AG277" i="225"/>
  <c r="AG283" i="225" s="1"/>
  <c r="AG289" i="225" s="1"/>
  <c r="AF277" i="225"/>
  <c r="AF283" i="225" s="1"/>
  <c r="AE277" i="225"/>
  <c r="AE283" i="225" s="1"/>
  <c r="AE289" i="225" s="1"/>
  <c r="AD277" i="225"/>
  <c r="AD283" i="225" s="1"/>
  <c r="AD289" i="225" s="1"/>
  <c r="AC277" i="225"/>
  <c r="AC283" i="225" s="1"/>
  <c r="AB277" i="225"/>
  <c r="AB283" i="225" s="1"/>
  <c r="AA277" i="225"/>
  <c r="AA283" i="225" s="1"/>
  <c r="AA289" i="225" s="1"/>
  <c r="Z277" i="225"/>
  <c r="Z283" i="225" s="1"/>
  <c r="Z289" i="225" s="1"/>
  <c r="Y277" i="225"/>
  <c r="Y283" i="225" s="1"/>
  <c r="Y289" i="225" s="1"/>
  <c r="X277" i="225"/>
  <c r="X283" i="225" s="1"/>
  <c r="W277" i="225"/>
  <c r="W283" i="225" s="1"/>
  <c r="W289" i="225" s="1"/>
  <c r="V277" i="225"/>
  <c r="V283" i="225" s="1"/>
  <c r="V289" i="225" s="1"/>
  <c r="U277" i="225"/>
  <c r="U283" i="225" s="1"/>
  <c r="U289" i="225" s="1"/>
  <c r="T277" i="225"/>
  <c r="T283" i="225" s="1"/>
  <c r="T289" i="225" s="1"/>
  <c r="S277" i="225"/>
  <c r="S283" i="225" s="1"/>
  <c r="S289" i="225" s="1"/>
  <c r="R277" i="225"/>
  <c r="R283" i="225" s="1"/>
  <c r="R289" i="225" s="1"/>
  <c r="Q277" i="225"/>
  <c r="Q283" i="225" s="1"/>
  <c r="Q289" i="225" s="1"/>
  <c r="P277" i="225"/>
  <c r="P283" i="225" s="1"/>
  <c r="P289" i="225" s="1"/>
  <c r="O277" i="225"/>
  <c r="O283" i="225" s="1"/>
  <c r="AL270" i="225"/>
  <c r="AK270" i="225"/>
  <c r="AJ270" i="225"/>
  <c r="AI270" i="225"/>
  <c r="AH270" i="225"/>
  <c r="AG270" i="225"/>
  <c r="AF270" i="225"/>
  <c r="AE270" i="225"/>
  <c r="AD270" i="225"/>
  <c r="AC270" i="225"/>
  <c r="AB270" i="225"/>
  <c r="AA270" i="225"/>
  <c r="Z270" i="225"/>
  <c r="Y270" i="225"/>
  <c r="X270" i="225"/>
  <c r="W270" i="225"/>
  <c r="V270" i="225"/>
  <c r="U270" i="225"/>
  <c r="T270" i="225"/>
  <c r="S270" i="225"/>
  <c r="R270" i="225"/>
  <c r="Q270" i="225"/>
  <c r="P270" i="225"/>
  <c r="O270" i="225"/>
  <c r="AL264" i="225"/>
  <c r="AK264" i="225"/>
  <c r="AJ264" i="225"/>
  <c r="AI264" i="225"/>
  <c r="AH264" i="225"/>
  <c r="AG264" i="225"/>
  <c r="AF264" i="225"/>
  <c r="AE264" i="225"/>
  <c r="AD264" i="225"/>
  <c r="AC264" i="225"/>
  <c r="AB264" i="225"/>
  <c r="AA264" i="225"/>
  <c r="Z264" i="225"/>
  <c r="Y264" i="225"/>
  <c r="X264" i="225"/>
  <c r="W264" i="225"/>
  <c r="V264" i="225"/>
  <c r="U264" i="225"/>
  <c r="T264" i="225"/>
  <c r="S264" i="225"/>
  <c r="R264" i="225"/>
  <c r="Q264" i="225"/>
  <c r="P264" i="225"/>
  <c r="O264" i="225"/>
  <c r="AL258" i="225"/>
  <c r="AK258" i="225"/>
  <c r="AJ258" i="225"/>
  <c r="AI258" i="225"/>
  <c r="AH258" i="225"/>
  <c r="AG258" i="225"/>
  <c r="AF258" i="225"/>
  <c r="AE258" i="225"/>
  <c r="AD258" i="225"/>
  <c r="AC258" i="225"/>
  <c r="AB258" i="225"/>
  <c r="AA258" i="225"/>
  <c r="Z258" i="225"/>
  <c r="Y258" i="225"/>
  <c r="X258" i="225"/>
  <c r="W258" i="225"/>
  <c r="V258" i="225"/>
  <c r="U258" i="225"/>
  <c r="T258" i="225"/>
  <c r="S258" i="225"/>
  <c r="R258" i="225"/>
  <c r="Q258" i="225"/>
  <c r="P258" i="225"/>
  <c r="O258" i="225"/>
  <c r="A230" i="225"/>
  <c r="A231" i="225" s="1"/>
  <c r="A232" i="225" s="1"/>
  <c r="A243" i="225"/>
  <c r="A244" i="225" s="1"/>
  <c r="A245" i="225" s="1"/>
  <c r="AL231" i="225"/>
  <c r="AL233" i="225" s="1"/>
  <c r="AK231" i="225"/>
  <c r="AK233" i="225" s="1"/>
  <c r="AJ231" i="225"/>
  <c r="AJ233" i="225" s="1"/>
  <c r="AI231" i="225"/>
  <c r="AI233" i="225" s="1"/>
  <c r="AH231" i="225"/>
  <c r="AH233" i="225" s="1"/>
  <c r="AG231" i="225"/>
  <c r="AG233" i="225" s="1"/>
  <c r="AF231" i="225"/>
  <c r="AF233" i="225" s="1"/>
  <c r="AE231" i="225"/>
  <c r="AE233" i="225" s="1"/>
  <c r="AD231" i="225"/>
  <c r="AD233" i="225" s="1"/>
  <c r="AC231" i="225"/>
  <c r="AC233" i="225" s="1"/>
  <c r="AB231" i="225"/>
  <c r="AB233" i="225" s="1"/>
  <c r="AA231" i="225"/>
  <c r="AA233" i="225" s="1"/>
  <c r="Z231" i="225"/>
  <c r="Z233" i="225" s="1"/>
  <c r="Y231" i="225"/>
  <c r="Y233" i="225" s="1"/>
  <c r="X231" i="225"/>
  <c r="X233" i="225" s="1"/>
  <c r="W231" i="225"/>
  <c r="W233" i="225" s="1"/>
  <c r="V231" i="225"/>
  <c r="V233" i="225" s="1"/>
  <c r="U231" i="225"/>
  <c r="U233" i="225" s="1"/>
  <c r="T231" i="225"/>
  <c r="T233" i="225" s="1"/>
  <c r="S231" i="225"/>
  <c r="S233" i="225" s="1"/>
  <c r="R231" i="225"/>
  <c r="R233" i="225" s="1"/>
  <c r="Q231" i="225"/>
  <c r="Q233" i="225" s="1"/>
  <c r="P231" i="225"/>
  <c r="P233" i="225" s="1"/>
  <c r="O231" i="225"/>
  <c r="O233" i="225" s="1"/>
  <c r="AL230" i="225"/>
  <c r="AK230" i="225"/>
  <c r="AJ230" i="225"/>
  <c r="AI230" i="225"/>
  <c r="AH230" i="225"/>
  <c r="AG230" i="225"/>
  <c r="AF230" i="225"/>
  <c r="AE230" i="225"/>
  <c r="AD230" i="225"/>
  <c r="AC230" i="225"/>
  <c r="AB230" i="225"/>
  <c r="AA230" i="225"/>
  <c r="Z230" i="225"/>
  <c r="Y230" i="225"/>
  <c r="X230" i="225"/>
  <c r="W230" i="225"/>
  <c r="V230" i="225"/>
  <c r="U230" i="225"/>
  <c r="T230" i="225"/>
  <c r="S230" i="225"/>
  <c r="R230" i="225"/>
  <c r="Q230" i="225"/>
  <c r="P230" i="225"/>
  <c r="O230" i="225"/>
  <c r="L243" i="225"/>
  <c r="AO525" i="225" l="1"/>
  <c r="AN525" i="225"/>
  <c r="A443" i="225"/>
  <c r="Q442" i="225"/>
  <c r="O512" i="225"/>
  <c r="AK282" i="225"/>
  <c r="AK289" i="225"/>
  <c r="O282" i="225"/>
  <c r="O289" i="225"/>
  <c r="X282" i="225"/>
  <c r="X289" i="225"/>
  <c r="AF282" i="225"/>
  <c r="AF289" i="225"/>
  <c r="AH282" i="225"/>
  <c r="AH289" i="225"/>
  <c r="AC282" i="225"/>
  <c r="AC289" i="225"/>
  <c r="AI282" i="225"/>
  <c r="AI289" i="225"/>
  <c r="AB282" i="225"/>
  <c r="AB289" i="225"/>
  <c r="S282" i="225"/>
  <c r="T413" i="225"/>
  <c r="S414" i="225"/>
  <c r="U282" i="225"/>
  <c r="R536" i="225"/>
  <c r="AE539" i="225"/>
  <c r="AP539" i="225" s="1"/>
  <c r="AH539" i="225"/>
  <c r="AS539" i="225" s="1"/>
  <c r="A233" i="225"/>
  <c r="A234" i="225" s="1"/>
  <c r="A235" i="225" s="1"/>
  <c r="A239" i="225" s="1"/>
  <c r="A240" i="225" s="1"/>
  <c r="A241" i="225" s="1"/>
  <c r="T234" i="225"/>
  <c r="AK234" i="225"/>
  <c r="AF234" i="225"/>
  <c r="AC234" i="225"/>
  <c r="AE234" i="225"/>
  <c r="P234" i="225"/>
  <c r="U234" i="225"/>
  <c r="V234" i="225"/>
  <c r="W234" i="225"/>
  <c r="AB234" i="225"/>
  <c r="R234" i="225"/>
  <c r="AL234" i="225"/>
  <c r="AG234" i="225"/>
  <c r="AH234" i="225"/>
  <c r="AJ234" i="225"/>
  <c r="S234" i="225"/>
  <c r="AI234" i="225"/>
  <c r="Z234" i="225"/>
  <c r="AD234" i="225"/>
  <c r="X234" i="225"/>
  <c r="AA234" i="225"/>
  <c r="Q234" i="225"/>
  <c r="Y234" i="225"/>
  <c r="O234" i="225"/>
  <c r="U512" i="225"/>
  <c r="AB539" i="225"/>
  <c r="AB512" i="225" s="1"/>
  <c r="Y539" i="225"/>
  <c r="Y512" i="225" s="1"/>
  <c r="Z539" i="225"/>
  <c r="Z512" i="225" s="1"/>
  <c r="X539" i="225"/>
  <c r="X512" i="225" s="1"/>
  <c r="W539" i="225"/>
  <c r="W512" i="225" s="1"/>
  <c r="AD539" i="225"/>
  <c r="AO539" i="225" s="1"/>
  <c r="AI539" i="225"/>
  <c r="AT539" i="225" s="1"/>
  <c r="V539" i="225"/>
  <c r="V512" i="225" s="1"/>
  <c r="AJ539" i="225"/>
  <c r="AU539" i="225" s="1"/>
  <c r="AF539" i="225"/>
  <c r="AQ539" i="225" s="1"/>
  <c r="AG539" i="225"/>
  <c r="AR539" i="225" s="1"/>
  <c r="T539" i="225"/>
  <c r="T512" i="225" s="1"/>
  <c r="A540" i="225"/>
  <c r="A541" i="225" s="1"/>
  <c r="A542" i="225" s="1"/>
  <c r="A543" i="225" s="1"/>
  <c r="A544" i="225" s="1"/>
  <c r="A545" i="225" s="1"/>
  <c r="A546" i="225" s="1"/>
  <c r="AL546" i="225" s="1"/>
  <c r="AW546" i="225" s="1"/>
  <c r="AM539" i="225"/>
  <c r="AM512" i="225" s="1"/>
  <c r="AC539" i="225"/>
  <c r="AC512" i="225" s="1"/>
  <c r="AL539" i="225"/>
  <c r="AW539" i="225" s="1"/>
  <c r="AA539" i="225"/>
  <c r="AA512" i="225" s="1"/>
  <c r="AK539" i="225"/>
  <c r="AV539" i="225" s="1"/>
  <c r="S512" i="225"/>
  <c r="Y282" i="225"/>
  <c r="T282" i="225"/>
  <c r="Q282" i="225"/>
  <c r="R282" i="225"/>
  <c r="R512" i="225"/>
  <c r="AG282" i="225"/>
  <c r="Z282" i="225"/>
  <c r="AJ282" i="225"/>
  <c r="AJ276" i="225"/>
  <c r="AE282" i="225"/>
  <c r="AI276" i="225"/>
  <c r="AK276" i="225"/>
  <c r="AG276" i="225"/>
  <c r="AH276" i="225"/>
  <c r="AL276" i="225"/>
  <c r="AA282" i="225"/>
  <c r="P276" i="225"/>
  <c r="S276" i="225"/>
  <c r="AF276" i="225"/>
  <c r="V282" i="225"/>
  <c r="AL282" i="225"/>
  <c r="AA276" i="225"/>
  <c r="Q276" i="225"/>
  <c r="AD276" i="225"/>
  <c r="AD282" i="225"/>
  <c r="V276" i="225"/>
  <c r="X276" i="225"/>
  <c r="Y276" i="225"/>
  <c r="R276" i="225"/>
  <c r="Z276" i="225"/>
  <c r="T276" i="225"/>
  <c r="AB276" i="225"/>
  <c r="U276" i="225"/>
  <c r="AC276" i="225"/>
  <c r="L244" i="225"/>
  <c r="L245" i="225"/>
  <c r="O276" i="225"/>
  <c r="W276" i="225"/>
  <c r="W282" i="225"/>
  <c r="P282" i="225"/>
  <c r="AE276" i="225"/>
  <c r="A444" i="225" l="1"/>
  <c r="Q443" i="225"/>
  <c r="U413" i="225"/>
  <c r="T414" i="225"/>
  <c r="A236" i="225"/>
  <c r="A237" i="225" s="1"/>
  <c r="A238" i="225" s="1"/>
  <c r="A547" i="225"/>
  <c r="A548" i="225" s="1"/>
  <c r="S548" i="225" s="1"/>
  <c r="AN548" i="225" s="1"/>
  <c r="P546" i="225"/>
  <c r="AE512" i="225"/>
  <c r="AP512" i="225" s="1"/>
  <c r="AH512" i="225"/>
  <c r="AS512" i="225" s="1"/>
  <c r="AE546" i="225"/>
  <c r="AK546" i="225"/>
  <c r="AV546" i="225" s="1"/>
  <c r="AJ546" i="225"/>
  <c r="AU546" i="225" s="1"/>
  <c r="AF546" i="225"/>
  <c r="AD546" i="225"/>
  <c r="Z546" i="225"/>
  <c r="Y546" i="225"/>
  <c r="AM546" i="225"/>
  <c r="V546" i="225"/>
  <c r="AD512" i="225"/>
  <c r="AA546" i="225"/>
  <c r="AC546" i="225"/>
  <c r="AF512" i="225"/>
  <c r="AQ512" i="225" s="1"/>
  <c r="AI512" i="225"/>
  <c r="AT512" i="225" s="1"/>
  <c r="AJ512" i="225"/>
  <c r="AU512" i="225" s="1"/>
  <c r="X546" i="225"/>
  <c r="AB546" i="225"/>
  <c r="AH546" i="225"/>
  <c r="AS546" i="225" s="1"/>
  <c r="AG546" i="225"/>
  <c r="U546" i="225"/>
  <c r="AK512" i="225"/>
  <c r="AV512" i="225" s="1"/>
  <c r="S546" i="225"/>
  <c r="Q546" i="225"/>
  <c r="AL512" i="225"/>
  <c r="AW512" i="225" s="1"/>
  <c r="O546" i="225"/>
  <c r="W546" i="225"/>
  <c r="T546" i="225"/>
  <c r="AI546" i="225"/>
  <c r="AT546" i="225" s="1"/>
  <c r="AG512" i="225"/>
  <c r="AR512" i="225" s="1"/>
  <c r="A549" i="225"/>
  <c r="A550" i="225" s="1"/>
  <c r="Y547" i="225"/>
  <c r="AH547" i="225"/>
  <c r="AS547" i="225" s="1"/>
  <c r="AC547" i="225"/>
  <c r="A225" i="225"/>
  <c r="A221" i="225"/>
  <c r="A222" i="225" s="1"/>
  <c r="A223" i="225" s="1"/>
  <c r="AL221" i="225"/>
  <c r="AK221" i="225"/>
  <c r="AJ221" i="225"/>
  <c r="AI221" i="225"/>
  <c r="AH221" i="225"/>
  <c r="AG221" i="225"/>
  <c r="AF221" i="225"/>
  <c r="AE221" i="225"/>
  <c r="AD221" i="225"/>
  <c r="AC221" i="225"/>
  <c r="AB221" i="225"/>
  <c r="AA221" i="225"/>
  <c r="Z221" i="225"/>
  <c r="Y221" i="225"/>
  <c r="X221" i="225"/>
  <c r="W221" i="225"/>
  <c r="V221" i="225"/>
  <c r="U221" i="225"/>
  <c r="T221" i="225"/>
  <c r="S221" i="225"/>
  <c r="R221" i="225"/>
  <c r="Q221" i="225"/>
  <c r="P221" i="225"/>
  <c r="O221" i="225"/>
  <c r="AL213" i="225"/>
  <c r="AL211" i="225" s="1"/>
  <c r="AK213" i="225"/>
  <c r="AK211" i="225" s="1"/>
  <c r="AJ213" i="225"/>
  <c r="AJ211" i="225" s="1"/>
  <c r="AI213" i="225"/>
  <c r="AI211" i="225" s="1"/>
  <c r="AH213" i="225"/>
  <c r="AH211" i="225" s="1"/>
  <c r="AG213" i="225"/>
  <c r="AG211" i="225" s="1"/>
  <c r="AF213" i="225"/>
  <c r="AF211" i="225" s="1"/>
  <c r="AE213" i="225"/>
  <c r="AE211" i="225" s="1"/>
  <c r="AD213" i="225"/>
  <c r="AD211" i="225" s="1"/>
  <c r="AC213" i="225"/>
  <c r="AC211" i="225" s="1"/>
  <c r="AB213" i="225"/>
  <c r="AB211" i="225" s="1"/>
  <c r="AA213" i="225"/>
  <c r="AA211" i="225" s="1"/>
  <c r="Z213" i="225"/>
  <c r="Z211" i="225" s="1"/>
  <c r="Y213" i="225"/>
  <c r="Y211" i="225" s="1"/>
  <c r="X213" i="225"/>
  <c r="X211" i="225" s="1"/>
  <c r="W213" i="225"/>
  <c r="W211" i="225" s="1"/>
  <c r="V213" i="225"/>
  <c r="V211" i="225" s="1"/>
  <c r="U213" i="225"/>
  <c r="U211" i="225" s="1"/>
  <c r="T213" i="225"/>
  <c r="T211" i="225" s="1"/>
  <c r="S213" i="225"/>
  <c r="S211" i="225" s="1"/>
  <c r="R213" i="225"/>
  <c r="R211" i="225" s="1"/>
  <c r="Q213" i="225"/>
  <c r="Q211" i="225" s="1"/>
  <c r="P213" i="225"/>
  <c r="P211" i="225" s="1"/>
  <c r="O213" i="225"/>
  <c r="O211" i="225" s="1"/>
  <c r="AL197" i="225"/>
  <c r="AK197" i="225"/>
  <c r="AJ197" i="225"/>
  <c r="AI197" i="225"/>
  <c r="AH197" i="225"/>
  <c r="AG197" i="225"/>
  <c r="AF197" i="225"/>
  <c r="AE197" i="225"/>
  <c r="AD197" i="225"/>
  <c r="AC197" i="225"/>
  <c r="AB197" i="225"/>
  <c r="AA197" i="225"/>
  <c r="Z197" i="225"/>
  <c r="Y197" i="225"/>
  <c r="X197" i="225"/>
  <c r="W197" i="225"/>
  <c r="V197" i="225"/>
  <c r="U197" i="225"/>
  <c r="T197" i="225"/>
  <c r="S197" i="225"/>
  <c r="R197" i="225"/>
  <c r="Q197" i="225"/>
  <c r="P197" i="225"/>
  <c r="O197" i="225"/>
  <c r="AL190" i="225"/>
  <c r="AK190" i="225"/>
  <c r="AJ190" i="225"/>
  <c r="AI190" i="225"/>
  <c r="AH190" i="225"/>
  <c r="AG190" i="225"/>
  <c r="AF190" i="225"/>
  <c r="AE190" i="225"/>
  <c r="AD190" i="225"/>
  <c r="AC190" i="225"/>
  <c r="AB190" i="225"/>
  <c r="AA190" i="225"/>
  <c r="Z190" i="225"/>
  <c r="Y190" i="225"/>
  <c r="X190" i="225"/>
  <c r="W190" i="225"/>
  <c r="V190" i="225"/>
  <c r="U190" i="225"/>
  <c r="T190" i="225"/>
  <c r="S190" i="225"/>
  <c r="R190" i="225"/>
  <c r="Q190" i="225"/>
  <c r="P190" i="225"/>
  <c r="O190" i="225"/>
  <c r="AL187" i="225"/>
  <c r="AK187" i="225"/>
  <c r="AJ187" i="225"/>
  <c r="AI187" i="225"/>
  <c r="AH187" i="225"/>
  <c r="AG187" i="225"/>
  <c r="AF187" i="225"/>
  <c r="AE187" i="225"/>
  <c r="AD187" i="225"/>
  <c r="AC187" i="225"/>
  <c r="AB187" i="225"/>
  <c r="AA187" i="225"/>
  <c r="Z187" i="225"/>
  <c r="Y187" i="225"/>
  <c r="X187" i="225"/>
  <c r="W187" i="225"/>
  <c r="V187" i="225"/>
  <c r="U187" i="225"/>
  <c r="T187" i="225"/>
  <c r="S187" i="225"/>
  <c r="R187" i="225"/>
  <c r="Q187" i="225"/>
  <c r="P187" i="225"/>
  <c r="O187" i="225"/>
  <c r="AL184" i="225"/>
  <c r="AK184" i="225"/>
  <c r="AJ184" i="225"/>
  <c r="AI184" i="225"/>
  <c r="AH184" i="225"/>
  <c r="AG184" i="225"/>
  <c r="AF184" i="225"/>
  <c r="AE184" i="225"/>
  <c r="AD184" i="225"/>
  <c r="AC184" i="225"/>
  <c r="AB184" i="225"/>
  <c r="AA184" i="225"/>
  <c r="Z184" i="225"/>
  <c r="Y184" i="225"/>
  <c r="X184" i="225"/>
  <c r="W184" i="225"/>
  <c r="V184" i="225"/>
  <c r="U184" i="225"/>
  <c r="T184" i="225"/>
  <c r="S184" i="225"/>
  <c r="R184" i="225"/>
  <c r="Q184" i="225"/>
  <c r="P184" i="225"/>
  <c r="O184" i="225"/>
  <c r="AL181" i="225"/>
  <c r="AL180" i="225" s="1"/>
  <c r="AL178" i="225" s="1"/>
  <c r="AK181" i="225"/>
  <c r="AK180" i="225" s="1"/>
  <c r="AK178" i="225" s="1"/>
  <c r="AJ181" i="225"/>
  <c r="AJ180" i="225" s="1"/>
  <c r="AJ178" i="225" s="1"/>
  <c r="AI181" i="225"/>
  <c r="AI180" i="225" s="1"/>
  <c r="AI178" i="225" s="1"/>
  <c r="AH181" i="225"/>
  <c r="AH180" i="225" s="1"/>
  <c r="AH178" i="225" s="1"/>
  <c r="AG181" i="225"/>
  <c r="AG180" i="225" s="1"/>
  <c r="AG178" i="225" s="1"/>
  <c r="AF181" i="225"/>
  <c r="AF180" i="225" s="1"/>
  <c r="AF178" i="225" s="1"/>
  <c r="AE181" i="225"/>
  <c r="AE180" i="225" s="1"/>
  <c r="AE178" i="225" s="1"/>
  <c r="AD181" i="225"/>
  <c r="AD180" i="225" s="1"/>
  <c r="AD178" i="225" s="1"/>
  <c r="AC181" i="225"/>
  <c r="AC180" i="225" s="1"/>
  <c r="AC178" i="225" s="1"/>
  <c r="AB181" i="225"/>
  <c r="AB180" i="225" s="1"/>
  <c r="AB178" i="225" s="1"/>
  <c r="AA181" i="225"/>
  <c r="AA180" i="225" s="1"/>
  <c r="AA178" i="225" s="1"/>
  <c r="Z181" i="225"/>
  <c r="Z180" i="225" s="1"/>
  <c r="Z178" i="225" s="1"/>
  <c r="Y181" i="225"/>
  <c r="Y180" i="225" s="1"/>
  <c r="Y178" i="225" s="1"/>
  <c r="X181" i="225"/>
  <c r="X180" i="225" s="1"/>
  <c r="X178" i="225" s="1"/>
  <c r="W181" i="225"/>
  <c r="W180" i="225" s="1"/>
  <c r="W178" i="225" s="1"/>
  <c r="V181" i="225"/>
  <c r="V180" i="225" s="1"/>
  <c r="V178" i="225" s="1"/>
  <c r="U181" i="225"/>
  <c r="U180" i="225" s="1"/>
  <c r="U178" i="225" s="1"/>
  <c r="T181" i="225"/>
  <c r="T180" i="225" s="1"/>
  <c r="T178" i="225" s="1"/>
  <c r="S181" i="225"/>
  <c r="S180" i="225" s="1"/>
  <c r="S178" i="225" s="1"/>
  <c r="R181" i="225"/>
  <c r="R180" i="225" s="1"/>
  <c r="R178" i="225" s="1"/>
  <c r="Q181" i="225"/>
  <c r="Q180" i="225" s="1"/>
  <c r="Q178" i="225" s="1"/>
  <c r="P181" i="225"/>
  <c r="O181" i="225"/>
  <c r="O180" i="225" s="1"/>
  <c r="O178" i="225" s="1"/>
  <c r="A181" i="225"/>
  <c r="A182" i="225" s="1"/>
  <c r="A183" i="225" s="1"/>
  <c r="A184" i="225" s="1"/>
  <c r="A185" i="225" s="1"/>
  <c r="A186" i="225" s="1"/>
  <c r="A187" i="225" s="1"/>
  <c r="A188" i="225" s="1"/>
  <c r="A189" i="225" s="1"/>
  <c r="A190" i="225" s="1"/>
  <c r="A191" i="225" s="1"/>
  <c r="AL169" i="225"/>
  <c r="AK169" i="225"/>
  <c r="AJ169" i="225"/>
  <c r="AI169" i="225"/>
  <c r="AH169" i="225"/>
  <c r="AG169" i="225"/>
  <c r="AF169" i="225"/>
  <c r="AE169" i="225"/>
  <c r="AD169" i="225"/>
  <c r="AC169" i="225"/>
  <c r="AB169" i="225"/>
  <c r="AA169" i="225"/>
  <c r="Z169" i="225"/>
  <c r="Y169" i="225"/>
  <c r="X169" i="225"/>
  <c r="W169" i="225"/>
  <c r="V169" i="225"/>
  <c r="U169" i="225"/>
  <c r="T169" i="225"/>
  <c r="S169" i="225"/>
  <c r="R169" i="225"/>
  <c r="Q169" i="225"/>
  <c r="P169" i="225"/>
  <c r="O169" i="225"/>
  <c r="AL166" i="225"/>
  <c r="AK166" i="225"/>
  <c r="AJ166" i="225"/>
  <c r="AI166" i="225"/>
  <c r="AH166" i="225"/>
  <c r="AG166" i="225"/>
  <c r="AF166" i="225"/>
  <c r="AE166" i="225"/>
  <c r="AD166" i="225"/>
  <c r="AC166" i="225"/>
  <c r="AB166" i="225"/>
  <c r="AA166" i="225"/>
  <c r="Z166" i="225"/>
  <c r="Y166" i="225"/>
  <c r="X166" i="225"/>
  <c r="W166" i="225"/>
  <c r="V166" i="225"/>
  <c r="U166" i="225"/>
  <c r="T166" i="225"/>
  <c r="S166" i="225"/>
  <c r="R166" i="225"/>
  <c r="Q166" i="225"/>
  <c r="P166" i="225"/>
  <c r="O166" i="225"/>
  <c r="AL151" i="225"/>
  <c r="AK151" i="225"/>
  <c r="AJ151" i="225"/>
  <c r="AI151" i="225"/>
  <c r="AH151" i="225"/>
  <c r="AG151" i="225"/>
  <c r="AF151" i="225"/>
  <c r="AE151" i="225"/>
  <c r="AD151" i="225"/>
  <c r="AC151" i="225"/>
  <c r="AB151" i="225"/>
  <c r="AA151" i="225"/>
  <c r="Z151" i="225"/>
  <c r="Y151" i="225"/>
  <c r="X151" i="225"/>
  <c r="W151" i="225"/>
  <c r="V151" i="225"/>
  <c r="U151" i="225"/>
  <c r="T151" i="225"/>
  <c r="S151" i="225"/>
  <c r="R151" i="225"/>
  <c r="Q151" i="225"/>
  <c r="P151" i="225"/>
  <c r="O151" i="225"/>
  <c r="AL148" i="225"/>
  <c r="AK148" i="225"/>
  <c r="AJ148" i="225"/>
  <c r="AI148" i="225"/>
  <c r="AH148" i="225"/>
  <c r="AG148" i="225"/>
  <c r="AF148" i="225"/>
  <c r="AE148" i="225"/>
  <c r="AD148" i="225"/>
  <c r="AC148" i="225"/>
  <c r="AB148" i="225"/>
  <c r="AA148" i="225"/>
  <c r="Z148" i="225"/>
  <c r="Y148" i="225"/>
  <c r="X148" i="225"/>
  <c r="W148" i="225"/>
  <c r="V148" i="225"/>
  <c r="U148" i="225"/>
  <c r="T148" i="225"/>
  <c r="S148" i="225"/>
  <c r="R148" i="225"/>
  <c r="Q148" i="225"/>
  <c r="P148" i="225"/>
  <c r="O148" i="225"/>
  <c r="AL145" i="225"/>
  <c r="AK145" i="225"/>
  <c r="AJ145" i="225"/>
  <c r="AI145" i="225"/>
  <c r="AH145" i="225"/>
  <c r="AG145" i="225"/>
  <c r="AF145" i="225"/>
  <c r="AE145" i="225"/>
  <c r="AD145" i="225"/>
  <c r="AC145" i="225"/>
  <c r="AB145" i="225"/>
  <c r="AA145" i="225"/>
  <c r="Z145" i="225"/>
  <c r="Y145" i="225"/>
  <c r="X145" i="225"/>
  <c r="W145" i="225"/>
  <c r="V145" i="225"/>
  <c r="U145" i="225"/>
  <c r="T145" i="225"/>
  <c r="S145" i="225"/>
  <c r="R145" i="225"/>
  <c r="Q145" i="225"/>
  <c r="P145" i="225"/>
  <c r="O145" i="225"/>
  <c r="AL141" i="225"/>
  <c r="AK141" i="225"/>
  <c r="AJ141" i="225"/>
  <c r="AI141" i="225"/>
  <c r="AH141" i="225"/>
  <c r="AG141" i="225"/>
  <c r="AF141" i="225"/>
  <c r="AE141" i="225"/>
  <c r="AD141" i="225"/>
  <c r="AC141" i="225"/>
  <c r="AB141" i="225"/>
  <c r="AA141" i="225"/>
  <c r="Z141" i="225"/>
  <c r="Y141" i="225"/>
  <c r="X141" i="225"/>
  <c r="W141" i="225"/>
  <c r="V141" i="225"/>
  <c r="U141" i="225"/>
  <c r="T141" i="225"/>
  <c r="S141" i="225"/>
  <c r="R141" i="225"/>
  <c r="Q141" i="225"/>
  <c r="P141" i="225"/>
  <c r="O141" i="225"/>
  <c r="AL137" i="225"/>
  <c r="AK137" i="225"/>
  <c r="AJ137" i="225"/>
  <c r="AI137" i="225"/>
  <c r="AH137" i="225"/>
  <c r="AG137" i="225"/>
  <c r="AF137" i="225"/>
  <c r="AE137" i="225"/>
  <c r="AD137" i="225"/>
  <c r="AC137" i="225"/>
  <c r="AB137" i="225"/>
  <c r="AA137" i="225"/>
  <c r="Z137" i="225"/>
  <c r="Y137" i="225"/>
  <c r="X137" i="225"/>
  <c r="W137" i="225"/>
  <c r="V137" i="225"/>
  <c r="U137" i="225"/>
  <c r="T137" i="225"/>
  <c r="S137" i="225"/>
  <c r="R137" i="225"/>
  <c r="Q137" i="225"/>
  <c r="P137" i="225"/>
  <c r="O137"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122" i="225"/>
  <c r="A123" i="225" s="1"/>
  <c r="A124" i="225" s="1"/>
  <c r="A125" i="225" s="1"/>
  <c r="A126" i="225" s="1"/>
  <c r="A127" i="225" s="1"/>
  <c r="A128" i="225" s="1"/>
  <c r="A129" i="225" s="1"/>
  <c r="A130" i="225" s="1"/>
  <c r="A131" i="225" s="1"/>
  <c r="A132" i="225" s="1"/>
  <c r="A133" i="225" s="1"/>
  <c r="A134" i="225" s="1"/>
  <c r="A135" i="225" s="1"/>
  <c r="A136" i="225" s="1"/>
  <c r="A137" i="225" s="1"/>
  <c r="A138" i="225" s="1"/>
  <c r="A139" i="225" s="1"/>
  <c r="A140" i="225" s="1"/>
  <c r="A141" i="225" s="1"/>
  <c r="A142" i="225" s="1"/>
  <c r="A143" i="225" s="1"/>
  <c r="A144" i="225" s="1"/>
  <c r="A145" i="225" s="1"/>
  <c r="A146" i="225" s="1"/>
  <c r="A147" i="225" s="1"/>
  <c r="A148" i="225" s="1"/>
  <c r="A149" i="225" s="1"/>
  <c r="A150" i="225" s="1"/>
  <c r="A151" i="225" s="1"/>
  <c r="A152" i="225" s="1"/>
  <c r="A153" i="225" s="1"/>
  <c r="A154" i="225" s="1"/>
  <c r="AQ546" i="225" l="1"/>
  <c r="AR546" i="225"/>
  <c r="AP546" i="225"/>
  <c r="AO512" i="225"/>
  <c r="AO546" i="225"/>
  <c r="AN512" i="225"/>
  <c r="AN546" i="225"/>
  <c r="AD548" i="225"/>
  <c r="AO548" i="225" s="1"/>
  <c r="AF547" i="225"/>
  <c r="AQ547" i="225" s="1"/>
  <c r="AC548" i="225"/>
  <c r="P180" i="225"/>
  <c r="P178" i="225" s="1"/>
  <c r="AA547" i="225"/>
  <c r="Q547" i="225"/>
  <c r="AJ548" i="225"/>
  <c r="AU548" i="225" s="1"/>
  <c r="X548" i="225"/>
  <c r="AE547" i="225"/>
  <c r="AP547" i="225" s="1"/>
  <c r="Z547" i="225"/>
  <c r="Y548" i="225"/>
  <c r="V548" i="225"/>
  <c r="AK547" i="225"/>
  <c r="AV547" i="225" s="1"/>
  <c r="X547" i="225"/>
  <c r="O548" i="225"/>
  <c r="AA548" i="225"/>
  <c r="AE548" i="225"/>
  <c r="AP548" i="225" s="1"/>
  <c r="AI548" i="225"/>
  <c r="AT548" i="225" s="1"/>
  <c r="AM547" i="225"/>
  <c r="AB547" i="225"/>
  <c r="T547" i="225"/>
  <c r="AB548" i="225"/>
  <c r="P548" i="225"/>
  <c r="S547" i="225"/>
  <c r="AJ547" i="225"/>
  <c r="AU547" i="225" s="1"/>
  <c r="W547" i="225"/>
  <c r="T548" i="225"/>
  <c r="Z548" i="225"/>
  <c r="A445" i="225"/>
  <c r="Q444" i="225"/>
  <c r="Q441" i="225" s="1"/>
  <c r="O547" i="225"/>
  <c r="V547" i="225"/>
  <c r="AM548" i="225"/>
  <c r="Q548" i="225"/>
  <c r="AH548" i="225"/>
  <c r="AS548" i="225" s="1"/>
  <c r="A551" i="225"/>
  <c r="V550" i="225"/>
  <c r="AI550" i="225"/>
  <c r="AT550" i="225" s="1"/>
  <c r="AF550" i="225"/>
  <c r="AQ550" i="225" s="1"/>
  <c r="AA550" i="225"/>
  <c r="AH550" i="225"/>
  <c r="AS550" i="225" s="1"/>
  <c r="T550" i="225"/>
  <c r="X550" i="225"/>
  <c r="AB550" i="225"/>
  <c r="S550" i="225"/>
  <c r="AN550" i="225" s="1"/>
  <c r="Z550" i="225"/>
  <c r="P550" i="225"/>
  <c r="AM550" i="225"/>
  <c r="AG550" i="225"/>
  <c r="AR550" i="225" s="1"/>
  <c r="W550" i="225"/>
  <c r="AK550" i="225"/>
  <c r="AV550" i="225" s="1"/>
  <c r="Y550" i="225"/>
  <c r="AD550" i="225"/>
  <c r="AO550" i="225" s="1"/>
  <c r="O550" i="225"/>
  <c r="AL550" i="225"/>
  <c r="AW550" i="225" s="1"/>
  <c r="AC550" i="225"/>
  <c r="Q550" i="225"/>
  <c r="AJ550" i="225"/>
  <c r="AU550" i="225" s="1"/>
  <c r="U550" i="225"/>
  <c r="AE550" i="225"/>
  <c r="AP550" i="225" s="1"/>
  <c r="AG548" i="225"/>
  <c r="AR548" i="225" s="1"/>
  <c r="P547" i="225"/>
  <c r="AD547" i="225"/>
  <c r="AO547" i="225" s="1"/>
  <c r="U547" i="225"/>
  <c r="U548" i="225"/>
  <c r="AL548" i="225"/>
  <c r="AW548" i="225" s="1"/>
  <c r="AK548" i="225"/>
  <c r="AV548" i="225" s="1"/>
  <c r="AI547" i="225"/>
  <c r="AT547" i="225" s="1"/>
  <c r="AL547" i="225"/>
  <c r="AW547" i="225" s="1"/>
  <c r="AG547" i="225"/>
  <c r="AR547" i="225" s="1"/>
  <c r="W548" i="225"/>
  <c r="AF548" i="225"/>
  <c r="AQ548" i="225" s="1"/>
  <c r="V413" i="225"/>
  <c r="U414" i="225"/>
  <c r="R546" i="225"/>
  <c r="A192" i="225"/>
  <c r="A194" i="225" s="1"/>
  <c r="A195" i="225" s="1"/>
  <c r="A196" i="225" s="1"/>
  <c r="A197" i="225" s="1"/>
  <c r="A198" i="225" s="1"/>
  <c r="A193" i="225"/>
  <c r="R555" i="225"/>
  <c r="P144" i="225"/>
  <c r="P136" i="225" s="1"/>
  <c r="AF160" i="225"/>
  <c r="AF165" i="225" s="1"/>
  <c r="AI160" i="225"/>
  <c r="AI165" i="225" s="1"/>
  <c r="P160" i="225"/>
  <c r="P165" i="225" s="1"/>
  <c r="X160" i="225"/>
  <c r="X165" i="225" s="1"/>
  <c r="X144" i="225"/>
  <c r="X136" i="225" s="1"/>
  <c r="R144" i="225"/>
  <c r="R136" i="225" s="1"/>
  <c r="Z144" i="225"/>
  <c r="Z136" i="225" s="1"/>
  <c r="AH144" i="225"/>
  <c r="AH136" i="225" s="1"/>
  <c r="AC144" i="225"/>
  <c r="AC136" i="225" s="1"/>
  <c r="AK144" i="225"/>
  <c r="O144" i="225"/>
  <c r="W144" i="225"/>
  <c r="W136" i="225" s="1"/>
  <c r="AE144" i="225"/>
  <c r="AE136" i="225" s="1"/>
  <c r="Q160" i="225"/>
  <c r="Q165" i="225" s="1"/>
  <c r="Y160" i="225"/>
  <c r="Y165" i="225" s="1"/>
  <c r="AG160" i="225"/>
  <c r="AG165" i="225" s="1"/>
  <c r="AA160" i="225"/>
  <c r="AA165" i="225" s="1"/>
  <c r="AF144" i="225"/>
  <c r="S160" i="225"/>
  <c r="S165" i="225" s="1"/>
  <c r="Q144" i="225"/>
  <c r="Q136" i="225" s="1"/>
  <c r="Y144" i="225"/>
  <c r="Y136" i="225" s="1"/>
  <c r="AG144" i="225"/>
  <c r="U144" i="225"/>
  <c r="U160" i="225"/>
  <c r="U165" i="225" s="1"/>
  <c r="AC160" i="225"/>
  <c r="AC165" i="225" s="1"/>
  <c r="AK160" i="225"/>
  <c r="AK165" i="225" s="1"/>
  <c r="S144" i="225"/>
  <c r="S136" i="225" s="1"/>
  <c r="AI144" i="225"/>
  <c r="AI136" i="225" s="1"/>
  <c r="T144" i="225"/>
  <c r="AB144" i="225"/>
  <c r="AJ144" i="225"/>
  <c r="R160" i="225"/>
  <c r="R165" i="225" s="1"/>
  <c r="Z160" i="225"/>
  <c r="Z165" i="225" s="1"/>
  <c r="AH160" i="225"/>
  <c r="AH165" i="225" s="1"/>
  <c r="T160" i="225"/>
  <c r="T165" i="225" s="1"/>
  <c r="AB160" i="225"/>
  <c r="AB165" i="225" s="1"/>
  <c r="AJ160" i="225"/>
  <c r="AJ165" i="225" s="1"/>
  <c r="AA144" i="225"/>
  <c r="V144" i="225"/>
  <c r="V136" i="225" s="1"/>
  <c r="AD144" i="225"/>
  <c r="AD136" i="225" s="1"/>
  <c r="AL144" i="225"/>
  <c r="AL136" i="225" s="1"/>
  <c r="V160" i="225"/>
  <c r="V165" i="225" s="1"/>
  <c r="AD160" i="225"/>
  <c r="AD165" i="225" s="1"/>
  <c r="AL160" i="225"/>
  <c r="AL165" i="225" s="1"/>
  <c r="O160" i="225"/>
  <c r="O165" i="225" s="1"/>
  <c r="AE160" i="225"/>
  <c r="AE165" i="225" s="1"/>
  <c r="W160" i="225"/>
  <c r="W165" i="225" s="1"/>
  <c r="A84" i="225"/>
  <c r="A85" i="225" s="1"/>
  <c r="A86" i="225" s="1"/>
  <c r="A87" i="225" s="1"/>
  <c r="A88" i="225" s="1"/>
  <c r="A75" i="225"/>
  <c r="A76" i="225" s="1"/>
  <c r="A77" i="225" s="1"/>
  <c r="A78" i="225" s="1"/>
  <c r="A79" i="225" s="1"/>
  <c r="A80" i="225" s="1"/>
  <c r="A81" i="225" s="1"/>
  <c r="AN547" i="225" l="1"/>
  <c r="R547" i="225"/>
  <c r="R548" i="225"/>
  <c r="A446" i="225"/>
  <c r="R550" i="225"/>
  <c r="A552" i="225"/>
  <c r="S551" i="225"/>
  <c r="AN551" i="225" s="1"/>
  <c r="Z551" i="225"/>
  <c r="O551" i="225"/>
  <c r="Q551" i="225"/>
  <c r="AG551" i="225"/>
  <c r="AR551" i="225" s="1"/>
  <c r="AJ551" i="225"/>
  <c r="AU551" i="225" s="1"/>
  <c r="AK551" i="225"/>
  <c r="AV551" i="225" s="1"/>
  <c r="Y551" i="225"/>
  <c r="AM551" i="225"/>
  <c r="AL551" i="225"/>
  <c r="AW551" i="225" s="1"/>
  <c r="AC551" i="225"/>
  <c r="P551" i="225"/>
  <c r="AE551" i="225"/>
  <c r="AP551" i="225" s="1"/>
  <c r="AD551" i="225"/>
  <c r="AO551" i="225" s="1"/>
  <c r="U551" i="225"/>
  <c r="AA551" i="225"/>
  <c r="W551" i="225"/>
  <c r="V551" i="225"/>
  <c r="AB551" i="225"/>
  <c r="AI551" i="225"/>
  <c r="AT551" i="225" s="1"/>
  <c r="T551" i="225"/>
  <c r="X551" i="225"/>
  <c r="AF551" i="225"/>
  <c r="AQ551" i="225" s="1"/>
  <c r="AH551" i="225"/>
  <c r="AS551" i="225" s="1"/>
  <c r="W413" i="225"/>
  <c r="V414" i="225"/>
  <c r="X130" i="225"/>
  <c r="AJ136" i="225"/>
  <c r="AJ130" i="225" s="1"/>
  <c r="AF136" i="225"/>
  <c r="AF130" i="225" s="1"/>
  <c r="AL130" i="225"/>
  <c r="AI130" i="225"/>
  <c r="Y130" i="225"/>
  <c r="Z130" i="225"/>
  <c r="O136" i="225"/>
  <c r="O130" i="225" s="1"/>
  <c r="AA136" i="225"/>
  <c r="AA130" i="225" s="1"/>
  <c r="T136" i="225"/>
  <c r="T130" i="225" s="1"/>
  <c r="AD130" i="225"/>
  <c r="S130" i="225"/>
  <c r="Q130" i="225"/>
  <c r="R130" i="225"/>
  <c r="V130" i="225"/>
  <c r="AE130" i="225"/>
  <c r="P130" i="225"/>
  <c r="AK136" i="225"/>
  <c r="AK130" i="225" s="1"/>
  <c r="AC130" i="225"/>
  <c r="AH130" i="225"/>
  <c r="W130" i="225"/>
  <c r="AG136" i="225"/>
  <c r="AG130" i="225" s="1"/>
  <c r="U136" i="225"/>
  <c r="U130" i="225" s="1"/>
  <c r="AB136" i="225"/>
  <c r="AB130" i="225" s="1"/>
  <c r="A199" i="225"/>
  <c r="A201" i="225" s="1"/>
  <c r="A200" i="225"/>
  <c r="R556" i="225"/>
  <c r="A68" i="225"/>
  <c r="A67" i="225"/>
  <c r="A70" i="225"/>
  <c r="A447" i="225" l="1"/>
  <c r="R551" i="225"/>
  <c r="A553" i="225"/>
  <c r="A554" i="225" s="1"/>
  <c r="A555" i="225" s="1"/>
  <c r="P552" i="225"/>
  <c r="P549" i="225" s="1"/>
  <c r="P560" i="225" s="1"/>
  <c r="AE552" i="225"/>
  <c r="AP552" i="225" s="1"/>
  <c r="AD552" i="225"/>
  <c r="AO552" i="225" s="1"/>
  <c r="U552" i="225"/>
  <c r="U549" i="225" s="1"/>
  <c r="U560" i="225" s="1"/>
  <c r="AB552" i="225"/>
  <c r="AB549" i="225" s="1"/>
  <c r="AB560" i="225" s="1"/>
  <c r="W552" i="225"/>
  <c r="W549" i="225" s="1"/>
  <c r="W560" i="225" s="1"/>
  <c r="V552" i="225"/>
  <c r="V549" i="225" s="1"/>
  <c r="V560" i="225" s="1"/>
  <c r="T552" i="225"/>
  <c r="T549" i="225" s="1"/>
  <c r="AF552" i="225"/>
  <c r="AQ552" i="225" s="1"/>
  <c r="AH552" i="225"/>
  <c r="AS552" i="225" s="1"/>
  <c r="X552" i="225"/>
  <c r="X549" i="225" s="1"/>
  <c r="X560" i="225" s="1"/>
  <c r="S552" i="225"/>
  <c r="AN552" i="225" s="1"/>
  <c r="Z552" i="225"/>
  <c r="Z549" i="225" s="1"/>
  <c r="Z560" i="225" s="1"/>
  <c r="O552" i="225"/>
  <c r="O549" i="225" s="1"/>
  <c r="O560" i="225" s="1"/>
  <c r="O559" i="225" s="1"/>
  <c r="Y552" i="225"/>
  <c r="Y549" i="225" s="1"/>
  <c r="Y560" i="225" s="1"/>
  <c r="AM552" i="225"/>
  <c r="AM549" i="225" s="1"/>
  <c r="AM560" i="225" s="1"/>
  <c r="AL552" i="225"/>
  <c r="AW552" i="225" s="1"/>
  <c r="AC552" i="225"/>
  <c r="AC549" i="225" s="1"/>
  <c r="AC560" i="225" s="1"/>
  <c r="Q552" i="225"/>
  <c r="AG552" i="225"/>
  <c r="AR552" i="225" s="1"/>
  <c r="AK552" i="225"/>
  <c r="AV552" i="225" s="1"/>
  <c r="AJ552" i="225"/>
  <c r="AU552" i="225" s="1"/>
  <c r="AA552" i="225"/>
  <c r="AA549" i="225" s="1"/>
  <c r="AA560" i="225" s="1"/>
  <c r="AI552" i="225"/>
  <c r="AT552" i="225" s="1"/>
  <c r="X413" i="225"/>
  <c r="W414" i="225"/>
  <c r="AK121" i="225"/>
  <c r="AK135" i="225"/>
  <c r="AF121" i="225"/>
  <c r="AF135" i="225"/>
  <c r="P121" i="225"/>
  <c r="P135" i="225"/>
  <c r="AJ121" i="225"/>
  <c r="AJ135" i="225"/>
  <c r="AB121" i="225"/>
  <c r="AB135" i="225"/>
  <c r="AE121" i="225"/>
  <c r="AE135" i="225"/>
  <c r="O121" i="225"/>
  <c r="O135" i="225"/>
  <c r="X121" i="225"/>
  <c r="X135" i="225"/>
  <c r="AD121" i="225"/>
  <c r="AD135" i="225"/>
  <c r="AA121" i="225"/>
  <c r="AA135" i="225"/>
  <c r="U121" i="225"/>
  <c r="U135" i="225"/>
  <c r="V121" i="225"/>
  <c r="V135" i="225"/>
  <c r="Z121" i="225"/>
  <c r="Z135" i="225"/>
  <c r="R121" i="225"/>
  <c r="R135" i="225"/>
  <c r="AC121" i="225"/>
  <c r="AC135" i="225"/>
  <c r="T121" i="225"/>
  <c r="T135" i="225"/>
  <c r="AG121" i="225"/>
  <c r="AG135" i="225"/>
  <c r="Y121" i="225"/>
  <c r="Y135" i="225"/>
  <c r="W121" i="225"/>
  <c r="W135" i="225"/>
  <c r="Q121" i="225"/>
  <c r="Q135" i="225"/>
  <c r="AI121" i="225"/>
  <c r="AI135" i="225"/>
  <c r="AH121" i="225"/>
  <c r="AH135" i="225"/>
  <c r="S121" i="225"/>
  <c r="S135" i="225"/>
  <c r="AL121" i="225"/>
  <c r="AL135" i="225"/>
  <c r="R557" i="225"/>
  <c r="R552" i="225" l="1"/>
  <c r="A448" i="225"/>
  <c r="A449" i="225" s="1"/>
  <c r="A450" i="225" s="1"/>
  <c r="A451" i="225" s="1"/>
  <c r="A452" i="225" s="1"/>
  <c r="A453" i="225" s="1"/>
  <c r="A454" i="225" s="1"/>
  <c r="A455" i="225" s="1"/>
  <c r="A456" i="225" s="1"/>
  <c r="A457" i="225" s="1"/>
  <c r="AG549" i="225"/>
  <c r="AR549" i="225" s="1"/>
  <c r="Q549" i="225"/>
  <c r="R549" i="225" s="1"/>
  <c r="AL549" i="225"/>
  <c r="AW549" i="225" s="1"/>
  <c r="Z569" i="225"/>
  <c r="Z559" i="225"/>
  <c r="AB569" i="225"/>
  <c r="AB559" i="225"/>
  <c r="U569" i="225"/>
  <c r="U559" i="225"/>
  <c r="X569" i="225"/>
  <c r="X559" i="225"/>
  <c r="AC559" i="225"/>
  <c r="AC569" i="225"/>
  <c r="P559" i="225"/>
  <c r="P569" i="225"/>
  <c r="AM559" i="225"/>
  <c r="AM569" i="225"/>
  <c r="AA559" i="225"/>
  <c r="AA569" i="225"/>
  <c r="Y559" i="225"/>
  <c r="Y569" i="225"/>
  <c r="W559" i="225"/>
  <c r="W569" i="225"/>
  <c r="AI549" i="225"/>
  <c r="AT549" i="225" s="1"/>
  <c r="S549" i="225"/>
  <c r="AN549" i="225" s="1"/>
  <c r="AK549" i="225"/>
  <c r="AV549" i="225" s="1"/>
  <c r="AD549" i="225"/>
  <c r="AO549" i="225" s="1"/>
  <c r="AE549" i="225"/>
  <c r="AP549" i="225" s="1"/>
  <c r="A556" i="225"/>
  <c r="T555" i="225"/>
  <c r="AD555" i="225"/>
  <c r="V569" i="225"/>
  <c r="V559" i="225"/>
  <c r="AF549" i="225"/>
  <c r="AQ549" i="225" s="1"/>
  <c r="AJ549" i="225"/>
  <c r="AU549" i="225" s="1"/>
  <c r="Q560" i="225"/>
  <c r="AH549" i="225"/>
  <c r="AS549" i="225" s="1"/>
  <c r="Y413" i="225"/>
  <c r="X414" i="225"/>
  <c r="R558" i="225"/>
  <c r="O569" i="225"/>
  <c r="AL560" i="225" l="1"/>
  <c r="AW560" i="225" s="1"/>
  <c r="AG560" i="225"/>
  <c r="AR560" i="225" s="1"/>
  <c r="AK560" i="225"/>
  <c r="AV560" i="225" s="1"/>
  <c r="Q559" i="225"/>
  <c r="R559" i="225" s="1"/>
  <c r="R560" i="225"/>
  <c r="R569" i="225" s="1"/>
  <c r="Q569" i="225"/>
  <c r="S560" i="225"/>
  <c r="AN560" i="225" s="1"/>
  <c r="AH560" i="225"/>
  <c r="AS560" i="225" s="1"/>
  <c r="AJ560" i="225"/>
  <c r="AU560" i="225" s="1"/>
  <c r="AI560" i="225"/>
  <c r="AT560" i="225" s="1"/>
  <c r="T556" i="225"/>
  <c r="AD556" i="225"/>
  <c r="A557" i="225"/>
  <c r="AF560" i="225"/>
  <c r="AQ560" i="225" s="1"/>
  <c r="AE560" i="225"/>
  <c r="AP560" i="225" s="1"/>
  <c r="Z413" i="225"/>
  <c r="Y414" i="225"/>
  <c r="AL559" i="225" l="1"/>
  <c r="AG559" i="225"/>
  <c r="AG569" i="225"/>
  <c r="AR569" i="225" s="1"/>
  <c r="AL569" i="225"/>
  <c r="AW569" i="225" s="1"/>
  <c r="T557" i="225"/>
  <c r="T560" i="225" s="1"/>
  <c r="A558" i="225"/>
  <c r="A559" i="225" s="1"/>
  <c r="A560" i="225" s="1"/>
  <c r="A561" i="225" s="1"/>
  <c r="AD561" i="225" s="1"/>
  <c r="S569" i="225"/>
  <c r="AN569" i="225" s="1"/>
  <c r="S559" i="225"/>
  <c r="AJ559" i="225"/>
  <c r="AJ569" i="225"/>
  <c r="AU569" i="225" s="1"/>
  <c r="AI559" i="225"/>
  <c r="AI569" i="225"/>
  <c r="AT569" i="225" s="1"/>
  <c r="AK559" i="225"/>
  <c r="AK569" i="225"/>
  <c r="AV569" i="225" s="1"/>
  <c r="AE569" i="225"/>
  <c r="AP569" i="225" s="1"/>
  <c r="AE559" i="225"/>
  <c r="AF569" i="225"/>
  <c r="AQ569" i="225" s="1"/>
  <c r="AF559" i="225"/>
  <c r="AH569" i="225"/>
  <c r="AS569" i="225" s="1"/>
  <c r="AH559" i="225"/>
  <c r="AA413" i="225"/>
  <c r="Z414" i="225"/>
  <c r="M20" i="507"/>
  <c r="M19" i="507"/>
  <c r="M16" i="507"/>
  <c r="M15" i="507"/>
  <c r="M12" i="507"/>
  <c r="M11" i="507"/>
  <c r="T569" i="225" l="1"/>
  <c r="T559" i="225"/>
  <c r="A562" i="225"/>
  <c r="AD562" i="225" s="1"/>
  <c r="AB413" i="225"/>
  <c r="AA414" i="225"/>
  <c r="B19" i="225"/>
  <c r="B27" i="225"/>
  <c r="B35" i="225"/>
  <c r="B28" i="225"/>
  <c r="B16" i="225"/>
  <c r="B31" i="225"/>
  <c r="B24" i="225"/>
  <c r="B23" i="225"/>
  <c r="B32" i="225"/>
  <c r="B22" i="225"/>
  <c r="B29" i="225"/>
  <c r="B33" i="225"/>
  <c r="B25" i="225"/>
  <c r="B26" i="225"/>
  <c r="B17" i="225"/>
  <c r="B34" i="225"/>
  <c r="B21" i="225"/>
  <c r="B18" i="225"/>
  <c r="B20" i="225"/>
  <c r="B30" i="225"/>
  <c r="A563" i="225" l="1"/>
  <c r="A564" i="225" s="1"/>
  <c r="A565" i="225" s="1"/>
  <c r="A566" i="225" s="1"/>
  <c r="A567" i="225" s="1"/>
  <c r="A568" i="225" s="1"/>
  <c r="A569" i="225" s="1"/>
  <c r="A570" i="225" s="1"/>
  <c r="A571" i="225" s="1"/>
  <c r="A572" i="225" s="1"/>
  <c r="AC413" i="225"/>
  <c r="AB414" i="225"/>
  <c r="A573" i="225" l="1"/>
  <c r="A574" i="225" s="1"/>
  <c r="A575" i="225" s="1"/>
  <c r="A576" i="225" s="1"/>
  <c r="A577" i="225" s="1"/>
  <c r="A578" i="225" s="1"/>
  <c r="A579" i="225" s="1"/>
  <c r="A580" i="225" s="1"/>
  <c r="AA572" i="225"/>
  <c r="AA579" i="225" s="1"/>
  <c r="AG572" i="225"/>
  <c r="AG579" i="225" s="1"/>
  <c r="AF572" i="225"/>
  <c r="AF579" i="225" s="1"/>
  <c r="AE572" i="225"/>
  <c r="AE579" i="225" s="1"/>
  <c r="Q572" i="225"/>
  <c r="Z572" i="225"/>
  <c r="Z579" i="225" s="1"/>
  <c r="O572" i="225"/>
  <c r="O579" i="225" s="1"/>
  <c r="AI572" i="225"/>
  <c r="AI579" i="225" s="1"/>
  <c r="AD572" i="225"/>
  <c r="X572" i="225"/>
  <c r="X579" i="225" s="1"/>
  <c r="V572" i="225"/>
  <c r="V579" i="225" s="1"/>
  <c r="AH572" i="225"/>
  <c r="AH579" i="225" s="1"/>
  <c r="AB572" i="225"/>
  <c r="AB579" i="225" s="1"/>
  <c r="AM572" i="225"/>
  <c r="AM579" i="225" s="1"/>
  <c r="AL572" i="225"/>
  <c r="AL579" i="225" s="1"/>
  <c r="T572" i="225"/>
  <c r="S572" i="225"/>
  <c r="U572" i="225"/>
  <c r="U579" i="225" s="1"/>
  <c r="AK572" i="225"/>
  <c r="AK579" i="225" s="1"/>
  <c r="AJ572" i="225"/>
  <c r="AJ579" i="225" s="1"/>
  <c r="Y572" i="225"/>
  <c r="Y579" i="225" s="1"/>
  <c r="P572" i="225"/>
  <c r="W572" i="225"/>
  <c r="W579" i="225" s="1"/>
  <c r="AC572" i="225"/>
  <c r="AC579" i="225" s="1"/>
  <c r="AD413" i="225"/>
  <c r="AC414" i="225"/>
  <c r="W578" i="225" l="1"/>
  <c r="W573" i="225"/>
  <c r="W575" i="225" s="1"/>
  <c r="W576" i="225" s="1"/>
  <c r="AL578" i="225"/>
  <c r="AL573" i="225"/>
  <c r="AL575" i="225" s="1"/>
  <c r="AL576" i="225" s="1"/>
  <c r="O573" i="225"/>
  <c r="O575" i="225" s="1"/>
  <c r="O576" i="225" s="1"/>
  <c r="O578" i="225"/>
  <c r="P573" i="225"/>
  <c r="P575" i="225" s="1"/>
  <c r="P576" i="225" s="1"/>
  <c r="P578" i="225"/>
  <c r="AM578" i="225"/>
  <c r="AM573" i="225"/>
  <c r="AM575" i="225" s="1"/>
  <c r="AM576" i="225" s="1"/>
  <c r="Z573" i="225"/>
  <c r="Z575" i="225" s="1"/>
  <c r="Z576" i="225" s="1"/>
  <c r="Z578" i="225"/>
  <c r="Y573" i="225"/>
  <c r="Y575" i="225" s="1"/>
  <c r="Y576" i="225" s="1"/>
  <c r="Y578" i="225"/>
  <c r="AB578" i="225"/>
  <c r="AB573" i="225"/>
  <c r="AB575" i="225" s="1"/>
  <c r="AB576" i="225" s="1"/>
  <c r="Q573" i="225"/>
  <c r="Q575" i="225" s="1"/>
  <c r="Q578" i="225"/>
  <c r="R572" i="225"/>
  <c r="AJ578" i="225"/>
  <c r="AJ573" i="225"/>
  <c r="AJ575" i="225" s="1"/>
  <c r="AJ576" i="225" s="1"/>
  <c r="AH573" i="225"/>
  <c r="AH575" i="225" s="1"/>
  <c r="AH576" i="225" s="1"/>
  <c r="AH578" i="225"/>
  <c r="AE573" i="225"/>
  <c r="AE575" i="225" s="1"/>
  <c r="AE576" i="225" s="1"/>
  <c r="AE578" i="225"/>
  <c r="AF573" i="225"/>
  <c r="AF575" i="225" s="1"/>
  <c r="AF576" i="225" s="1"/>
  <c r="AF578" i="225"/>
  <c r="AK573" i="225"/>
  <c r="AK575" i="225" s="1"/>
  <c r="AK576" i="225" s="1"/>
  <c r="AK578" i="225"/>
  <c r="U573" i="225"/>
  <c r="U575" i="225" s="1"/>
  <c r="U576" i="225" s="1"/>
  <c r="U578" i="225"/>
  <c r="X573" i="225"/>
  <c r="X575" i="225" s="1"/>
  <c r="X576" i="225" s="1"/>
  <c r="X578" i="225"/>
  <c r="AG573" i="225"/>
  <c r="AG575" i="225" s="1"/>
  <c r="AG576" i="225" s="1"/>
  <c r="AG578" i="225"/>
  <c r="V578" i="225"/>
  <c r="V573" i="225"/>
  <c r="V575" i="225" s="1"/>
  <c r="V576" i="225" s="1"/>
  <c r="S573" i="225"/>
  <c r="S575" i="225" s="1"/>
  <c r="S576" i="225" s="1"/>
  <c r="S578" i="225"/>
  <c r="AD573" i="225"/>
  <c r="AD575" i="225" s="1"/>
  <c r="AA573" i="225"/>
  <c r="AA575" i="225" s="1"/>
  <c r="AA576" i="225" s="1"/>
  <c r="AA578" i="225"/>
  <c r="AC578" i="225"/>
  <c r="AC573" i="225"/>
  <c r="AC575" i="225" s="1"/>
  <c r="AC576" i="225" s="1"/>
  <c r="T573" i="225"/>
  <c r="T575" i="225" s="1"/>
  <c r="T576" i="225" s="1"/>
  <c r="T578" i="225"/>
  <c r="AI573" i="225"/>
  <c r="AI575" i="225" s="1"/>
  <c r="AI576" i="225" s="1"/>
  <c r="AI578" i="225"/>
  <c r="T580" i="225"/>
  <c r="T584" i="225" s="1"/>
  <c r="AC580" i="225"/>
  <c r="AC584" i="225" s="1"/>
  <c r="S580" i="225"/>
  <c r="S584" i="225" s="1"/>
  <c r="AI580" i="225"/>
  <c r="AI584" i="225" s="1"/>
  <c r="O580" i="225"/>
  <c r="O584" i="225" s="1"/>
  <c r="AJ580" i="225"/>
  <c r="AJ584" i="225" s="1"/>
  <c r="AM580" i="225"/>
  <c r="AM584" i="225" s="1"/>
  <c r="AK580" i="225"/>
  <c r="AK584" i="225" s="1"/>
  <c r="W580" i="225"/>
  <c r="W584" i="225" s="1"/>
  <c r="A581" i="225"/>
  <c r="A582" i="225" s="1"/>
  <c r="A583" i="225" s="1"/>
  <c r="A584" i="225" s="1"/>
  <c r="AH580" i="225"/>
  <c r="AH584" i="225" s="1"/>
  <c r="AB580" i="225"/>
  <c r="AB584" i="225" s="1"/>
  <c r="V580" i="225"/>
  <c r="V584" i="225" s="1"/>
  <c r="X580" i="225"/>
  <c r="X584" i="225" s="1"/>
  <c r="U580" i="225"/>
  <c r="U584" i="225" s="1"/>
  <c r="AA580" i="225"/>
  <c r="AA584" i="225" s="1"/>
  <c r="Y580" i="225"/>
  <c r="Y584" i="225" s="1"/>
  <c r="AG580" i="225"/>
  <c r="AG584" i="225" s="1"/>
  <c r="AF580" i="225"/>
  <c r="AF584" i="225" s="1"/>
  <c r="Q580" i="225"/>
  <c r="Q579" i="225" s="1"/>
  <c r="AL580" i="225"/>
  <c r="AL584" i="225" s="1"/>
  <c r="AD580" i="225"/>
  <c r="AD584" i="225" s="1"/>
  <c r="Z580" i="225"/>
  <c r="Z584" i="225" s="1"/>
  <c r="P580" i="225"/>
  <c r="P584" i="225" s="1"/>
  <c r="AE580" i="225"/>
  <c r="AE584" i="225" s="1"/>
  <c r="AV579" i="225"/>
  <c r="AE413" i="225"/>
  <c r="AD414" i="225"/>
  <c r="P579" i="225" l="1"/>
  <c r="T579" i="225"/>
  <c r="S579" i="225"/>
  <c r="AN579" i="225" s="1"/>
  <c r="Q582" i="225"/>
  <c r="Q584" i="225"/>
  <c r="Z581" i="225"/>
  <c r="Z583" i="225" s="1"/>
  <c r="Z582" i="225"/>
  <c r="X581" i="225"/>
  <c r="X583" i="225" s="1"/>
  <c r="X582" i="225"/>
  <c r="V581" i="225"/>
  <c r="V583" i="225" s="1"/>
  <c r="V582" i="225"/>
  <c r="AF581" i="225"/>
  <c r="AF583" i="225" s="1"/>
  <c r="AF582" i="225"/>
  <c r="AH581" i="225"/>
  <c r="AH583" i="225" s="1"/>
  <c r="AH582" i="225"/>
  <c r="S581" i="225"/>
  <c r="S583" i="225" s="1"/>
  <c r="S582" i="225"/>
  <c r="AC581" i="225"/>
  <c r="AC583" i="225" s="1"/>
  <c r="AC582" i="225"/>
  <c r="AM581" i="225"/>
  <c r="AM583" i="225" s="1"/>
  <c r="AM582" i="225"/>
  <c r="AJ581" i="225"/>
  <c r="AJ583" i="225" s="1"/>
  <c r="AJ582" i="225"/>
  <c r="AL581" i="225"/>
  <c r="AL583" i="225" s="1"/>
  <c r="AL582" i="225"/>
  <c r="AI581" i="225"/>
  <c r="AI583" i="225" s="1"/>
  <c r="AI582" i="225"/>
  <c r="AE581" i="225"/>
  <c r="AE583" i="225" s="1"/>
  <c r="AE582" i="225"/>
  <c r="Y581" i="225"/>
  <c r="Y583" i="225" s="1"/>
  <c r="Y582" i="225"/>
  <c r="W581" i="225"/>
  <c r="W583" i="225" s="1"/>
  <c r="W582" i="225"/>
  <c r="T581" i="225"/>
  <c r="T583" i="225" s="1"/>
  <c r="T582" i="225"/>
  <c r="U581" i="225"/>
  <c r="U583" i="225" s="1"/>
  <c r="U582" i="225"/>
  <c r="AD581" i="225"/>
  <c r="AD583" i="225" s="1"/>
  <c r="AD582" i="225"/>
  <c r="O581" i="225"/>
  <c r="O583" i="225" s="1"/>
  <c r="O582" i="225"/>
  <c r="AB581" i="225"/>
  <c r="AB583" i="225" s="1"/>
  <c r="AB582" i="225"/>
  <c r="AG581" i="225"/>
  <c r="AG583" i="225" s="1"/>
  <c r="AR579" i="225" s="1"/>
  <c r="AG582" i="225"/>
  <c r="P581" i="225"/>
  <c r="P583" i="225" s="1"/>
  <c r="P582" i="225"/>
  <c r="R582" i="225" s="1"/>
  <c r="AA581" i="225"/>
  <c r="AA583" i="225" s="1"/>
  <c r="AA582" i="225"/>
  <c r="AK581" i="225"/>
  <c r="AK583" i="225" s="1"/>
  <c r="AK582" i="225"/>
  <c r="AU579" i="225"/>
  <c r="R578" i="225"/>
  <c r="AS579" i="225"/>
  <c r="AT579" i="225"/>
  <c r="AP579" i="225"/>
  <c r="Q581" i="225"/>
  <c r="Q583" i="225" s="1"/>
  <c r="R580" i="225"/>
  <c r="Q576" i="225"/>
  <c r="R576" i="225" s="1"/>
  <c r="R575" i="225"/>
  <c r="AW579" i="225"/>
  <c r="R573" i="225"/>
  <c r="AQ579" i="225"/>
  <c r="AF413" i="225"/>
  <c r="AE414" i="225"/>
  <c r="R583" i="225" l="1"/>
  <c r="R581" i="225"/>
  <c r="AG413" i="225"/>
  <c r="AF414" i="225"/>
  <c r="R584" i="225" l="1"/>
  <c r="R579" i="225" s="1"/>
  <c r="AH413" i="225"/>
  <c r="AH414" i="225" s="1"/>
  <c r="AG414" i="225"/>
  <c r="A158" i="225" l="1"/>
  <c r="A159" i="225" s="1"/>
  <c r="A160" i="225" s="1"/>
  <c r="A161" i="225" s="1"/>
  <c r="A162" i="225" s="1"/>
  <c r="A163" i="225" s="1"/>
  <c r="A164" i="225" s="1"/>
  <c r="O157" i="225"/>
  <c r="A165" i="225" l="1"/>
  <c r="A166" i="225"/>
  <c r="A167" i="225" s="1"/>
  <c r="A168" i="225" s="1"/>
  <c r="A169" i="225" s="1"/>
  <c r="A170" i="225" s="1"/>
  <c r="A171" i="225" s="1"/>
  <c r="A172" i="225" s="1"/>
  <c r="A205" i="225"/>
  <c r="A206" i="225" s="1"/>
  <c r="A207" i="225" s="1"/>
  <c r="A208" i="225" l="1"/>
  <c r="A210" i="225" s="1"/>
  <c r="A211" i="225" s="1"/>
  <c r="A212" i="225" s="1"/>
  <c r="A213" i="225" s="1"/>
  <c r="A214" i="225" s="1"/>
  <c r="A209" i="225"/>
  <c r="A215" i="225" l="1"/>
  <c r="A216" i="225"/>
  <c r="H29" i="225" l="1"/>
  <c r="H23" i="225"/>
  <c r="H25" i="225"/>
  <c r="M667" i="225" l="1"/>
  <c r="M655" i="225"/>
  <c r="M668" i="225"/>
  <c r="M669" i="225"/>
  <c r="M656" i="225"/>
  <c r="M670" i="225"/>
  <c r="M657" i="225"/>
  <c r="M658" i="225"/>
  <c r="M671" i="225"/>
  <c r="Q433" i="225"/>
  <c r="M672" i="225"/>
  <c r="M659" i="225"/>
  <c r="M673" i="225"/>
  <c r="M660" i="225"/>
  <c r="Q434" i="225"/>
  <c r="Q435" i="225"/>
  <c r="M674" i="225"/>
  <c r="M661" i="225"/>
  <c r="M662" i="225"/>
  <c r="M675" i="225"/>
  <c r="Q436" i="225"/>
  <c r="M663" i="225"/>
  <c r="M676" i="225"/>
  <c r="Q437" i="225"/>
  <c r="M664" i="225"/>
  <c r="Q438" i="225"/>
  <c r="Q439" i="225"/>
  <c r="Q440" i="225"/>
  <c r="Q445" i="225"/>
  <c r="Q446" i="225"/>
  <c r="Q447" i="225"/>
  <c r="H34" i="225"/>
  <c r="H28" i="225"/>
  <c r="H26" i="225"/>
  <c r="H19" i="225"/>
  <c r="H33" i="225"/>
  <c r="H31" i="225"/>
  <c r="H18" i="225"/>
  <c r="H22" i="225"/>
  <c r="H32" i="225"/>
  <c r="H27" i="225"/>
  <c r="H35" i="225"/>
  <c r="H20" i="225"/>
  <c r="H21" i="225"/>
  <c r="H30" i="225"/>
  <c r="H16" i="225"/>
  <c r="H17" i="225"/>
  <c r="H24" i="225"/>
  <c r="Q429" i="225" l="1"/>
  <c r="Q427" i="225" s="1"/>
  <c r="Q425" i="225" s="1"/>
  <c r="AD557" i="225" l="1"/>
  <c r="AD560" i="225" s="1"/>
  <c r="AO560" i="225" l="1"/>
  <c r="AD559" i="225"/>
  <c r="AD569" i="225"/>
  <c r="AO569" i="225" l="1"/>
  <c r="AD579" i="225"/>
  <c r="AO579" i="225" s="1"/>
  <c r="AD578" i="225"/>
  <c r="AD576" i="225"/>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<sst xmlns="http://schemas.openxmlformats.org/spreadsheetml/2006/main" count="7765" uniqueCount="2637">
  <si>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</si>
  <si>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</si>
  <si>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</si>
  <si>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</si>
  <si>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</si>
  <si>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</si>
  <si>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</si>
  <si>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</si>
  <si>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</si>
  <si>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</si>
  <si>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</si>
  <si>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</si>
  <si>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</si>
  <si>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</si>
  <si>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</si>
  <si>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</si>
  <si>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</si>
  <si>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</si>
  <si>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</si>
  <si>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</si>
  <si>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</si>
  <si>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</si>
  <si>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</si>
  <si>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</si>
  <si>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</si>
  <si>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</si>
  <si>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</si>
  <si>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</si>
  <si>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</si>
  <si>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</si>
  <si>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</si>
  <si>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</si>
  <si>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</si>
  <si>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</si>
  <si>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</si>
  <si>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</si>
  <si>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</si>
  <si>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</si>
  <si>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</si>
  <si>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</si>
  <si>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</si>
  <si>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</si>
  <si>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</si>
  <si>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</si>
  <si>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</si>
  <si>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</si>
  <si>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</si>
  <si>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</si>
  <si>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</si>
  <si>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</si>
  <si>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</si>
  <si>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</si>
  <si>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</si>
  <si>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</si>
  <si>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</si>
  <si>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</si>
  <si>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</si>
  <si>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</si>
  <si>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</si>
  <si>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</si>
  <si>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</si>
  <si>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</si>
  <si>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</si>
  <si>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</si>
  <si>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</si>
  <si>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</si>
  <si>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</si>
  <si>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</si>
  <si>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</si>
  <si>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</si>
  <si>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</si>
  <si>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</si>
  <si>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</si>
  <si>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</si>
  <si>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</si>
  <si>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</si>
  <si>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</si>
  <si>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</si>
  <si>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</si>
  <si>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</si>
  <si>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</si>
  <si>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</si>
  <si>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</si>
  <si>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</si>
  <si>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</si>
  <si>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</si>
  <si>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</si>
  <si>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</si>
  <si>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</si>
  <si>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</si>
  <si>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</si>
  <si>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</si>
  <si>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</si>
  <si>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</si>
  <si>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</si>
  <si>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</si>
  <si>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</si>
  <si>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</si>
  <si>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</si>
  <si>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</si>
  <si>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</si>
  <si>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</si>
  <si>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</si>
  <si>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</si>
  <si>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</si>
  <si>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</si>
  <si>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</si>
  <si>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</si>
  <si>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</si>
  <si>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</si>
  <si>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</si>
  <si>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</si>
  <si>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</si>
  <si>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</si>
  <si>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</si>
  <si>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</si>
  <si>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</si>
  <si>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</si>
  <si>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</si>
  <si>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</si>
  <si>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</si>
  <si>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</si>
  <si>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</si>
  <si>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</si>
  <si>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</si>
  <si>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</si>
  <si>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</si>
  <si>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</si>
  <si>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</si>
  <si>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</si>
  <si>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</si>
  <si>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</si>
  <si>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</si>
  <si>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</si>
  <si>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</si>
  <si>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</si>
  <si>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</si>
  <si>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</si>
  <si>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</si>
  <si>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</si>
  <si>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</si>
  <si>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21</t>
  </si>
  <si>
    <t>Показатели</t>
  </si>
  <si>
    <t>Единица измерения</t>
  </si>
  <si>
    <t>2.1.1</t>
  </si>
  <si>
    <t>%</t>
  </si>
  <si>
    <t>2.2</t>
  </si>
  <si>
    <t>2.2.1</t>
  </si>
  <si>
    <t>4.1</t>
  </si>
  <si>
    <t>8.1</t>
  </si>
  <si>
    <t>19.1</t>
  </si>
  <si>
    <t>19.2</t>
  </si>
  <si>
    <t>19.3</t>
  </si>
  <si>
    <t>19.4</t>
  </si>
  <si>
    <t>21.1</t>
  </si>
  <si>
    <t>21.2</t>
  </si>
  <si>
    <t>21.3</t>
  </si>
  <si>
    <t>21.4</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</si>
  <si>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</si>
  <si>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</si>
  <si>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</si>
  <si>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</si>
  <si>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</si>
  <si>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</si>
  <si>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</si>
  <si>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</si>
  <si>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</si>
  <si>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</si>
  <si>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</si>
  <si>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</si>
  <si>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</si>
  <si>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</si>
  <si>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</si>
  <si>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</si>
  <si>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</si>
  <si>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</si>
  <si>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</si>
  <si>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</si>
  <si>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</si>
  <si>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</si>
  <si>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</si>
  <si>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</si>
  <si>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</si>
  <si>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</si>
  <si>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</si>
  <si>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</si>
  <si>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</si>
  <si>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</si>
  <si>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</si>
  <si>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</si>
  <si>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</si>
  <si>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</si>
  <si>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</si>
  <si>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</si>
  <si>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</si>
  <si>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</si>
  <si>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</si>
  <si>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</si>
  <si>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</si>
  <si>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</si>
  <si>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15.1</t>
  </si>
  <si>
    <t>15.2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</si>
  <si>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</si>
  <si>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</si>
  <si>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</si>
  <si>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</si>
  <si>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</si>
  <si>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</si>
  <si>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</si>
  <si>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</si>
  <si>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</si>
  <si>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</si>
  <si>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</si>
  <si>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</si>
  <si>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</si>
  <si>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</si>
  <si>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</si>
  <si>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</si>
  <si>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</si>
  <si>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</si>
  <si>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</si>
  <si>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</si>
  <si>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</si>
  <si>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</si>
  <si>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</si>
  <si>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</si>
  <si>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</si>
  <si>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</si>
  <si>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</si>
  <si>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</si>
  <si>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</si>
  <si>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</si>
  <si>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</si>
  <si>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</si>
  <si>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</si>
  <si>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</si>
  <si>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</si>
  <si>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</si>
  <si>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</si>
  <si>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</si>
  <si>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</si>
  <si>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</si>
  <si>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</si>
  <si>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</si>
  <si>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</si>
  <si>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</si>
  <si>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</si>
  <si>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</si>
  <si>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</si>
  <si>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</si>
  <si>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</si>
  <si>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</si>
  <si>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</si>
  <si>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</si>
  <si>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</si>
  <si>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</si>
  <si>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</si>
  <si>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</si>
  <si>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</si>
  <si>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</si>
  <si>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</si>
  <si>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</si>
  <si>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</si>
  <si>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</si>
  <si>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</si>
  <si>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</si>
  <si>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</si>
  <si>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</si>
  <si>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</si>
  <si>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</si>
  <si>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</si>
  <si>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</si>
  <si>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</si>
  <si>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</si>
  <si>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</si>
  <si>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</si>
  <si>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</si>
  <si>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Период регулирования (корректировки)</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</si>
  <si>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</si>
  <si>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</si>
  <si>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</si>
  <si>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</si>
  <si>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</si>
  <si>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</si>
  <si>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</si>
  <si>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</si>
  <si>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</si>
  <si>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</si>
  <si>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</si>
  <si>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</si>
  <si>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</si>
  <si>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</si>
  <si>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</si>
  <si>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</si>
  <si>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</si>
  <si>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</si>
  <si>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</si>
  <si>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</si>
  <si>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</si>
  <si>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</si>
  <si>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</si>
  <si>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</si>
  <si>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</si>
  <si>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</si>
  <si>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</si>
  <si>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</si>
  <si>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</si>
  <si>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</si>
  <si>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</si>
  <si>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</si>
  <si>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</si>
  <si>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</si>
  <si>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</si>
  <si>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</si>
  <si>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</si>
  <si>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</si>
  <si>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</si>
  <si>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</si>
  <si>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</si>
  <si>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</si>
  <si>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</si>
  <si>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</si>
  <si>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</si>
  <si>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</si>
  <si>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</si>
  <si>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</si>
  <si>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</si>
  <si>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</si>
  <si>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</si>
  <si>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</si>
  <si>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</si>
  <si>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</si>
  <si>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</si>
  <si>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</si>
  <si>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</si>
  <si>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</si>
  <si>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</si>
  <si>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</si>
  <si>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</si>
  <si>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</si>
  <si>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</si>
  <si>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</si>
  <si>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</si>
  <si>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</si>
  <si>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</si>
  <si>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</si>
  <si>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</si>
  <si>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</si>
  <si>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</si>
  <si>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</si>
  <si>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</si>
  <si>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</si>
  <si>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</si>
  <si>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</si>
  <si>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</si>
  <si>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</si>
  <si>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</si>
  <si>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</si>
  <si>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</si>
  <si>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</si>
  <si>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</si>
  <si>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</si>
  <si>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</si>
  <si>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</si>
  <si>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</si>
  <si>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</si>
  <si>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</si>
  <si>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</si>
  <si>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</si>
  <si>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</si>
  <si>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</si>
  <si>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</si>
  <si>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</si>
  <si>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</si>
  <si>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</si>
  <si>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</si>
  <si>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</si>
  <si>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</si>
  <si>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</si>
  <si>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</si>
  <si>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</si>
  <si>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</si>
  <si>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</si>
  <si>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</si>
  <si>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</si>
  <si>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</si>
  <si>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</si>
  <si>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</si>
  <si>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</si>
  <si>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</si>
  <si>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</si>
  <si>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</si>
  <si>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</si>
  <si>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</si>
  <si>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</si>
  <si>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</si>
  <si>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</si>
  <si>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</si>
  <si>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</si>
  <si>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</si>
  <si>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</si>
  <si>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</si>
  <si>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</si>
  <si>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</si>
  <si>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</si>
  <si>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</si>
  <si>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</si>
  <si>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</si>
  <si>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</si>
  <si>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</si>
  <si>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</si>
  <si>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</si>
  <si>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</si>
  <si>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</si>
  <si>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</si>
  <si>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</si>
  <si>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</si>
  <si>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</si>
  <si>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</si>
  <si>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</si>
  <si>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</si>
  <si>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</si>
  <si>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</si>
  <si>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</si>
  <si>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</si>
  <si>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</si>
  <si>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</si>
  <si>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</si>
  <si>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</si>
  <si>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</si>
  <si>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</si>
  <si>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</si>
  <si>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</si>
  <si>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</si>
  <si>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</si>
  <si>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</si>
  <si>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</si>
  <si>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</si>
  <si>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</si>
  <si>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</si>
  <si>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</si>
  <si>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</si>
  <si>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</si>
  <si>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</si>
  <si>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</si>
  <si>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</si>
  <si>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</si>
  <si>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</si>
  <si>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</si>
  <si>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</si>
  <si>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</si>
  <si>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</si>
  <si>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</si>
  <si>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</si>
  <si>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</si>
  <si>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</si>
  <si>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</si>
  <si>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</si>
  <si>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</si>
  <si>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</si>
  <si>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</si>
  <si>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</si>
  <si>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</si>
  <si>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</si>
  <si>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</si>
  <si>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</si>
  <si>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</si>
  <si>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</si>
  <si>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</si>
  <si>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</si>
  <si>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</si>
  <si>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</si>
  <si>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</si>
  <si>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</si>
  <si>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</si>
  <si>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</si>
  <si>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</si>
  <si>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</si>
  <si>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</si>
  <si>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</si>
  <si>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</si>
  <si>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</si>
  <si>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</si>
  <si>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</si>
  <si>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</si>
  <si>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</si>
  <si>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</si>
  <si>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</si>
  <si>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</si>
  <si>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</si>
  <si>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</si>
  <si>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</si>
  <si>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</si>
  <si>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</si>
  <si>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</si>
  <si>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</si>
  <si>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</si>
  <si>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</si>
  <si>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</si>
  <si>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</si>
  <si>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</si>
  <si>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</si>
  <si>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</si>
  <si>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</si>
  <si>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</si>
  <si>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</si>
  <si>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</si>
  <si>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</si>
  <si>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</si>
  <si>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</si>
  <si>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</si>
  <si>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</si>
  <si>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</si>
  <si>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</si>
  <si>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</si>
  <si>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</si>
  <si>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</si>
  <si>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</si>
  <si>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</si>
  <si>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</si>
  <si>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</si>
  <si>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</si>
  <si>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</si>
  <si>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</si>
  <si>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</si>
  <si>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</si>
  <si>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</si>
  <si>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</si>
  <si>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</si>
  <si>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</si>
  <si>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</si>
  <si>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</si>
  <si>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</si>
  <si>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</si>
  <si>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</si>
  <si>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</si>
  <si>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</si>
  <si>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</si>
  <si>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</si>
  <si>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</si>
  <si>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</si>
  <si>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</si>
  <si>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</si>
  <si>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расходы на оплату труда и отчисления на социальные нужды основного производственного персонала, в том числе:</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</si>
  <si>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</si>
  <si>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</si>
  <si>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</si>
  <si>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</si>
  <si>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</si>
  <si>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</si>
  <si>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</si>
  <si>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</si>
  <si>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</si>
  <si>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</si>
  <si>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</si>
  <si>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</si>
  <si>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</si>
  <si>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</si>
  <si>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</si>
  <si>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</si>
  <si>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</si>
  <si>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</si>
  <si>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</si>
  <si>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</si>
  <si>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</si>
  <si>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</si>
  <si>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</si>
  <si>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</si>
  <si>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</si>
  <si>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и отчисления на социальные нужды ремонтного персонала, в том числе:</t>
  </si>
  <si>
    <t>расходы на оплату труда ремонтного персонала</t>
  </si>
  <si>
    <t>отчисления на социальные нужды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</si>
  <si>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</si>
  <si>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</si>
  <si>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</si>
  <si>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</si>
  <si>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</si>
  <si>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</si>
  <si>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</si>
  <si>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</si>
  <si>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</si>
  <si>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</si>
  <si>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</si>
  <si>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</si>
  <si>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</si>
  <si>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</si>
  <si>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</si>
  <si>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</si>
  <si>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расходы на оплату труда и отчисления на социальные нужды административно-управленческого персонала, в том числе:</t>
  </si>
  <si>
    <t>1.4.2.1</t>
  </si>
  <si>
    <t>расходы на оплату труда административно-управленческого персонала</t>
  </si>
  <si>
    <t>1.4.2.2</t>
  </si>
  <si>
    <t>отчисления на социальные нужды административно-управленческого персонала</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</si>
  <si>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</si>
  <si>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</si>
  <si>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</si>
  <si>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</si>
  <si>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</si>
  <si>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</si>
  <si>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</si>
  <si>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</si>
  <si>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</si>
  <si>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</si>
  <si>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</si>
  <si>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</si>
  <si>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Сбытовые расходы гарантирующих организаций (за исключением указанных в п.2.5)</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</si>
  <si>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</si>
  <si>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</si>
  <si>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</si>
  <si>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</si>
  <si>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</si>
  <si>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</si>
  <si>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</si>
  <si>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</si>
  <si>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</si>
  <si>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</si>
  <si>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</si>
  <si>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</si>
  <si>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</si>
  <si>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</si>
  <si>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</si>
  <si>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</si>
  <si>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</si>
  <si>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</si>
  <si>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</si>
  <si>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</si>
  <si>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</si>
  <si>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</si>
  <si>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</si>
  <si>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</si>
  <si>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</si>
  <si>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</si>
  <si>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</si>
  <si>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</si>
  <si>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</si>
  <si>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</si>
  <si>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</si>
  <si>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</si>
  <si>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</si>
  <si>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</si>
  <si>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</si>
  <si>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</si>
  <si>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</si>
  <si>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</si>
  <si>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</si>
  <si>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</si>
  <si>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</si>
  <si>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</si>
  <si>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</si>
  <si>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</si>
  <si>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</si>
  <si>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</si>
  <si>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</si>
  <si>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</si>
  <si>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</si>
  <si>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</si>
  <si>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</si>
  <si>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</si>
  <si>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</si>
  <si>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</si>
  <si>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</si>
  <si>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</si>
  <si>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</si>
  <si>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</si>
  <si>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</si>
  <si>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</si>
  <si>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</si>
  <si>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</si>
  <si>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</si>
  <si>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</si>
  <si>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</si>
  <si>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</si>
  <si>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</si>
  <si>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</si>
  <si>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</si>
  <si>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</si>
  <si>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</si>
  <si>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</si>
  <si>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</si>
  <si>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</si>
  <si>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19.5</t>
  </si>
  <si>
    <t>темп роста тарифа</t>
  </si>
  <si>
    <t>19.6</t>
  </si>
  <si>
    <t>средневзвешенный тариф</t>
  </si>
  <si>
    <t>Полезный отпуск для населения:</t>
  </si>
  <si>
    <t>16.1. Тарифное меню (водоснабжение/водоотведение)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</si>
  <si>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</si>
  <si>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</si>
  <si>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</si>
  <si>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</si>
  <si>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</si>
  <si>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</si>
  <si>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</si>
  <si>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</si>
  <si>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</si>
  <si>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</si>
  <si>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</si>
  <si>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</si>
  <si>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</si>
  <si>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</si>
  <si>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</si>
  <si>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16.2. Тарифное меню (транспортировка воды / сточных вод)</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</si>
  <si>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</si>
  <si>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</si>
  <si>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</si>
  <si>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</si>
  <si>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</si>
  <si>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</si>
  <si>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</si>
  <si>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</si>
  <si>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</si>
  <si>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</si>
  <si>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</si>
  <si>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</si>
  <si>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</si>
  <si>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</si>
  <si>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</si>
  <si>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</si>
  <si>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</si>
  <si>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</si>
  <si>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</si>
  <si>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</si>
  <si>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</si>
  <si>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</si>
  <si>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</si>
  <si>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</si>
  <si>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</si>
  <si>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</si>
  <si>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</si>
  <si>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</si>
  <si>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</si>
  <si>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</si>
  <si>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</si>
  <si>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</si>
  <si>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</si>
  <si>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</si>
  <si>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</si>
  <si>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</si>
  <si>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</si>
  <si>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</si>
  <si>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</si>
  <si>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</si>
  <si>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</si>
  <si>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</si>
  <si>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</si>
  <si>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</si>
  <si>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</si>
  <si>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</si>
  <si>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</si>
  <si>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</si>
  <si>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</si>
  <si>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</si>
  <si>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</si>
  <si>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</si>
  <si>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</si>
  <si>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</si>
  <si>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</si>
  <si>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</si>
  <si>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</si>
  <si>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</si>
  <si>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</si>
  <si>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</si>
  <si>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</si>
  <si>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</si>
  <si>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</si>
  <si>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</si>
  <si>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</si>
  <si>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</si>
  <si>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</si>
  <si>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</si>
  <si>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</si>
  <si>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</si>
  <si>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</si>
  <si>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</si>
  <si>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</si>
  <si>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</si>
  <si>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</si>
  <si>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</si>
  <si>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</si>
  <si>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</si>
  <si>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</si>
  <si>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</si>
  <si>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</si>
  <si>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</si>
  <si>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</si>
  <si>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</si>
  <si>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</si>
  <si>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</si>
  <si>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</si>
  <si>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</si>
  <si>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</si>
  <si>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</si>
  <si>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</si>
  <si>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</si>
  <si>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</si>
  <si>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</si>
  <si>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</si>
  <si>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</si>
  <si>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</si>
  <si>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</si>
  <si>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</si>
  <si>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</si>
  <si>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</si>
  <si>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</si>
  <si>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</si>
  <si>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</si>
  <si>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</si>
  <si>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</si>
  <si>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</si>
  <si>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</si>
  <si>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</si>
  <si>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</si>
  <si>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</si>
  <si>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</si>
  <si>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</si>
  <si>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</si>
  <si>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</si>
  <si>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</si>
  <si>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</si>
  <si>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</si>
  <si>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</si>
  <si>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</si>
  <si>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</si>
  <si>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</si>
  <si>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</si>
  <si>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</si>
  <si>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</si>
  <si>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</si>
  <si>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</si>
  <si>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</si>
  <si>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</si>
  <si>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</si>
  <si>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</si>
  <si>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</si>
  <si>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</si>
  <si>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</si>
  <si>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</si>
  <si>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</si>
  <si>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</si>
  <si>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</si>
  <si>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</si>
  <si>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</si>
  <si>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</si>
  <si>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</si>
  <si>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</si>
  <si>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</si>
  <si>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</si>
  <si>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</si>
  <si>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</si>
  <si>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</si>
  <si>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</si>
  <si>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</si>
  <si>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</si>
  <si>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</si>
  <si>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</si>
  <si>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</si>
  <si>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</si>
  <si>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</si>
  <si>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</si>
  <si>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</si>
  <si>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</si>
  <si>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</si>
  <si>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</si>
  <si>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</si>
  <si>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</si>
  <si>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</si>
  <si>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</si>
  <si>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</si>
  <si>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</si>
  <si>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</si>
  <si>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</si>
  <si>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</si>
  <si>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</si>
  <si>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</si>
  <si>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</si>
  <si>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</si>
  <si>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</si>
  <si>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</si>
  <si>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</si>
  <si>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</si>
  <si>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</si>
  <si>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</si>
  <si>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</si>
  <si>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</si>
  <si>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</si>
  <si>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</si>
  <si>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</si>
  <si>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</si>
  <si>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</si>
  <si>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</si>
  <si>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</si>
  <si>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</si>
  <si>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</si>
  <si>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</si>
  <si>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</si>
  <si>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</si>
  <si>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</si>
  <si>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</si>
  <si>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</si>
  <si>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</si>
  <si>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</si>
  <si>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</si>
  <si>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</si>
  <si>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</si>
  <si>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</si>
  <si>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</si>
  <si>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</si>
  <si>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</si>
  <si>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</si>
  <si>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</si>
  <si>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</si>
  <si>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</si>
  <si>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</si>
  <si>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</si>
  <si>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</si>
  <si>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</si>
  <si>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</si>
  <si>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</si>
  <si>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</si>
  <si>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</si>
  <si>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</si>
  <si>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</si>
  <si>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</si>
  <si>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</si>
  <si>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</si>
  <si>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</si>
  <si>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</si>
  <si>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</si>
  <si>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</si>
  <si>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</si>
  <si>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</si>
  <si>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</si>
  <si>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</si>
  <si>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</si>
  <si>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</si>
  <si>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</si>
  <si>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</si>
  <si>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</si>
  <si>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</si>
  <si>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</si>
  <si>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</si>
  <si>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</si>
  <si>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</si>
  <si>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</si>
  <si>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</si>
  <si>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</si>
  <si>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</si>
  <si>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</si>
  <si>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</si>
  <si>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</si>
  <si>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</si>
  <si>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</si>
  <si>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</si>
  <si>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</si>
  <si>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</si>
  <si>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</si>
  <si>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</si>
  <si>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</si>
  <si>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</si>
  <si>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</si>
  <si>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</si>
  <si>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</si>
  <si>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</si>
  <si>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</si>
  <si>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</si>
  <si>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</si>
  <si>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</si>
  <si>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</si>
  <si>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</si>
  <si>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</si>
  <si>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</si>
  <si>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</si>
  <si>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</si>
  <si>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</si>
  <si>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</si>
  <si>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</si>
  <si>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</si>
  <si>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</si>
  <si>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</si>
  <si>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</si>
  <si>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</si>
  <si>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</si>
  <si>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</si>
  <si>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</si>
  <si>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</si>
  <si>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</si>
  <si>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</si>
  <si>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</si>
  <si>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</si>
  <si>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</si>
  <si>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</si>
  <si>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</si>
  <si>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</si>
  <si>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</si>
  <si>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</si>
  <si>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</si>
  <si>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</si>
  <si>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</si>
  <si>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</si>
  <si>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</si>
  <si>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</si>
  <si>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</si>
  <si>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</si>
  <si>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</si>
  <si>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</si>
  <si>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</si>
  <si>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</si>
  <si>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</si>
  <si>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</si>
  <si>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</si>
  <si>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</si>
  <si>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</si>
  <si>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</si>
  <si>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</si>
  <si>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</si>
  <si>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</si>
  <si>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</si>
  <si>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</si>
  <si>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</si>
  <si>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</si>
  <si>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</si>
  <si>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</si>
  <si>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</si>
  <si>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</si>
  <si>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</si>
  <si>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</si>
  <si>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</si>
  <si>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</si>
  <si>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</si>
  <si>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</si>
  <si>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</si>
  <si>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</si>
  <si>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</si>
  <si>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</si>
  <si>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</si>
  <si>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</si>
  <si>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</si>
  <si>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</si>
  <si>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</si>
  <si>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</si>
  <si>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</si>
  <si>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</si>
  <si>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</si>
  <si>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</si>
  <si>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</si>
  <si>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</si>
  <si>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</si>
  <si>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</si>
  <si>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</si>
  <si>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</si>
  <si>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</si>
  <si>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</si>
  <si>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</si>
  <si>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</si>
  <si>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</si>
  <si>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</si>
  <si>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</si>
  <si>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</si>
  <si>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</si>
  <si>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</si>
  <si>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</si>
  <si>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</si>
  <si>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</si>
  <si>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</si>
  <si>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</si>
  <si>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</si>
  <si>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</si>
  <si>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</si>
  <si>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</si>
  <si>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</si>
  <si>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</si>
  <si>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</si>
  <si>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</si>
  <si>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</si>
  <si>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</si>
  <si>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</si>
  <si>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</si>
  <si>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</si>
  <si>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</si>
  <si>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</si>
  <si>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</si>
  <si>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</si>
  <si>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</si>
  <si>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</si>
  <si>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</si>
  <si>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</si>
  <si>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</si>
  <si>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</si>
  <si>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</si>
  <si>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</si>
  <si>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</si>
  <si>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</si>
  <si>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</si>
  <si>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</si>
  <si>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</si>
  <si>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</si>
  <si>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</si>
  <si>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</si>
  <si>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</si>
  <si>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</si>
  <si>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</si>
  <si>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</si>
  <si>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</si>
  <si>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</si>
  <si>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</si>
  <si>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</si>
  <si>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</si>
  <si>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</si>
  <si>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</si>
  <si>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</si>
  <si>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</si>
  <si>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</si>
  <si>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</si>
  <si>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</si>
  <si>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</si>
  <si>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</si>
  <si>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</si>
  <si>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</si>
  <si>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</si>
  <si>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</si>
  <si>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</si>
  <si>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</si>
  <si>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</si>
  <si>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</si>
  <si>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</si>
  <si>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</si>
  <si>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</si>
  <si>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</si>
  <si>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Экспертное заключение об установлении тарифов в сфере холодного водоснабжения/водоотведения методом индексации (корректировка)</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</si>
  <si>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</si>
  <si>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</si>
  <si>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</si>
  <si>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</si>
  <si>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</si>
  <si>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</si>
  <si>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</si>
  <si>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</si>
  <si>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</si>
  <si>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</si>
  <si>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</si>
  <si>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</si>
  <si>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</si>
  <si>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</si>
  <si>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</si>
  <si>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</si>
  <si>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</si>
  <si>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</si>
  <si>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</si>
  <si>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</si>
  <si>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</si>
  <si>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</si>
  <si>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</si>
  <si>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</si>
  <si>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</si>
  <si>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</si>
  <si>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</si>
  <si>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</si>
  <si>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</si>
  <si>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</si>
  <si>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</si>
  <si>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</si>
  <si>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r>
      <t>ΔИ</t>
    </r>
    <r>
      <rPr>
        <b/>
        <vertAlign val="subscript"/>
        <sz val="9"/>
        <color theme="1"/>
        <rFont val="Tahoma"/>
        <family val="2"/>
        <charset val="204"/>
      </rPr>
      <t>i-2</t>
    </r>
  </si>
  <si>
    <r>
      <t>ΔЦП</t>
    </r>
    <r>
      <rPr>
        <b/>
        <vertAlign val="subscript"/>
        <sz val="9"/>
        <color theme="1"/>
        <rFont val="Tahoma"/>
        <family val="2"/>
        <charset val="204"/>
      </rPr>
      <t>i-2</t>
    </r>
  </si>
  <si>
    <t>прочие налоги и сборы</t>
  </si>
  <si>
    <t>Тариф корректируется только на период регулирования</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</si>
  <si>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</si>
  <si>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</si>
  <si>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</si>
  <si>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</si>
  <si>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</si>
  <si>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</si>
  <si>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</si>
  <si>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</si>
  <si>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</si>
  <si>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</si>
  <si>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</si>
  <si>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</si>
  <si>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</si>
  <si>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</si>
  <si>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</si>
  <si>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</si>
  <si>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</si>
  <si>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</si>
  <si>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</si>
  <si>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</si>
  <si>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</si>
  <si>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</si>
  <si>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</si>
  <si>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</si>
  <si>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</si>
  <si>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</si>
  <si>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</si>
  <si>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</si>
  <si>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</si>
  <si>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</si>
  <si>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</si>
  <si>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отчисления на социальные нужды основного производственного персонала</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</si>
  <si>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</si>
  <si>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</si>
  <si>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</si>
  <si>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</si>
  <si>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</si>
  <si>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</si>
  <si>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</si>
  <si>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</si>
  <si>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</si>
  <si>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</si>
  <si>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</si>
  <si>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</si>
  <si>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</si>
  <si>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</si>
  <si>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</si>
  <si>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</si>
  <si>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</si>
  <si>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</si>
  <si>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</si>
  <si>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</si>
  <si>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</si>
  <si>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</si>
  <si>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</si>
  <si>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</si>
  <si>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</si>
  <si>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</si>
  <si>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</si>
  <si>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</si>
  <si>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</si>
  <si>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</si>
  <si>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</si>
  <si>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</si>
  <si>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</si>
  <si>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</si>
  <si>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</si>
  <si>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</si>
  <si>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</si>
  <si>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</si>
  <si>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</si>
  <si>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</si>
  <si>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</si>
  <si>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</si>
  <si>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</si>
  <si>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18.1</t>
  </si>
  <si>
    <t>18.2</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</si>
  <si>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</si>
  <si>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</si>
  <si>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</si>
  <si>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</si>
  <si>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</si>
  <si>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</si>
  <si>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</si>
  <si>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</si>
  <si>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</si>
  <si>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</si>
  <si>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</si>
  <si>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</si>
  <si>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</si>
  <si>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</si>
  <si>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</si>
  <si>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</si>
  <si>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</si>
  <si>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</si>
  <si>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</si>
  <si>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</si>
  <si>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</si>
  <si>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</si>
  <si>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</si>
  <si>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</si>
  <si>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</si>
  <si>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</si>
  <si>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</si>
  <si>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</si>
  <si>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</si>
  <si>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</si>
  <si>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</si>
  <si>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</si>
  <si>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</si>
  <si>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</si>
  <si>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</si>
  <si>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</si>
  <si>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</si>
  <si>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</si>
  <si>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</si>
  <si>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</si>
  <si>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</si>
  <si>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</si>
  <si>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13. Расшифровка по налогам и платежам</t>
  </si>
  <si>
    <t>14. План и факт по источникам финансирования инвестиционной программы</t>
  </si>
  <si>
    <t>15. Расчет экономии средств, достигнутой в результате снижения расходов предыдущего долгосрочного периода регулирования</t>
  </si>
  <si>
    <t>16. Плата за негативное воздействие на работу централизованных систем водоотведения</t>
  </si>
  <si>
    <t>17. Расчет показателей корректировки необходимой валовой выручки</t>
  </si>
  <si>
    <t>18. Расчет тарифа методом индексации</t>
  </si>
  <si>
    <t>19. Тарифное меню</t>
  </si>
  <si>
    <t>20. Долгосрочные параметры регулирования тарифов</t>
  </si>
  <si>
    <t>21. Долгосрочные параметры регулирования тарифов (концессии)</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</si>
  <si>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</si>
  <si>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</si>
  <si>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</si>
  <si>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</si>
  <si>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</si>
  <si>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</si>
  <si>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</si>
  <si>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</si>
  <si>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</si>
  <si>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</si>
  <si>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</si>
  <si>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</si>
  <si>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</si>
  <si>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</si>
  <si>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</si>
  <si>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</si>
  <si>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</si>
  <si>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</si>
  <si>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</si>
  <si>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</si>
  <si>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</si>
  <si>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</si>
  <si>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</si>
  <si>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</si>
  <si>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</si>
  <si>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</si>
  <si>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</si>
  <si>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</si>
  <si>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</si>
  <si>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</si>
  <si>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</si>
  <si>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</si>
  <si>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</si>
  <si>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</si>
  <si>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</si>
  <si>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</si>
  <si>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</si>
  <si>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</si>
  <si>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</si>
  <si>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</si>
  <si>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Организация регулируется впервые</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</si>
  <si>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</si>
  <si>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</si>
  <si>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</si>
  <si>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</si>
  <si>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</si>
  <si>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</si>
  <si>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</si>
  <si>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</si>
  <si>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Итого НВВ для населения</t>
  </si>
  <si>
    <t>1.4.7.1</t>
  </si>
  <si>
    <t>1.4.7.2</t>
  </si>
  <si>
    <t>et_List17_tariff_vs</t>
  </si>
  <si>
    <t>et_List17_tariff_vo</t>
  </si>
  <si>
    <t>9.0</t>
  </si>
  <si>
    <t>et_List09_org5</t>
  </si>
  <si>
    <t>5.0</t>
  </si>
  <si>
    <t>Объём пропущенных стоков (очистка)</t>
  </si>
  <si>
    <t>Тариф на очистку стоков</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</si>
  <si>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</si>
  <si>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</si>
  <si>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</si>
  <si>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</si>
  <si>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</si>
  <si>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</si>
  <si>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16. Плата за негативное воздействие на работу централизованных систем водоотведения (принято органом регулирования)</t>
  </si>
  <si>
    <t>1.7</t>
  </si>
  <si>
    <t>Операционные расходы по концессионным соглашениям</t>
  </si>
  <si>
    <t>1.7.0</t>
  </si>
  <si>
    <t>et_List15_1</t>
  </si>
  <si>
    <t>1.7.1</t>
  </si>
  <si>
    <t>* данные без НДС</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</si>
  <si>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</si>
  <si>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</si>
  <si>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</si>
  <si>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</si>
  <si>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</si>
  <si>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</si>
  <si>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</si>
  <si>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</si>
  <si>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</si>
  <si>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</si>
  <si>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</si>
  <si>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</si>
  <si>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et_List16_line_o</t>
  </si>
  <si>
    <t>Объём реализации услуги</t>
  </si>
  <si>
    <t>et_List16_line_d</t>
  </si>
  <si>
    <t>et_List16_line_transp</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</si>
  <si>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</si>
  <si>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</si>
  <si>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</si>
  <si>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</si>
  <si>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</si>
  <si>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</si>
  <si>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</si>
  <si>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</si>
  <si>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</si>
  <si>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</si>
  <si>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</si>
  <si>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</si>
  <si>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</si>
  <si>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</si>
  <si>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</si>
  <si>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</si>
  <si>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</si>
  <si>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</si>
  <si>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Затраты на электроэнергию</t>
  </si>
  <si>
    <t>Затраты на электрическую мощность</t>
  </si>
  <si>
    <t>modList15</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</si>
  <si>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</si>
  <si>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</si>
  <si>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</si>
  <si>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</si>
  <si>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</si>
  <si>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</si>
  <si>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</si>
  <si>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</si>
  <si>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</si>
  <si>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</si>
  <si>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</si>
  <si>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</si>
  <si>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</si>
  <si>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</si>
  <si>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</si>
  <si>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</si>
  <si>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</si>
  <si>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</si>
  <si>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</si>
  <si>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</si>
  <si>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</si>
  <si>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</si>
  <si>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</si>
  <si>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</si>
  <si>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</si>
  <si>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</si>
  <si>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</si>
  <si>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</si>
  <si>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</si>
  <si>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</si>
  <si>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</si>
  <si>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</si>
  <si>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1.4.7.3</t>
  </si>
  <si>
    <t>иные расходы</t>
  </si>
  <si>
    <t>1.4.1.7</t>
  </si>
  <si>
    <t>иные работы и (или) услуги</t>
  </si>
  <si>
    <t>1.2.5.7</t>
  </si>
  <si>
    <t>иные производственные расходы</t>
  </si>
  <si>
    <t>Проверка доступных обновлений...</t>
  </si>
  <si>
    <t>Информация</t>
  </si>
  <si>
    <t>Нет доступных обновлений для отчёта с кодом EXPERT.VSVO.INDEX.CORR!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</si>
  <si>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</si>
  <si>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</si>
  <si>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</si>
  <si>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</si>
  <si>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</si>
  <si>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</si>
  <si>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</si>
  <si>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</si>
  <si>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</si>
  <si>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</si>
  <si>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</si>
  <si>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</si>
  <si>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</si>
  <si>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</si>
  <si>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</si>
  <si>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</si>
  <si>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</si>
  <si>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</si>
  <si>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</si>
  <si>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</si>
  <si>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</si>
  <si>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</si>
  <si>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</si>
  <si>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</si>
  <si>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</si>
  <si>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</si>
  <si>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</si>
  <si>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</si>
  <si>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</si>
  <si>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</si>
  <si>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</si>
  <si>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</si>
  <si>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</si>
  <si>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</si>
  <si>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</si>
  <si>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</si>
  <si>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</si>
  <si>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</si>
  <si>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</si>
  <si>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</si>
  <si>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</si>
  <si>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</si>
  <si>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</si>
  <si>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</si>
  <si>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</si>
  <si>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</si>
  <si>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</si>
  <si>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</si>
  <si>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</si>
  <si>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</si>
  <si>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</si>
  <si>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</si>
  <si>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</si>
  <si>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</si>
  <si>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</si>
  <si>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</si>
  <si>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</si>
  <si>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</si>
  <si>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</si>
  <si>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</si>
  <si>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</si>
  <si>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</si>
  <si>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</si>
  <si>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</si>
  <si>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</si>
  <si>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</si>
  <si>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</si>
  <si>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</si>
  <si>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</si>
  <si>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</si>
  <si>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</si>
  <si>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</si>
  <si>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</si>
  <si>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</si>
  <si>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</si>
  <si>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</si>
  <si>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</si>
  <si>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</si>
  <si>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</si>
  <si>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</si>
  <si>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</si>
  <si>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</si>
  <si>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</si>
  <si>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</si>
  <si>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</si>
  <si>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</si>
  <si>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</si>
  <si>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</si>
  <si>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</si>
  <si>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</si>
  <si>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</si>
  <si>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</si>
  <si>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</si>
  <si>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</si>
  <si>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</si>
  <si>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</si>
  <si>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</si>
  <si>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</si>
  <si>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</si>
  <si>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</si>
  <si>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</si>
  <si>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</si>
  <si>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</si>
  <si>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</si>
  <si>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</si>
  <si>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</si>
  <si>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</si>
  <si>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</si>
  <si>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</si>
  <si>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</si>
  <si>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</si>
  <si>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</si>
  <si>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</si>
  <si>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</si>
  <si>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</si>
  <si>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</si>
  <si>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</si>
  <si>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</si>
  <si>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</si>
  <si>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</si>
  <si>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</si>
  <si>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</si>
  <si>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</si>
  <si>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</si>
  <si>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</si>
  <si>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</si>
  <si>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</si>
  <si>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</si>
  <si>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</si>
  <si>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</si>
  <si>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</si>
  <si>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</si>
  <si>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</si>
  <si>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</si>
  <si>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</si>
  <si>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</si>
  <si>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</si>
  <si>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</si>
  <si>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</si>
  <si>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</si>
  <si>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</si>
  <si>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</si>
  <si>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</si>
  <si>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</si>
  <si>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</si>
  <si>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</si>
  <si>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</si>
  <si>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</si>
  <si>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</si>
  <si>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</si>
  <si>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</si>
  <si>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</si>
  <si>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</si>
  <si>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</si>
  <si>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</si>
  <si>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</si>
  <si>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</si>
  <si>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</si>
  <si>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</si>
  <si>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</si>
  <si>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</si>
  <si>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</si>
  <si>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</si>
  <si>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</si>
  <si>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</si>
  <si>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</si>
  <si>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</si>
  <si>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</si>
  <si>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</si>
  <si>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</si>
  <si>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</si>
  <si>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</si>
  <si>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</si>
  <si>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</si>
  <si>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</si>
  <si>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</si>
  <si>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</si>
  <si>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</si>
  <si>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</si>
  <si>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</si>
  <si>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</si>
  <si>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</si>
  <si>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</si>
  <si>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</si>
  <si>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</si>
  <si>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</si>
  <si>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</si>
  <si>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</si>
  <si>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</si>
  <si>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</si>
  <si>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</si>
  <si>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</si>
  <si>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</si>
  <si>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</si>
  <si>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</si>
  <si>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</si>
  <si>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</si>
  <si>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</si>
  <si>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</si>
  <si>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</si>
  <si>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</si>
  <si>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</si>
  <si>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</si>
  <si>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</si>
  <si>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</si>
  <si>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</si>
  <si>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</si>
  <si>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</si>
  <si>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</si>
  <si>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</si>
  <si>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</si>
  <si>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</si>
  <si>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</si>
  <si>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</si>
  <si>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</si>
  <si>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</si>
  <si>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</si>
  <si>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</si>
  <si>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</si>
  <si>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</si>
  <si>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</si>
  <si>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</si>
  <si>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</si>
  <si>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</si>
  <si>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</si>
  <si>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</si>
  <si>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</si>
  <si>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</si>
  <si>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</si>
  <si>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</si>
  <si>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</si>
  <si>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</si>
  <si>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</si>
  <si>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</si>
  <si>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</si>
  <si>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</si>
  <si>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</si>
  <si>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</si>
  <si>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</si>
  <si>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</si>
  <si>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</si>
  <si>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</si>
  <si>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</si>
  <si>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</si>
  <si>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</si>
  <si>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</si>
  <si>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</si>
  <si>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</si>
  <si>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</si>
  <si>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</si>
  <si>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</si>
  <si>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</si>
  <si>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</si>
  <si>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</si>
  <si>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</si>
  <si>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</si>
  <si>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</si>
  <si>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</si>
  <si>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</si>
  <si>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</si>
  <si>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</si>
  <si>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</si>
  <si>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</si>
  <si>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</si>
  <si>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</si>
  <si>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</si>
  <si>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</si>
  <si>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</si>
  <si>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</si>
  <si>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</si>
  <si>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</si>
  <si>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</si>
  <si>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</si>
  <si>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</si>
  <si>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</si>
  <si>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</si>
  <si>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</si>
  <si>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</si>
  <si>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</si>
  <si>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</si>
  <si>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</si>
  <si>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</si>
  <si>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</si>
  <si>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</si>
  <si>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</si>
  <si>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</si>
  <si>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</si>
  <si>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</si>
  <si>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</si>
  <si>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</si>
  <si>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</si>
  <si>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</si>
  <si>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</si>
  <si>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</si>
  <si>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</si>
  <si>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</si>
  <si>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</si>
  <si>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</si>
  <si>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</si>
  <si>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</si>
  <si>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</si>
  <si>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</si>
  <si>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</si>
  <si>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</si>
  <si>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</si>
  <si>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</si>
  <si>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</si>
  <si>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</si>
  <si>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</si>
  <si>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</si>
  <si>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</si>
  <si>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</si>
  <si>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</si>
  <si>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</si>
  <si>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</si>
  <si>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</si>
  <si>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</si>
  <si>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</si>
  <si>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</si>
  <si>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</si>
  <si>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</si>
  <si>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</si>
  <si>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</si>
  <si>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</si>
  <si>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</si>
  <si>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</si>
  <si>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</si>
  <si>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</si>
  <si>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</si>
  <si>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</si>
  <si>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</si>
  <si>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</si>
  <si>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</si>
  <si>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</si>
  <si>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</si>
  <si>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</si>
  <si>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</si>
  <si>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</si>
  <si>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</si>
  <si>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</si>
  <si>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</si>
  <si>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</si>
  <si>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</si>
  <si>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</si>
  <si>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</si>
  <si>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</si>
  <si>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</si>
  <si>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</si>
  <si>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</si>
  <si>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</si>
  <si>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</si>
  <si>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</si>
  <si>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</si>
  <si>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</si>
  <si>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</si>
  <si>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</si>
  <si>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</si>
  <si>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</si>
  <si>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</si>
  <si>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</si>
  <si>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</si>
  <si>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</si>
  <si>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</si>
  <si>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</si>
  <si>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</si>
  <si>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</si>
  <si>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</si>
  <si>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</si>
  <si>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</si>
  <si>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</si>
  <si>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</si>
  <si>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</si>
  <si>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</si>
  <si>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</si>
  <si>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</si>
  <si>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</si>
  <si>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</si>
  <si>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</si>
  <si>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</si>
  <si>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</si>
  <si>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</si>
  <si>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</si>
  <si>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</si>
  <si>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</si>
  <si>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</si>
  <si>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</si>
  <si>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</si>
  <si>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</si>
  <si>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26375381</t>
  </si>
  <si>
    <t>ООО "Водолей"</t>
  </si>
  <si>
    <t>7306038036</t>
  </si>
  <si>
    <t>26541422</t>
  </si>
  <si>
    <t>7310106419</t>
  </si>
  <si>
    <t>731200100</t>
  </si>
  <si>
    <t>30-12-2009 00:00:00</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</si>
  <si>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</si>
  <si>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</si>
  <si>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</si>
  <si>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</si>
  <si>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</si>
  <si>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</si>
  <si>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</si>
  <si>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</si>
  <si>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</si>
  <si>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</si>
  <si>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</si>
  <si>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</si>
  <si>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</si>
  <si>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</si>
  <si>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</si>
  <si>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</si>
  <si>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</si>
  <si>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</si>
  <si>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</si>
  <si>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</si>
  <si>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</si>
  <si>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</si>
  <si>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</si>
  <si>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</si>
  <si>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</si>
  <si>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</si>
  <si>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</si>
  <si>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</si>
  <si>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</si>
  <si>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</si>
  <si>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</si>
  <si>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</si>
  <si>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</si>
  <si>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</si>
  <si>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</si>
  <si>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</si>
  <si>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</si>
  <si>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</si>
  <si>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</si>
  <si>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</si>
  <si>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</si>
  <si>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</si>
  <si>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</si>
  <si>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</si>
  <si>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</si>
  <si>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</si>
  <si>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</si>
  <si>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</si>
  <si>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</si>
  <si>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</si>
  <si>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</si>
  <si>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</si>
  <si>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</si>
  <si>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</si>
  <si>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</si>
  <si>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</si>
  <si>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</si>
  <si>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</si>
  <si>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</si>
  <si>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</si>
  <si>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</si>
  <si>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</si>
  <si>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</si>
  <si>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</si>
  <si>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</si>
  <si>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</si>
  <si>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</si>
  <si>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</si>
  <si>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</si>
  <si>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</si>
  <si>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</si>
  <si>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</si>
  <si>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</si>
  <si>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</si>
  <si>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</si>
  <si>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</si>
  <si>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</si>
  <si>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</si>
  <si>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</si>
  <si>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</si>
  <si>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</si>
  <si>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</si>
  <si>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</si>
  <si>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</si>
  <si>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</si>
  <si>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</si>
  <si>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</si>
  <si>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</si>
  <si>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</si>
  <si>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</si>
  <si>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</si>
  <si>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</si>
  <si>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</si>
  <si>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</si>
  <si>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</si>
  <si>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</si>
  <si>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</si>
  <si>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</si>
  <si>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</si>
  <si>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</si>
  <si>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</si>
  <si>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</si>
  <si>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</si>
  <si>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</si>
  <si>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</si>
  <si>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</si>
  <si>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</si>
  <si>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</si>
  <si>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</si>
  <si>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</si>
  <si>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</si>
  <si>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</si>
  <si>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</si>
  <si>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</si>
  <si>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</si>
  <si>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</si>
  <si>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</si>
  <si>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</si>
  <si>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</si>
  <si>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</si>
  <si>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</si>
  <si>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</si>
  <si>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</si>
  <si>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</si>
  <si>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</si>
  <si>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</si>
  <si>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</si>
  <si>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</si>
  <si>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</si>
  <si>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</si>
  <si>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</si>
  <si>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</si>
  <si>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</si>
  <si>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</si>
  <si>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</si>
  <si>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</si>
  <si>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</si>
  <si>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</si>
  <si>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</si>
  <si>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</si>
  <si>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</si>
  <si>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</si>
  <si>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</si>
  <si>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</si>
  <si>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</si>
  <si>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</si>
  <si>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</si>
  <si>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</si>
  <si>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</si>
  <si>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</si>
  <si>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</si>
  <si>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</si>
  <si>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</si>
  <si>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</si>
  <si>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</si>
  <si>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</si>
  <si>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</si>
  <si>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</si>
  <si>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</si>
  <si>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</si>
  <si>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</si>
  <si>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</si>
  <si>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</si>
  <si>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</si>
  <si>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</si>
  <si>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</si>
  <si>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</si>
  <si>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</si>
  <si>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</si>
  <si>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</si>
  <si>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</si>
  <si>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</si>
  <si>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</si>
  <si>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</si>
  <si>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</si>
  <si>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</si>
  <si>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</si>
  <si>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</si>
  <si>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</si>
  <si>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</si>
  <si>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</si>
  <si>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</si>
  <si>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</si>
  <si>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</si>
  <si>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</si>
  <si>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</si>
  <si>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</si>
  <si>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</si>
  <si>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</si>
  <si>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</si>
  <si>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</si>
  <si>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</si>
  <si>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</si>
  <si>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</si>
  <si>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</si>
  <si>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</si>
  <si>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</si>
  <si>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</si>
  <si>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</si>
  <si>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</si>
  <si>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</si>
  <si>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</si>
  <si>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</si>
  <si>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</si>
  <si>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</si>
  <si>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</si>
  <si>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</si>
  <si>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</si>
  <si>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</si>
  <si>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</si>
  <si>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</si>
  <si>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</si>
  <si>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</si>
  <si>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</si>
  <si>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</si>
  <si>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</si>
  <si>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</si>
  <si>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</si>
  <si>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</si>
  <si>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</si>
  <si>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</si>
  <si>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</si>
  <si>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</si>
  <si>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</si>
  <si>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</si>
  <si>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</si>
  <si>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</si>
  <si>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</si>
  <si>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</si>
  <si>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</si>
  <si>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</si>
  <si>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</si>
  <si>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</si>
  <si>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</si>
  <si>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</si>
  <si>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</si>
  <si>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</si>
  <si>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</si>
  <si>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</si>
  <si>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</si>
  <si>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</si>
  <si>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</si>
  <si>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</si>
  <si>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</si>
  <si>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</si>
  <si>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</si>
  <si>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</si>
  <si>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</si>
  <si>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</si>
  <si>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</si>
  <si>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</si>
  <si>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</si>
  <si>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</si>
  <si>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</si>
  <si>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</si>
  <si>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</si>
  <si>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</si>
  <si>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</si>
  <si>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</si>
  <si>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</si>
  <si>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</si>
  <si>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</si>
  <si>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</si>
  <si>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</si>
  <si>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</si>
  <si>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</si>
  <si>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</si>
  <si>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</si>
  <si>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</si>
  <si>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</si>
  <si>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</si>
  <si>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</si>
  <si>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</si>
  <si>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</si>
  <si>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</si>
  <si>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</si>
  <si>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</si>
  <si>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</si>
  <si>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</si>
  <si>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</si>
  <si>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</si>
  <si>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</si>
  <si>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</si>
  <si>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</si>
  <si>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</si>
  <si>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</si>
  <si>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</si>
  <si>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</si>
  <si>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</si>
  <si>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</si>
  <si>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</si>
  <si>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</si>
  <si>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</si>
  <si>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</si>
  <si>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</si>
  <si>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</si>
  <si>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</si>
  <si>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</si>
  <si>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</si>
  <si>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</si>
  <si>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</si>
  <si>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</si>
  <si>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</si>
  <si>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</si>
  <si>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</si>
  <si>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</si>
  <si>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</si>
  <si>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</si>
  <si>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</si>
  <si>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</si>
  <si>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</si>
  <si>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</si>
  <si>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</si>
  <si>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</si>
  <si>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</si>
  <si>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</si>
  <si>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</si>
  <si>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</si>
  <si>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</si>
  <si>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</si>
  <si>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</si>
  <si>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</si>
  <si>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</si>
  <si>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</si>
  <si>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</si>
  <si>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</si>
  <si>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</si>
  <si>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</si>
  <si>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</si>
  <si>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</si>
  <si>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</si>
  <si>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</si>
  <si>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</si>
  <si>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</si>
  <si>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</si>
  <si>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</si>
  <si>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</si>
  <si>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</si>
  <si>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</si>
  <si>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</si>
  <si>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</si>
  <si>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</si>
  <si>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</si>
  <si>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</si>
  <si>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</si>
  <si>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</si>
  <si>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</si>
  <si>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</si>
  <si>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</si>
  <si>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</si>
  <si>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</si>
  <si>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</si>
  <si>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</si>
  <si>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</si>
  <si>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</si>
  <si>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</si>
  <si>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</si>
  <si>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</si>
  <si>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</si>
  <si>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</si>
  <si>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</si>
  <si>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</si>
  <si>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</si>
  <si>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</si>
  <si>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</si>
  <si>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</si>
  <si>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</si>
  <si>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</si>
  <si>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</si>
  <si>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</si>
  <si>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</si>
  <si>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</si>
  <si>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</si>
  <si>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</si>
  <si>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</si>
  <si>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</si>
  <si>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</si>
  <si>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</si>
  <si>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</si>
  <si>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</si>
  <si>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</si>
  <si>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</si>
  <si>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</si>
  <si>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</si>
  <si>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</si>
  <si>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</si>
  <si>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</si>
  <si>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</si>
  <si>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</si>
  <si>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</si>
  <si>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</si>
  <si>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</si>
  <si>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</si>
  <si>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</si>
  <si>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</si>
  <si>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</si>
  <si>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</si>
  <si>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</si>
  <si>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</si>
  <si>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</si>
  <si>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</si>
  <si>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</si>
  <si>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</si>
  <si>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</si>
  <si>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</si>
  <si>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</si>
  <si>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</si>
  <si>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</si>
  <si>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</si>
  <si>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</si>
  <si>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</si>
  <si>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</si>
  <si>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</si>
  <si>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</si>
  <si>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</si>
  <si>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</si>
  <si>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</si>
  <si>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</si>
  <si>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</si>
  <si>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</si>
  <si>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</si>
  <si>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</si>
  <si>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</si>
  <si>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</si>
  <si>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</si>
  <si>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</si>
  <si>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</si>
  <si>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</si>
  <si>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</si>
  <si>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</si>
  <si>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</si>
  <si>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</si>
  <si>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</si>
  <si>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</si>
  <si>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</si>
  <si>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</si>
  <si>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</si>
  <si>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</si>
  <si>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</si>
  <si>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</si>
  <si>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</si>
  <si>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</si>
  <si>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</si>
  <si>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</si>
  <si>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</si>
  <si>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</si>
  <si>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</si>
  <si>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</si>
  <si>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</si>
  <si>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</si>
  <si>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</si>
  <si>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</si>
  <si>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</si>
  <si>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</si>
  <si>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</si>
  <si>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</si>
  <si>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</si>
  <si>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</si>
  <si>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</si>
  <si>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</si>
  <si>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</si>
  <si>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</si>
  <si>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</si>
  <si>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</si>
  <si>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</si>
  <si>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</si>
  <si>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</si>
  <si>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</si>
  <si>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</si>
  <si>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</si>
  <si>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</si>
  <si>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</si>
  <si>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</si>
  <si>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</si>
  <si>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</si>
  <si>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</si>
  <si>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</si>
  <si>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</si>
  <si>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</si>
  <si>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</si>
  <si>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</si>
  <si>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</si>
  <si>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</si>
  <si>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</si>
  <si>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</si>
  <si>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</si>
  <si>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</si>
  <si>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</si>
  <si>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</si>
  <si>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</si>
  <si>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</si>
  <si>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</si>
  <si>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</si>
  <si>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</si>
  <si>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</si>
  <si>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</si>
  <si>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</si>
  <si>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</si>
  <si>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</si>
  <si>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</si>
  <si>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</si>
  <si>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</si>
  <si>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</si>
  <si>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</si>
  <si>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</si>
  <si>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</si>
  <si>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</si>
  <si>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</si>
  <si>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</si>
  <si>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</si>
  <si>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</si>
  <si>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</si>
  <si>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</si>
  <si>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</si>
  <si>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</si>
  <si>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</si>
  <si>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</si>
  <si>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</si>
  <si>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</si>
  <si>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</si>
  <si>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</si>
  <si>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</si>
  <si>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</si>
  <si>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</si>
  <si>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</si>
  <si>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</si>
  <si>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</si>
  <si>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</si>
  <si>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</si>
  <si>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</si>
  <si>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</si>
  <si>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</si>
  <si>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</si>
  <si>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</si>
  <si>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</si>
  <si>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</si>
  <si>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</si>
  <si>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</si>
  <si>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</si>
  <si>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</si>
  <si>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</si>
  <si>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</si>
  <si>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</si>
  <si>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</si>
  <si>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</si>
  <si>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</si>
  <si>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</si>
  <si>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</si>
  <si>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</si>
  <si>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</si>
  <si>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</si>
  <si>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</si>
  <si>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</si>
  <si>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</si>
  <si>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</si>
  <si>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</si>
  <si>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</si>
  <si>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</si>
  <si>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</si>
  <si>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</si>
  <si>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</si>
  <si>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</si>
  <si>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</si>
  <si>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</si>
  <si>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</si>
  <si>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</si>
  <si>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</si>
  <si>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</si>
  <si>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</si>
  <si>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</si>
  <si>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</si>
  <si>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</si>
  <si>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</si>
  <si>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</si>
  <si>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</si>
  <si>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</si>
  <si>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</si>
  <si>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</si>
  <si>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</si>
  <si>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</si>
  <si>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</si>
  <si>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</si>
  <si>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</si>
  <si>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</si>
  <si>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</si>
  <si>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</si>
  <si>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</si>
  <si>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</si>
  <si>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</si>
  <si>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</si>
  <si>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</si>
  <si>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</si>
  <si>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</si>
  <si>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</si>
  <si>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</si>
  <si>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</si>
  <si>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</si>
  <si>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</si>
  <si>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</si>
  <si>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</si>
  <si>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</si>
  <si>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</si>
  <si>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</si>
  <si>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</si>
  <si>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</si>
  <si>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</si>
  <si>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</si>
  <si>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</si>
  <si>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</si>
  <si>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</si>
  <si>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</si>
  <si>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</si>
  <si>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</si>
  <si>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</si>
  <si>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</si>
  <si>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</si>
  <si>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</si>
  <si>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</si>
  <si>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</si>
  <si>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</si>
  <si>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</si>
  <si>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</si>
  <si>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</si>
  <si>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</si>
  <si>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</si>
  <si>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</si>
  <si>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</si>
  <si>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</si>
  <si>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</si>
  <si>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</si>
  <si>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</si>
  <si>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</si>
  <si>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</si>
  <si>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</si>
  <si>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</si>
  <si>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</si>
  <si>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</si>
  <si>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</si>
  <si>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</si>
  <si>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</si>
  <si>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</si>
  <si>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</si>
  <si>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</si>
  <si>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</si>
  <si>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</si>
  <si>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</si>
  <si>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</si>
  <si>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</si>
  <si>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</si>
  <si>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</si>
  <si>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</si>
  <si>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</si>
  <si>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</si>
  <si>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</si>
  <si>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</si>
  <si>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</si>
  <si>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+7(84235) 3-27-27; +7(84235)3-58-59 (ф)(46569канц)</t>
  </si>
  <si>
    <t>nikitina@niiar.ru</t>
  </si>
  <si>
    <t>Директор</t>
  </si>
  <si>
    <t>http://niiar.ru/</t>
  </si>
  <si>
    <t>АКЦИОНЕРНОЕ ОБЩЕСТВО "ГОСУДАРСТВЕННЫЙ НАУЧНЫЙ ЦЕНТР - НАУЧНО-ИССЛЕДОВАТЕЛЬСКИЙ ИНСТИТУТ АТОМНЫХ РЕАКТОРОВ"</t>
  </si>
  <si>
    <t>1087302001797</t>
  </si>
  <si>
    <t>0 %</t>
  </si>
  <si>
    <t>281-П</t>
  </si>
  <si>
    <t>114-ТВС-958вх/2023</t>
  </si>
  <si>
    <t>Башаева Марина Юрьевна</t>
  </si>
  <si>
    <t>начальник отдела регулирования ЖКК</t>
  </si>
  <si>
    <t>8(8422)24-16-09</t>
  </si>
  <si>
    <t>otdelzkk@mail.ru</t>
  </si>
  <si>
    <t>TARIFF_ID</t>
  </si>
  <si>
    <t>TARIFF_VID</t>
  </si>
  <si>
    <t>TARIFF_TIP</t>
  </si>
  <si>
    <t>TARIFF_VDET</t>
  </si>
  <si>
    <t>TARIFF_VTOV</t>
  </si>
  <si>
    <t>TARIFF_DOP</t>
  </si>
  <si>
    <t>TARIFF_MO_LIST</t>
  </si>
  <si>
    <t>ХВС.73.26319988.0001</t>
  </si>
  <si>
    <t>&lt;нет шаблона&gt;</t>
  </si>
  <si>
    <t>ХВС.73.26319988.0002</t>
  </si>
  <si>
    <t>Производство (подъём / добыча) воды :: Транспортировка воды :: Сбыт (распределение) воды</t>
  </si>
  <si>
    <t>ХВС.73.26319988.0003</t>
  </si>
  <si>
    <t>958вх</t>
  </si>
  <si>
    <t xml:space="preserve">насосная станция с сетями </t>
  </si>
  <si>
    <t xml:space="preserve">№ 73-11.01.00.005-Х-ДЗВО-Т-2011-0023300 </t>
  </si>
  <si>
    <t>01.04.2011</t>
  </si>
  <si>
    <t>В расчет тарифа на 2023 год принят объем реализации 2066,08 тыс.руб. Предприятием осуществлен расчет объема в соответствии с пунктом 5 Методических указаний.</t>
  </si>
  <si>
    <t>Долгосрочные параметры регулирования тарифов утверждены приказом Агентства по регулированию цен  итарифов Ульяновской области от 25.11.2022 № 281-П.</t>
  </si>
  <si>
    <t>433510 Ульяновская область, г.Димитровград, Западное шоссе,9</t>
  </si>
  <si>
    <t>Тузов Александр Александрович</t>
  </si>
  <si>
    <t>Никитина Ольга Петровна</t>
  </si>
  <si>
    <t>начальник УЭК Энерго</t>
  </si>
  <si>
    <t>8 (84235) 7-99-28</t>
  </si>
  <si>
    <t>По расчётам экспертов фактическая величина НВВ в 2022 году должна  составить 23176,47 тыс. руб., товарная выручка от реализации технической воды составила –21819,92  тыс. руб. Размер корректировки составляет 1356,55 тыс. руб. Товарная продукция рассчитана исходя из установленных тариифов в 2022 году и объема реализации 2066,08 тыс.куб.м. (подтверждена отчетом о прибылях и убытках)</t>
  </si>
  <si>
    <t xml:space="preserve">Фактические расходы за 2022 год по  Статье «Амортизация» составляют 240,90 тыс. руб. 
Рассмотрев обосновывающие материалы (ведомость амортизации ОС за 2022 год, карточку счета "Амортизация"), эксперты предлагают признать экономически обоснованной сумму затрат в 2024 году размере 263,63 тыс. руб. 
</t>
  </si>
  <si>
    <t>На листе Калькуляция в стр. 89 "Прочие налоги и сборы" задвоено значение налога с листа "Налоги" стр.28</t>
  </si>
  <si>
    <t>Чтобы выйти на итоги  на листе "Калькуляция" поставила сумму задвоения "прочих налогов и сборов"</t>
  </si>
  <si>
    <t>Эксперты при расчёте расходов на электрэнергию в 2024 году применили удельный расход электроэнергии 0,76 кВтч/куб.м. в соответствии с приказом Агентства от 22.12.2022 № 281-П. Прогнозный тариф покупки на 2024 год в размере 3,74 руб/кВтч без учета НДС принят экспертами с учётом предложения предприятия  и прогнозного ИПЦ. В соответствии с указанным, а также учитывая фактический объем подъема воды в размере 2139,91 тыс.м3 в год, эксперты предлагают признать экономически обоснованной сумму затрат в 2024 году размере  6253,01 тыс. руб. Снижение фактической себестоимости электроэнергии в 2022 году связано с осуществлением капитального ремонта. В качестве обоснования представлены объемы электроэнергии за 2022 год на техническую воду, копии актов покупки электроэнергии.</t>
  </si>
  <si>
    <t>Предприятием предложены расходы по неподконтрольным расходам (налоги и сборы) в размере 2670,04 тыс.руб., в качестве обоснования представлены копии актов и счет-фактур по плате за сброс загрязняющих веществ, за негативное воздействие. Плата за пользование водным объектом рассчитана в соответствии с  утверждённой Постановлением Правительства РФ от 29.12.2014 №1509 «О ставках  платы за пользование водными объектами, находящимися в федеральной собственности, и внесенными изменениями в раздел 1 ставок платы за пользование водными объектами, находящимися в федеральной собственности» и изменениями к нему в редакции постановления  Правительства РФ от 24.03.2022 № 456 " ставкой в размере 1191 руб/тыс.м3 и объёмом технической воды, планируемой на 2024 год  ( 1191 *2139,91=2548,63 тыс.руб.) . Эксперты предлагают признать экономически обоснованной сумму затрат в 2024 году размере  2662,45 тыс. руб.</t>
  </si>
  <si>
    <t>Операционные расходы определены по формуле № 8 Методических указаний (20290,06*(1-1/100)*1,072) и установлены в размере 21533,43 тыс.руб.  Нормативная прибыль принята в тариф в размере 921,38 тыс.руб. или 3% от текущих расходов и амортизации. Применена величина сглаживания в рзмере (3536,42 тыс.руб). Тариф устанавливается с 01.07.2024 в размере 15,31 руб./куб.м.</t>
  </si>
  <si>
    <t>Ульяновская область / 2024 / АО "ГНЦ НИИАР" (ИНН:7302040242, КПП:732901001) / ДПР: 2023-2027</t>
  </si>
  <si>
    <t>об установлении тарифов в сфере холодного водоснабжения методом индексации (корректировка)</t>
  </si>
  <si>
    <t>на 2024 год долгосрочного периода регулирования тарифов 2023-2027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</si>
  <si>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</si>
  <si>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</si>
  <si>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</si>
  <si>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</si>
  <si>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</si>
  <si>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техническую воду (нет)</t>
  </si>
  <si>
    <t>Первый год долгосрочного периода регулирования, предложенный организацией</t>
  </si>
  <si>
    <t>Величина тарифа на холодное водоснабжение/водоотведение, предложенная организацией (без НДС), руб./куб.м 
с 01.01.2024 по 30.06.2024</t>
  </si>
  <si>
    <t>Величина тарифа на холодное водоснабжение/водоотведение, предложенная организацией (без НДС), руб./куб.м 
с 01.07.2024 по 31.12.2024</t>
  </si>
  <si>
    <t>Величина тарифа на холодное водоснабжение/водоотведение, предложенная организацией (без НДС), руб./куб.м 
с 01.01.2025 по 30.06.2025</t>
  </si>
  <si>
    <t>Величина тарифа на холодное водоснабжение/водоотведение, предложенная организацией (без НДС), руб./куб.м 
с 01.07.2025 по 31.12.2025</t>
  </si>
  <si>
    <t>Величина тарифа на холодное водоснабжение/водоотведение, предложенная организацией (без НДС), руб./куб.м 
с 01.01.2026 по 30.06.2026</t>
  </si>
  <si>
    <t>Величина тарифа на холодное водоснабжение/водоотведение, предложенная организацией (без НДС), руб./куб.м 
с 01.07.2026 по 31.12.2026</t>
  </si>
  <si>
    <t>Величина тарифа на холодное водоснабжение/водоотведение, предложенная организацией (без НДС), руб./куб.м 
с 01.01.2027 по 30.06.2027</t>
  </si>
  <si>
    <t>Величина тарифа на холодное водоснабжение/водоотведение, предложенная организацией (без НДС), руб./куб.м 
с 01.07.2027 по 31.12.2027</t>
  </si>
  <si>
    <t>Величина тарифа на холодное водоснабжение/водоотведение, предложенная организацией (без НДС), руб./куб.м 
с 01.01.2028 по 30.06.2028</t>
  </si>
  <si>
    <t>Величина тарифа на холодное водоснабжение/водоотведение, предложенная организацией (без НДС), руб./куб.м 
с 01.07.2028 по 31.12.2028</t>
  </si>
  <si>
    <t>Величина тарифа на холодное водоснабжение/водоотведение, предложенная организацией (без НДС), руб./куб.м 
с 01.01.2029 по 30.06.2029</t>
  </si>
  <si>
    <t>Величина тарифа на холодное водоснабжение/водоотведение, предложенная организацией (без НДС), руб./куб.м 
с 01.07.2029 по 31.12.2029</t>
  </si>
  <si>
    <t>Величина тарифа на холодное водоснабжение/водоотведение, предложенная организацией (без НДС), руб./куб.м 
с 01.01.2030 по 30.06.2030</t>
  </si>
  <si>
    <t>Величина тарифа на холодное водоснабжение/водоотведение, предложенная организацией (без НДС), руб./куб.м 
с 01.07.2030 по 31.12.2030</t>
  </si>
  <si>
    <t>Величина тарифа на холодное водоснабжение/водоотведение, предложенная организацией (без НДС), руб./куб.м 
с 01.01.2031 по 30.06.2031</t>
  </si>
  <si>
    <t>Величина тарифа на холодное водоснабжение/водоотведение, предложенная организацией (без НДС), руб./куб.м 
с 01.07.2031 по 31.12.2031</t>
  </si>
  <si>
    <t>Величина тарифа на холодное водоснабжение/водоотведение, предложенная организацией (без НДС), руб./куб.м 
с 01.01.2032 по 30.06.2032</t>
  </si>
  <si>
    <t>Величина тарифа на холодное водоснабжение/водоотведение, предложенная организацией (без НДС), руб./куб.м 
с 01.07.2032 по 31.12.2032</t>
  </si>
  <si>
    <t>Величина тарифа на холодное водоснабжение/водоотведение, предложенная организацией (без НДС), руб./куб.м 
с 01.01.2033 по 30.06.2033</t>
  </si>
  <si>
    <t>Величина тарифа на холодное водоснабжение/водоотведение, предложенная организацией (без НДС), руб./куб.м 
с 01.07.2033 по 31.12.2033</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</si>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</sst>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u/>
      <sz val="9"/>
      <color rgb="FF000080"/>
      <name val="Tahoma"/>
      <family val="2"/>
      <charset val="204"/>
    </font>
    <font>
      <sz val="12"/>
      <color theme="1"/>
      <name val="Tahoma"/>
      <family val="2"/>
      <charset val="204"/>
    </font>
    <font>
      <sz val="12"/>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right/>
      <top/>
      <bottom style="thin">
        <color indexed="64"/>
      </bottom>
      <diagonal/>
    </border>
  </borders>
  <cellStyleXfs count="113">
    <xf numFmtId="49" fontId="0" fillId="0" borderId="0" applyBorder="0">
      <alignment vertical="top"/>
    </xf>
    <xf numFmtId="0" fontId="6" fillId="0" borderId="0"/>
    <xf numFmtId="167" fontId="6"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3" fillId="0" borderId="1" applyNumberFormat="0" applyAlignment="0">
      <protection locked="0"/>
    </xf>
    <xf numFmtId="166" fontId="7" fillId="0" borderId="0" applyFont="0" applyFill="0" applyBorder="0" applyAlignment="0" applyProtection="0"/>
    <xf numFmtId="168" fontId="9" fillId="2" borderId="0">
      <protection locked="0"/>
    </xf>
    <xf numFmtId="0" fontId="20" fillId="0" borderId="0" applyFill="0" applyBorder="0" applyProtection="0">
      <alignment vertical="center"/>
    </xf>
    <xf numFmtId="169" fontId="9" fillId="2" borderId="0">
      <protection locked="0"/>
    </xf>
    <xf numFmtId="170" fontId="9" fillId="2" borderId="0">
      <protection locked="0"/>
    </xf>
    <xf numFmtId="0" fontId="21" fillId="0" borderId="0" applyNumberFormat="0" applyFill="0" applyBorder="0" applyAlignment="0" applyProtection="0">
      <alignment vertical="top"/>
      <protection locked="0"/>
    </xf>
    <xf numFmtId="0" fontId="23" fillId="3" borderId="1" applyNumberFormat="0" applyAlignment="0"/>
    <xf numFmtId="0" fontId="22" fillId="0" borderId="0" applyNumberFormat="0" applyFill="0" applyBorder="0" applyAlignment="0" applyProtection="0">
      <alignment vertical="top"/>
      <protection locked="0"/>
    </xf>
    <xf numFmtId="0" fontId="10" fillId="0" borderId="0" applyNumberFormat="0" applyFill="0" applyBorder="0" applyAlignment="0" applyProtection="0"/>
    <xf numFmtId="0" fontId="8" fillId="0" borderId="0"/>
    <xf numFmtId="0" fontId="20" fillId="0" borderId="0" applyFill="0" applyBorder="0" applyProtection="0">
      <alignment vertical="center"/>
    </xf>
    <xf numFmtId="0" fontId="20" fillId="0" borderId="0" applyFill="0" applyBorder="0" applyProtection="0">
      <alignment vertical="center"/>
    </xf>
    <xf numFmtId="49" fontId="36" fillId="4" borderId="2" applyNumberFormat="0">
      <alignment horizontal="center" vertical="center"/>
    </xf>
    <xf numFmtId="0" fontId="18" fillId="5" borderId="1" applyNumberFormat="0" applyAlignment="0" applyProtection="0"/>
    <xf numFmtId="0" fontId="9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6" fillId="0" borderId="0" applyBorder="0">
      <alignment horizontal="center" vertical="center" wrapText="1"/>
    </xf>
    <xf numFmtId="0" fontId="11" fillId="0" borderId="3" applyBorder="0">
      <alignment horizontal="center" vertical="center" wrapText="1"/>
    </xf>
    <xf numFmtId="4" fontId="9" fillId="2" borderId="4" applyBorder="0">
      <alignment horizontal="right"/>
    </xf>
    <xf numFmtId="49" fontId="9" fillId="0" borderId="0" applyBorder="0">
      <alignment vertical="top"/>
    </xf>
    <xf numFmtId="0" fontId="40" fillId="6" borderId="0" applyNumberFormat="0" applyBorder="0" applyAlignment="0">
      <alignment horizontal="left" vertical="center"/>
    </xf>
    <xf numFmtId="0" fontId="5" fillId="0" borderId="0"/>
    <xf numFmtId="49" fontId="9" fillId="6" borderId="0" applyBorder="0">
      <alignment vertical="top"/>
    </xf>
    <xf numFmtId="49" fontId="9" fillId="6" borderId="0" applyBorder="0">
      <alignment vertical="top"/>
    </xf>
    <xf numFmtId="49" fontId="9" fillId="0" borderId="0" applyBorder="0">
      <alignment vertical="top"/>
    </xf>
    <xf numFmtId="49" fontId="9" fillId="0" borderId="0" applyBorder="0">
      <alignment vertical="top"/>
    </xf>
    <xf numFmtId="0" fontId="5" fillId="0" borderId="0"/>
    <xf numFmtId="49" fontId="9" fillId="0" borderId="0" applyBorder="0">
      <alignment vertical="top"/>
    </xf>
    <xf numFmtId="49" fontId="9" fillId="0" borderId="0" applyBorder="0">
      <alignment vertical="top"/>
    </xf>
    <xf numFmtId="0" fontId="9" fillId="0" borderId="0">
      <alignment horizontal="left" vertical="center"/>
    </xf>
    <xf numFmtId="0" fontId="25" fillId="0" borderId="0"/>
    <xf numFmtId="4" fontId="9"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9"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165"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4" fillId="0" borderId="0"/>
    <xf numFmtId="49" fontId="9" fillId="0" borderId="0" applyBorder="0">
      <alignment vertical="top"/>
    </xf>
    <xf numFmtId="49" fontId="45" fillId="0" borderId="0" applyNumberFormat="0" applyFill="0" applyBorder="0" applyAlignment="0" applyProtection="0">
      <alignment vertical="top"/>
    </xf>
    <xf numFmtId="0" fontId="4" fillId="0" borderId="0"/>
    <xf numFmtId="0" fontId="4" fillId="0" borderId="0"/>
    <xf numFmtId="0" fontId="4" fillId="0" borderId="0"/>
    <xf numFmtId="0" fontId="5" fillId="0" borderId="0"/>
    <xf numFmtId="0" fontId="5" fillId="0" borderId="0"/>
    <xf numFmtId="0" fontId="4" fillId="0" borderId="0"/>
    <xf numFmtId="0" fontId="64" fillId="0" borderId="0"/>
    <xf numFmtId="0" fontId="4" fillId="0" borderId="0"/>
    <xf numFmtId="0" fontId="5" fillId="0" borderId="0"/>
    <xf numFmtId="0" fontId="5" fillId="0" borderId="0" applyFill="0" applyBorder="0"/>
    <xf numFmtId="0" fontId="2" fillId="0" borderId="0"/>
    <xf numFmtId="0" fontId="1" fillId="0" borderId="0"/>
  </cellStyleXfs>
  <cellXfs count="1171">
    <xf numFmtId="49" fontId="0" fillId="0" borderId="0" xfId="0">
      <alignment vertical="top"/>
    </xf>
    <xf numFmtId="49" fontId="17" fillId="0" borderId="0" xfId="0" applyFont="1" applyFill="1" applyBorder="1" applyAlignment="1" applyProtection="1">
      <alignment vertical="top"/>
    </xf>
    <xf numFmtId="49" fontId="9" fillId="0" borderId="0" xfId="0" applyFont="1" applyProtection="1">
      <alignment vertical="top"/>
    </xf>
    <xf numFmtId="0" fontId="15" fillId="0" borderId="0" xfId="0" applyNumberFormat="1" applyFont="1" applyFill="1" applyBorder="1" applyAlignment="1" applyProtection="1">
      <alignment vertical="top"/>
    </xf>
    <xf numFmtId="49" fontId="0" fillId="0" borderId="0" xfId="0" applyProtection="1">
      <alignment vertical="top"/>
    </xf>
    <xf numFmtId="49" fontId="15" fillId="0" borderId="0" xfId="0" applyFont="1" applyFill="1" applyBorder="1" applyAlignment="1" applyProtection="1">
      <alignment vertical="top"/>
    </xf>
    <xf numFmtId="49" fontId="9" fillId="7" borderId="4" xfId="0" applyFont="1" applyFill="1" applyBorder="1" applyAlignment="1" applyProtection="1">
      <alignment horizontal="center" vertical="top"/>
    </xf>
    <xf numFmtId="49" fontId="0" fillId="0" borderId="0" xfId="0" applyNumberFormat="1" applyProtection="1">
      <alignment vertical="top"/>
    </xf>
    <xf numFmtId="49" fontId="9" fillId="0" borderId="0" xfId="48" applyFont="1" applyAlignment="1" applyProtection="1">
      <alignment vertical="center" wrapText="1"/>
    </xf>
    <xf numFmtId="49" fontId="15" fillId="0" borderId="0" xfId="48" applyFont="1" applyAlignment="1" applyProtection="1">
      <alignment vertical="center"/>
    </xf>
    <xf numFmtId="0" fontId="9" fillId="0" borderId="0" xfId="46" applyFont="1" applyProtection="1"/>
    <xf numFmtId="0" fontId="9" fillId="0" borderId="0" xfId="46" applyFont="1"/>
    <xf numFmtId="49" fontId="9" fillId="0" borderId="0" xfId="45" applyFont="1" applyProtection="1">
      <alignment vertical="top"/>
    </xf>
    <xf numFmtId="49" fontId="9" fillId="0" borderId="0" xfId="45" applyProtection="1">
      <alignment vertical="top"/>
    </xf>
    <xf numFmtId="0" fontId="29" fillId="0" borderId="0" xfId="46" applyFont="1"/>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4"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3" fillId="0" borderId="0" xfId="42" applyNumberFormat="1" applyFont="1" applyFill="1" applyAlignment="1" applyProtection="1">
      <alignment horizontal="left" vertical="top" wrapText="1"/>
    </xf>
    <xf numFmtId="49" fontId="9"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3"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3" fillId="12" borderId="10" xfId="40" applyNumberFormat="1" applyFont="1" applyFill="1" applyBorder="1" applyAlignment="1" applyProtection="1">
      <alignment horizontal="center" vertical="center" wrapText="1"/>
    </xf>
    <xf numFmtId="49" fontId="13" fillId="7" borderId="10" xfId="40" applyNumberFormat="1" applyFont="1" applyFill="1" applyBorder="1" applyAlignment="1" applyProtection="1">
      <alignment horizontal="center" vertical="center" wrapText="1"/>
    </xf>
    <xf numFmtId="49" fontId="13" fillId="11" borderId="10" xfId="40" applyNumberFormat="1" applyFont="1" applyFill="1" applyBorder="1" applyAlignment="1" applyProtection="1">
      <alignment horizontal="center" vertical="center" wrapText="1"/>
    </xf>
    <xf numFmtId="0" fontId="23" fillId="0" borderId="0" xfId="23" applyFont="1" applyFill="1" applyBorder="1" applyAlignment="1" applyProtection="1">
      <alignment horizontal="left" vertical="top" wrapText="1"/>
    </xf>
    <xf numFmtId="0" fontId="23"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6" fillId="0" borderId="0" xfId="32" applyNumberFormat="1" applyFont="1" applyFill="1" applyBorder="1" applyAlignment="1" applyProtection="1">
      <alignment wrapText="1"/>
    </xf>
    <xf numFmtId="49" fontId="16"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9" fillId="0" borderId="12" xfId="46" applyFont="1" applyFill="1" applyBorder="1" applyAlignment="1" applyProtection="1">
      <alignment horizontal="center" vertical="center" wrapText="1"/>
    </xf>
    <xf numFmtId="0" fontId="15" fillId="0" borderId="0" xfId="46" applyFont="1" applyAlignment="1" applyProtection="1">
      <alignment horizontal="center" vertical="center" wrapText="1"/>
    </xf>
    <xf numFmtId="0" fontId="9" fillId="0" borderId="0" xfId="46" applyFont="1" applyAlignment="1" applyProtection="1">
      <alignment vertical="center" wrapText="1"/>
    </xf>
    <xf numFmtId="0" fontId="9" fillId="0" borderId="0" xfId="46" applyFont="1" applyAlignment="1" applyProtection="1">
      <alignment horizontal="left" vertical="center" wrapText="1"/>
    </xf>
    <xf numFmtId="49" fontId="9" fillId="0" borderId="0" xfId="44" applyNumberFormat="1" applyFont="1" applyProtection="1">
      <alignment vertical="top"/>
    </xf>
    <xf numFmtId="49" fontId="9"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9" fillId="0" borderId="0" xfId="47">
      <alignment vertical="top"/>
    </xf>
    <xf numFmtId="0" fontId="5"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9"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2" fillId="0" borderId="0" xfId="97" applyFont="1" applyAlignment="1">
      <alignment vertical="center"/>
    </xf>
    <xf numFmtId="0" fontId="67" fillId="0" borderId="0" xfId="97" applyFont="1" applyAlignment="1">
      <alignment vertical="center"/>
    </xf>
    <xf numFmtId="0" fontId="69" fillId="0" borderId="0" xfId="97" applyFont="1" applyAlignment="1">
      <alignment vertical="center"/>
    </xf>
    <xf numFmtId="49" fontId="12" fillId="0" borderId="30" xfId="97" applyNumberFormat="1" applyFont="1" applyBorder="1" applyAlignment="1">
      <alignment horizontal="right" vertical="center" wrapText="1" indent="1"/>
    </xf>
    <xf numFmtId="49" fontId="9" fillId="0" borderId="0" xfId="99" applyAlignment="1">
      <alignment vertical="center" wrapText="1"/>
    </xf>
    <xf numFmtId="49" fontId="9" fillId="0" borderId="0" xfId="99">
      <alignment vertical="top"/>
    </xf>
    <xf numFmtId="49" fontId="9" fillId="0" borderId="0" xfId="99" applyBorder="1" applyAlignment="1">
      <alignment vertical="center" wrapText="1"/>
    </xf>
    <xf numFmtId="49" fontId="15" fillId="0" borderId="0" xfId="99" applyFont="1" applyAlignment="1">
      <alignment vertical="center" wrapText="1"/>
    </xf>
    <xf numFmtId="49" fontId="72" fillId="0" borderId="0" xfId="99" applyFont="1" applyBorder="1" applyAlignment="1">
      <alignment vertical="center" wrapText="1"/>
    </xf>
    <xf numFmtId="49" fontId="27" fillId="0" borderId="0" xfId="99" applyFont="1" applyBorder="1" applyAlignment="1">
      <alignment horizontal="center" vertical="top" wrapText="1"/>
    </xf>
    <xf numFmtId="49" fontId="74" fillId="0" borderId="0" xfId="99" applyFont="1" applyBorder="1" applyAlignment="1">
      <alignment horizontal="center" vertical="top" wrapText="1"/>
    </xf>
    <xf numFmtId="49" fontId="9" fillId="0" borderId="42" xfId="99" applyBorder="1" applyAlignment="1">
      <alignment horizontal="center" vertical="center" wrapText="1"/>
    </xf>
    <xf numFmtId="49" fontId="9" fillId="11" borderId="43" xfId="99" applyFill="1" applyBorder="1" applyAlignment="1" applyProtection="1">
      <alignment horizontal="left" vertical="center" wrapText="1" indent="1"/>
      <protection locked="0"/>
    </xf>
    <xf numFmtId="49" fontId="9" fillId="0" borderId="0" xfId="99" applyAlignment="1">
      <alignment horizontal="left" vertical="center" wrapText="1"/>
    </xf>
    <xf numFmtId="0" fontId="63" fillId="0" borderId="0" xfId="98" applyFont="1"/>
    <xf numFmtId="49" fontId="9" fillId="0" borderId="30" xfId="49" applyNumberFormat="1" applyBorder="1" applyAlignment="1">
      <alignment horizontal="center" vertical="center"/>
    </xf>
    <xf numFmtId="0" fontId="77" fillId="0" borderId="0" xfId="98" applyFont="1"/>
    <xf numFmtId="0" fontId="9" fillId="0" borderId="0" xfId="98" applyFont="1"/>
    <xf numFmtId="0" fontId="63" fillId="0" borderId="0" xfId="103" applyFont="1"/>
    <xf numFmtId="0" fontId="63" fillId="0" borderId="0" xfId="97" applyFont="1"/>
    <xf numFmtId="0" fontId="63" fillId="0" borderId="0" xfId="103" applyFont="1" applyAlignment="1">
      <alignment horizontal="center"/>
    </xf>
    <xf numFmtId="0" fontId="9"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9"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9" fillId="0" borderId="30" xfId="97" applyFont="1" applyBorder="1" applyAlignment="1">
      <alignment horizontal="justify" vertical="center" wrapText="1"/>
    </xf>
    <xf numFmtId="0" fontId="63" fillId="0" borderId="0" xfId="102" applyFont="1"/>
    <xf numFmtId="49" fontId="9" fillId="0" borderId="30" xfId="102" applyNumberFormat="1" applyFont="1" applyBorder="1" applyAlignment="1">
      <alignment horizontal="center" vertical="center"/>
    </xf>
    <xf numFmtId="0" fontId="9" fillId="0" borderId="0" xfId="97" applyFont="1"/>
    <xf numFmtId="0" fontId="63" fillId="0" borderId="0" xfId="97" applyFont="1" applyAlignment="1">
      <alignment wrapText="1"/>
    </xf>
    <xf numFmtId="4" fontId="9" fillId="2" borderId="30" xfId="102" applyNumberFormat="1" applyFont="1" applyFill="1" applyBorder="1" applyAlignment="1" applyProtection="1">
      <alignment horizontal="right" vertical="center"/>
      <protection locked="0"/>
    </xf>
    <xf numFmtId="4" fontId="9" fillId="43" borderId="30" xfId="102" applyNumberFormat="1" applyFont="1" applyFill="1" applyBorder="1" applyAlignment="1">
      <alignment horizontal="right" vertical="center"/>
    </xf>
    <xf numFmtId="0" fontId="63" fillId="0" borderId="0" xfId="102" applyFont="1" applyAlignment="1">
      <alignment vertical="center"/>
    </xf>
    <xf numFmtId="0" fontId="9" fillId="0" borderId="0" xfId="97" applyFont="1" applyAlignment="1">
      <alignment vertical="center"/>
    </xf>
    <xf numFmtId="0" fontId="63" fillId="0" borderId="0" xfId="102" applyFont="1" applyAlignment="1">
      <alignment vertical="center" wrapText="1"/>
    </xf>
    <xf numFmtId="49" fontId="9"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9" fillId="0" borderId="0" xfId="105" applyFont="1"/>
    <xf numFmtId="0" fontId="9" fillId="0" borderId="0" xfId="105" applyFont="1" applyAlignment="1">
      <alignment horizontal="center"/>
    </xf>
    <xf numFmtId="0" fontId="11"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2" fillId="0" borderId="0" xfId="105" applyFont="1"/>
    <xf numFmtId="0" fontId="66" fillId="0" borderId="0" xfId="105" applyFont="1"/>
    <xf numFmtId="0" fontId="63" fillId="0" borderId="0" xfId="106" applyFont="1"/>
    <xf numFmtId="0" fontId="63" fillId="0" borderId="0" xfId="107" applyFont="1" applyAlignment="1">
      <alignment horizontal="center" vertical="center" wrapText="1"/>
    </xf>
    <xf numFmtId="0" fontId="63" fillId="0" borderId="0" xfId="107" applyFont="1"/>
    <xf numFmtId="0" fontId="63" fillId="0" borderId="43" xfId="107" applyFont="1" applyBorder="1" applyAlignment="1">
      <alignment horizontal="center" vertical="center"/>
    </xf>
    <xf numFmtId="0" fontId="78" fillId="44" borderId="43" xfId="107" applyFont="1" applyFill="1" applyBorder="1" applyAlignment="1">
      <alignment horizontal="center" vertical="center"/>
    </xf>
    <xf numFmtId="0" fontId="78" fillId="44" borderId="43" xfId="107" applyFont="1" applyFill="1" applyBorder="1" applyAlignment="1">
      <alignment horizontal="left" vertical="center" wrapText="1"/>
    </xf>
    <xf numFmtId="0" fontId="78" fillId="0" borderId="43" xfId="107" applyFont="1" applyBorder="1" applyAlignment="1">
      <alignment horizontal="left" vertical="center" wrapText="1"/>
    </xf>
    <xf numFmtId="0" fontId="63" fillId="0" borderId="43" xfId="107" applyFont="1" applyBorder="1" applyAlignment="1">
      <alignment horizontal="right" vertical="center" wrapText="1"/>
    </xf>
    <xf numFmtId="0" fontId="78" fillId="0" borderId="43" xfId="107" applyFont="1" applyBorder="1" applyAlignment="1">
      <alignment horizontal="center" vertical="center"/>
    </xf>
    <xf numFmtId="0" fontId="70" fillId="0" borderId="0" xfId="106" applyFont="1" applyAlignment="1">
      <alignment horizontal="center" vertical="center"/>
    </xf>
    <xf numFmtId="0" fontId="70" fillId="0" borderId="0" xfId="106" applyFont="1" applyAlignment="1">
      <alignment vertical="center" wrapText="1"/>
    </xf>
    <xf numFmtId="0" fontId="70" fillId="0" borderId="0" xfId="106" applyFont="1" applyAlignment="1">
      <alignment vertical="center"/>
    </xf>
    <xf numFmtId="0" fontId="12"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2" fillId="0" borderId="0" xfId="99" applyFont="1" applyAlignment="1">
      <alignment vertical="center" wrapText="1"/>
    </xf>
    <xf numFmtId="49" fontId="12" fillId="0" borderId="0" xfId="99" applyFont="1" applyAlignment="1">
      <alignment vertical="center"/>
    </xf>
    <xf numFmtId="49" fontId="85" fillId="46" borderId="0" xfId="99" applyFont="1" applyFill="1" applyAlignment="1">
      <alignment horizontal="center" vertical="center"/>
    </xf>
    <xf numFmtId="0" fontId="12" fillId="0" borderId="0" xfId="99" applyNumberFormat="1" applyFont="1" applyAlignment="1">
      <alignment vertical="center" wrapText="1"/>
    </xf>
    <xf numFmtId="0" fontId="70" fillId="0" borderId="0" xfId="106" applyFont="1"/>
    <xf numFmtId="0" fontId="12" fillId="47" borderId="0" xfId="99" applyNumberFormat="1" applyFont="1" applyFill="1" applyAlignment="1">
      <alignment horizontal="right" vertical="center"/>
    </xf>
    <xf numFmtId="0" fontId="12"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2" fillId="47" borderId="0" xfId="99" applyFont="1" applyFill="1" applyAlignment="1">
      <alignment vertical="center" wrapText="1"/>
    </xf>
    <xf numFmtId="49" fontId="70"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2" fillId="0" borderId="0" xfId="109" applyFont="1"/>
    <xf numFmtId="49" fontId="86" fillId="0" borderId="0" xfId="99" applyFont="1" applyAlignment="1">
      <alignment vertical="center" wrapText="1"/>
    </xf>
    <xf numFmtId="49" fontId="12" fillId="0" borderId="0" xfId="99" applyFont="1" applyAlignment="1">
      <alignment horizontal="center" vertical="center"/>
    </xf>
    <xf numFmtId="49" fontId="12" fillId="12" borderId="0" xfId="99" applyFont="1" applyFill="1" applyAlignment="1">
      <alignment vertical="center"/>
    </xf>
    <xf numFmtId="49" fontId="12" fillId="0" borderId="0" xfId="99" applyFont="1">
      <alignment vertical="top"/>
    </xf>
    <xf numFmtId="0" fontId="66" fillId="0" borderId="30" xfId="97" applyNumberFormat="1" applyFont="1" applyBorder="1" applyAlignment="1">
      <alignment horizontal="right" vertical="center" wrapText="1" indent="1"/>
    </xf>
    <xf numFmtId="49" fontId="70" fillId="7" borderId="30" xfId="98" applyNumberFormat="1" applyFont="1" applyFill="1" applyBorder="1" applyAlignment="1" applyProtection="1">
      <alignment horizontal="left" vertical="center" wrapText="1" indent="1"/>
    </xf>
    <xf numFmtId="0" fontId="12" fillId="47" borderId="0" xfId="99" applyNumberFormat="1" applyFont="1" applyFill="1" applyAlignment="1">
      <alignment horizontal="left" vertical="center"/>
    </xf>
    <xf numFmtId="0" fontId="70"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49" fontId="15" fillId="46" borderId="0" xfId="0" applyFont="1" applyFill="1" applyAlignment="1">
      <alignment horizontal="center" vertical="center"/>
    </xf>
    <xf numFmtId="14" fontId="70" fillId="11" borderId="30" xfId="98" applyNumberFormat="1" applyFont="1" applyFill="1" applyBorder="1" applyAlignment="1" applyProtection="1">
      <alignment horizontal="left" vertical="center" wrapText="1" indent="1"/>
      <protection locked="0"/>
    </xf>
    <xf numFmtId="49" fontId="11" fillId="50" borderId="0" xfId="0" applyFont="1" applyFill="1" applyBorder="1" applyAlignment="1" applyProtection="1">
      <alignment vertical="center"/>
    </xf>
    <xf numFmtId="49" fontId="17" fillId="50" borderId="0" xfId="0" applyFont="1" applyFill="1" applyBorder="1" applyAlignment="1" applyProtection="1">
      <alignment vertical="top"/>
    </xf>
    <xf numFmtId="0" fontId="15" fillId="50" borderId="0" xfId="0" applyNumberFormat="1" applyFont="1" applyFill="1" applyBorder="1" applyAlignment="1" applyProtection="1">
      <alignment vertical="top"/>
    </xf>
    <xf numFmtId="49" fontId="15" fillId="50" borderId="0" xfId="0" applyFont="1" applyFill="1" applyBorder="1" applyAlignment="1" applyProtection="1">
      <alignment vertical="top"/>
    </xf>
    <xf numFmtId="49" fontId="0" fillId="8" borderId="0" xfId="0" applyFont="1" applyFill="1" applyBorder="1" applyAlignment="1" applyProtection="1">
      <alignment vertical="top"/>
    </xf>
    <xf numFmtId="49" fontId="89" fillId="0" borderId="0" xfId="0" applyFont="1" applyAlignment="1">
      <alignment horizontal="center" vertical="center" wrapText="1"/>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43" xfId="107"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55" xfId="0" applyFont="1" applyFill="1" applyBorder="1" applyAlignment="1">
      <alignment horizontal="left" vertical="center" wrapText="1" indent="1"/>
    </xf>
    <xf numFmtId="49" fontId="88" fillId="49" borderId="56" xfId="0" applyFont="1" applyFill="1" applyBorder="1" applyAlignment="1">
      <alignment horizontal="left" vertical="center" wrapText="1" indent="1"/>
    </xf>
    <xf numFmtId="49" fontId="88" fillId="49" borderId="57" xfId="0" applyFont="1" applyFill="1" applyBorder="1" applyAlignment="1">
      <alignment horizontal="left" vertical="center" wrapText="1" indent="1"/>
    </xf>
    <xf numFmtId="49" fontId="88" fillId="49" borderId="56" xfId="0" applyFont="1" applyFill="1" applyBorder="1" applyAlignment="1">
      <alignment vertical="center" wrapText="1"/>
    </xf>
    <xf numFmtId="49" fontId="9" fillId="7" borderId="43" xfId="99" applyFill="1" applyBorder="1" applyAlignment="1" applyProtection="1">
      <alignment horizontal="left" vertical="center" wrapText="1" indent="1"/>
    </xf>
    <xf numFmtId="0" fontId="90" fillId="51" borderId="6" xfId="0" applyNumberFormat="1" applyFont="1" applyFill="1" applyBorder="1" applyAlignment="1">
      <alignment horizontal="left" vertical="center"/>
    </xf>
    <xf numFmtId="0" fontId="9" fillId="0" borderId="0" xfId="99" applyNumberFormat="1" applyFont="1" applyAlignment="1">
      <alignment vertical="center"/>
    </xf>
    <xf numFmtId="0" fontId="0" fillId="47" borderId="0" xfId="0" applyNumberFormat="1" applyFill="1" applyAlignment="1">
      <alignment horizontal="left" vertical="center"/>
    </xf>
    <xf numFmtId="49" fontId="9" fillId="0" borderId="33" xfId="98" applyNumberFormat="1" applyFont="1" applyBorder="1" applyAlignment="1">
      <alignment vertical="center" wrapText="1"/>
    </xf>
    <xf numFmtId="0" fontId="90" fillId="51" borderId="58" xfId="0" applyNumberFormat="1" applyFont="1" applyFill="1" applyBorder="1" applyAlignment="1">
      <alignment horizontal="left" vertical="center"/>
    </xf>
    <xf numFmtId="0" fontId="63" fillId="0" borderId="7" xfId="98" applyFont="1" applyBorder="1" applyAlignment="1">
      <alignment horizontal="center" vertical="center"/>
    </xf>
    <xf numFmtId="0" fontId="9" fillId="0" borderId="7" xfId="98" applyFont="1" applyBorder="1" applyAlignment="1">
      <alignment horizontal="center" vertical="center"/>
    </xf>
    <xf numFmtId="4" fontId="9" fillId="2" borderId="30" xfId="98" applyNumberFormat="1" applyFont="1" applyFill="1" applyBorder="1" applyAlignment="1" applyProtection="1">
      <alignment horizontal="right" vertical="center"/>
      <protection locked="0"/>
    </xf>
    <xf numFmtId="49" fontId="88" fillId="49" borderId="61" xfId="0" applyFont="1" applyFill="1" applyBorder="1" applyAlignment="1">
      <alignment horizontal="left" vertical="center" wrapText="1" indent="1"/>
    </xf>
    <xf numFmtId="3" fontId="9" fillId="2" borderId="30" xfId="98" applyNumberFormat="1" applyFont="1" applyFill="1" applyBorder="1" applyAlignment="1" applyProtection="1">
      <alignment horizontal="right" vertical="center"/>
      <protection locked="0"/>
    </xf>
    <xf numFmtId="3" fontId="9" fillId="2" borderId="30" xfId="49" applyNumberFormat="1" applyFill="1" applyBorder="1" applyAlignment="1" applyProtection="1">
      <alignment horizontal="right" vertical="center"/>
      <protection locked="0"/>
    </xf>
    <xf numFmtId="4" fontId="9" fillId="2" borderId="30" xfId="49" applyNumberFormat="1" applyFill="1" applyBorder="1" applyAlignment="1" applyProtection="1">
      <alignment horizontal="right" vertical="center"/>
      <protection locked="0"/>
    </xf>
    <xf numFmtId="49" fontId="9" fillId="2" borderId="7" xfId="98" applyNumberFormat="1" applyFont="1" applyFill="1" applyBorder="1" applyAlignment="1" applyProtection="1">
      <alignment horizontal="left" vertical="center" wrapText="1"/>
      <protection locked="0"/>
    </xf>
    <xf numFmtId="49" fontId="9" fillId="11" borderId="7" xfId="98" applyNumberFormat="1" applyFont="1" applyFill="1" applyBorder="1" applyAlignment="1" applyProtection="1">
      <alignment horizontal="left" vertical="center" wrapText="1"/>
      <protection locked="0"/>
    </xf>
    <xf numFmtId="0" fontId="9" fillId="11" borderId="7" xfId="98" applyNumberFormat="1" applyFont="1" applyFill="1" applyBorder="1" applyAlignment="1" applyProtection="1">
      <alignment vertical="center" wrapText="1"/>
      <protection locked="0"/>
    </xf>
    <xf numFmtId="0" fontId="9" fillId="0" borderId="30" xfId="102" applyFont="1" applyFill="1" applyBorder="1" applyAlignment="1" applyProtection="1">
      <alignment horizontal="center" vertical="center" wrapText="1"/>
    </xf>
    <xf numFmtId="4" fontId="9" fillId="7" borderId="30" xfId="102" applyNumberFormat="1" applyFont="1" applyFill="1" applyBorder="1" applyAlignment="1" applyProtection="1">
      <alignment horizontal="right" vertical="center"/>
    </xf>
    <xf numFmtId="0" fontId="9" fillId="0" borderId="30" xfId="97" applyFont="1" applyFill="1" applyBorder="1" applyAlignment="1" applyProtection="1">
      <alignment horizontal="center" vertical="center"/>
    </xf>
    <xf numFmtId="0" fontId="9" fillId="0" borderId="30" xfId="97" applyFont="1" applyFill="1" applyBorder="1" applyAlignment="1" applyProtection="1">
      <alignment horizontal="left" vertical="center" wrapText="1"/>
    </xf>
    <xf numFmtId="49" fontId="9" fillId="0" borderId="30" xfId="97" applyNumberFormat="1" applyFont="1" applyBorder="1" applyAlignment="1">
      <alignment horizontal="center" vertical="center"/>
    </xf>
    <xf numFmtId="0" fontId="9" fillId="0" borderId="30" xfId="97" applyFont="1" applyBorder="1" applyAlignment="1">
      <alignment horizontal="left" vertical="center" wrapText="1" indent="1"/>
    </xf>
    <xf numFmtId="0" fontId="79" fillId="0" borderId="9" xfId="102" applyFont="1" applyFill="1" applyBorder="1" applyAlignment="1" applyProtection="1">
      <alignment vertical="center"/>
    </xf>
    <xf numFmtId="0" fontId="79" fillId="0" borderId="9" xfId="102" applyFont="1" applyFill="1" applyBorder="1" applyAlignment="1" applyProtection="1"/>
    <xf numFmtId="0" fontId="78" fillId="0" borderId="9" xfId="102" applyFont="1" applyFill="1" applyBorder="1" applyAlignment="1">
      <alignment vertical="center" wrapText="1"/>
    </xf>
    <xf numFmtId="49" fontId="9"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9"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9" fillId="8" borderId="0" xfId="0" applyFont="1" applyFill="1" applyBorder="1" applyAlignment="1" applyProtection="1">
      <alignment vertical="top"/>
    </xf>
    <xf numFmtId="49" fontId="9" fillId="0" borderId="0" xfId="0" applyFont="1" applyFill="1" applyBorder="1" applyAlignment="1" applyProtection="1">
      <alignment vertical="top"/>
    </xf>
    <xf numFmtId="0" fontId="63" fillId="0" borderId="30" xfId="102" applyFont="1" applyBorder="1" applyAlignment="1">
      <alignment horizontal="right" vertical="center" indent="1"/>
    </xf>
    <xf numFmtId="0" fontId="9" fillId="0" borderId="30" xfId="102" applyFont="1" applyFill="1" applyBorder="1" applyAlignment="1" applyProtection="1">
      <alignment horizontal="left" vertical="center" wrapText="1"/>
    </xf>
    <xf numFmtId="0" fontId="9" fillId="11" borderId="30" xfId="102"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9" fillId="0" borderId="0" xfId="97" applyFont="1" applyFill="1" applyBorder="1" applyAlignment="1" applyProtection="1">
      <alignment vertical="center"/>
    </xf>
    <xf numFmtId="49" fontId="78" fillId="0" borderId="50" xfId="102" applyNumberFormat="1" applyFont="1" applyFill="1" applyBorder="1" applyAlignment="1" applyProtection="1">
      <alignment horizontal="left" vertical="center" wrapText="1" indent="4"/>
    </xf>
    <xf numFmtId="49" fontId="78" fillId="0" borderId="0" xfId="102" applyNumberFormat="1" applyFont="1" applyFill="1" applyBorder="1" applyAlignment="1" applyProtection="1">
      <alignment horizontal="left" vertical="center" wrapText="1" indent="4"/>
    </xf>
    <xf numFmtId="49" fontId="78" fillId="0" borderId="9" xfId="102" applyNumberFormat="1" applyFont="1" applyFill="1" applyBorder="1" applyAlignment="1">
      <alignment horizontal="left" vertical="center" indent="1"/>
    </xf>
    <xf numFmtId="0" fontId="9" fillId="0" borderId="0" xfId="98" applyFont="1" applyFill="1" applyProtection="1"/>
    <xf numFmtId="49" fontId="89" fillId="0" borderId="0" xfId="0" applyFont="1" applyFill="1" applyAlignment="1" applyProtection="1">
      <alignment horizontal="center" vertical="center" wrapText="1"/>
    </xf>
    <xf numFmtId="0" fontId="9" fillId="0" borderId="0" xfId="98" applyFont="1" applyFill="1" applyBorder="1" applyAlignment="1" applyProtection="1">
      <alignment horizontal="center" vertical="center"/>
    </xf>
    <xf numFmtId="49" fontId="9" fillId="0" borderId="0" xfId="98" applyNumberFormat="1" applyFont="1" applyFill="1" applyBorder="1" applyAlignment="1" applyProtection="1">
      <alignment horizontal="left" vertical="center" wrapText="1"/>
    </xf>
    <xf numFmtId="0" fontId="9" fillId="0" borderId="0" xfId="98" applyNumberFormat="1" applyFont="1" applyFill="1" applyBorder="1" applyAlignment="1" applyProtection="1">
      <alignment vertical="center" wrapText="1"/>
    </xf>
    <xf numFmtId="0" fontId="9" fillId="0" borderId="0" xfId="98" applyNumberFormat="1" applyFont="1" applyFill="1" applyBorder="1" applyAlignment="1" applyProtection="1">
      <alignment horizontal="left" vertical="center" wrapText="1"/>
    </xf>
    <xf numFmtId="0" fontId="77" fillId="0" borderId="0" xfId="98" applyFont="1" applyFill="1" applyProtection="1"/>
    <xf numFmtId="0" fontId="11" fillId="9" borderId="30" xfId="102" applyFont="1" applyFill="1" applyBorder="1" applyAlignment="1">
      <alignment horizontal="center" vertical="center" wrapText="1"/>
    </xf>
    <xf numFmtId="49" fontId="78" fillId="0" borderId="9" xfId="102" applyNumberFormat="1" applyFont="1" applyFill="1" applyBorder="1" applyAlignment="1">
      <alignment vertical="center" wrapText="1"/>
    </xf>
    <xf numFmtId="0" fontId="9" fillId="9" borderId="30" xfId="102" applyNumberFormat="1" applyFont="1" applyFill="1" applyBorder="1" applyAlignment="1">
      <alignment horizontal="center" vertical="center" wrapText="1"/>
    </xf>
    <xf numFmtId="0" fontId="9" fillId="0" borderId="30" xfId="102" applyFont="1" applyFill="1" applyBorder="1" applyAlignment="1" applyProtection="1">
      <alignment horizontal="left" vertical="center" wrapText="1" indent="1"/>
    </xf>
    <xf numFmtId="0" fontId="9" fillId="11" borderId="30" xfId="102" applyNumberFormat="1" applyFont="1" applyFill="1" applyBorder="1" applyAlignment="1" applyProtection="1">
      <alignment horizontal="left" vertical="center" wrapText="1"/>
      <protection locked="0"/>
    </xf>
    <xf numFmtId="49" fontId="90" fillId="51" borderId="6" xfId="0" applyNumberFormat="1" applyFont="1" applyFill="1" applyBorder="1" applyAlignment="1">
      <alignment horizontal="left" vertical="center" wrapText="1"/>
    </xf>
    <xf numFmtId="0" fontId="9" fillId="0" borderId="0" xfId="105" applyFont="1" applyBorder="1"/>
    <xf numFmtId="49" fontId="78" fillId="0" borderId="9" xfId="102" applyNumberFormat="1" applyFont="1" applyFill="1" applyBorder="1" applyAlignment="1" applyProtection="1">
      <alignment vertical="center" wrapText="1"/>
    </xf>
    <xf numFmtId="0" fontId="4" fillId="0" borderId="9" xfId="102" applyFill="1" applyBorder="1" applyAlignment="1" applyProtection="1"/>
    <xf numFmtId="49" fontId="78" fillId="0" borderId="9" xfId="102" applyNumberFormat="1" applyFont="1" applyFill="1" applyBorder="1" applyAlignment="1" applyProtection="1">
      <alignment horizontal="center" vertical="center" wrapText="1"/>
    </xf>
    <xf numFmtId="49" fontId="90" fillId="51" borderId="8" xfId="0" applyFont="1" applyFill="1" applyBorder="1" applyAlignment="1">
      <alignment horizontal="left" vertical="center" wrapText="1"/>
    </xf>
    <xf numFmtId="0" fontId="11" fillId="0" borderId="7" xfId="105" applyFont="1" applyBorder="1" applyAlignment="1">
      <alignment horizontal="center" vertical="center"/>
    </xf>
    <xf numFmtId="0" fontId="11" fillId="0" borderId="7" xfId="105" applyFont="1" applyFill="1" applyBorder="1" applyAlignment="1" applyProtection="1">
      <alignment vertical="center" wrapText="1"/>
    </xf>
    <xf numFmtId="0" fontId="9" fillId="0" borderId="7" xfId="105" applyFont="1" applyFill="1" applyBorder="1" applyAlignment="1" applyProtection="1">
      <alignment horizontal="center" vertical="center"/>
    </xf>
    <xf numFmtId="4" fontId="11" fillId="43" borderId="7" xfId="105" applyNumberFormat="1" applyFont="1" applyFill="1" applyBorder="1" applyAlignment="1">
      <alignment horizontal="right" vertical="center"/>
    </xf>
    <xf numFmtId="0" fontId="9" fillId="0" borderId="7" xfId="105" applyFont="1" applyBorder="1" applyAlignment="1">
      <alignment horizontal="center" vertical="center"/>
    </xf>
    <xf numFmtId="0" fontId="9" fillId="0" borderId="7" xfId="105" applyFont="1" applyFill="1" applyBorder="1" applyAlignment="1" applyProtection="1">
      <alignment horizontal="left" vertical="center" wrapText="1" indent="1"/>
    </xf>
    <xf numFmtId="4" fontId="9" fillId="2" borderId="7" xfId="105" applyNumberFormat="1" applyFont="1" applyFill="1" applyBorder="1" applyAlignment="1" applyProtection="1">
      <alignment horizontal="right" vertical="center"/>
      <protection locked="0"/>
    </xf>
    <xf numFmtId="0" fontId="11" fillId="0" borderId="7" xfId="105" applyFont="1" applyFill="1" applyBorder="1" applyAlignment="1" applyProtection="1">
      <alignment horizontal="center" vertical="center"/>
    </xf>
    <xf numFmtId="4" fontId="11" fillId="0" borderId="7" xfId="105" applyNumberFormat="1" applyFont="1" applyFill="1" applyBorder="1" applyAlignment="1" applyProtection="1">
      <alignment horizontal="right" vertical="center"/>
    </xf>
    <xf numFmtId="0" fontId="4" fillId="0" borderId="9" xfId="102" applyFill="1" applyBorder="1" applyAlignment="1" applyProtection="1">
      <alignment vertical="center" wrapText="1"/>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xf>
    <xf numFmtId="0" fontId="11" fillId="0" borderId="7" xfId="102" applyFont="1" applyFill="1" applyBorder="1" applyAlignment="1" applyProtection="1">
      <alignment horizontal="center" vertical="center"/>
    </xf>
    <xf numFmtId="49" fontId="9" fillId="0" borderId="7" xfId="102" applyNumberFormat="1" applyFont="1" applyBorder="1" applyAlignment="1">
      <alignment horizontal="center" vertical="center"/>
    </xf>
    <xf numFmtId="0" fontId="9" fillId="0" borderId="7" xfId="102" applyFont="1" applyFill="1" applyBorder="1" applyAlignment="1" applyProtection="1">
      <alignment horizontal="left" vertical="center" wrapText="1" indent="1"/>
    </xf>
    <xf numFmtId="0" fontId="9" fillId="0" borderId="7" xfId="102" applyFont="1" applyFill="1" applyBorder="1" applyAlignment="1" applyProtection="1">
      <alignment horizontal="center" vertical="center"/>
    </xf>
    <xf numFmtId="0" fontId="9" fillId="0" borderId="7" xfId="102" applyFont="1" applyBorder="1" applyAlignment="1">
      <alignment horizontal="left" vertical="center" wrapText="1" indent="2"/>
    </xf>
    <xf numFmtId="4" fontId="9"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9" fillId="0" borderId="7" xfId="102" applyFont="1" applyBorder="1" applyAlignment="1">
      <alignment horizontal="left" vertical="center" wrapText="1" indent="1"/>
    </xf>
    <xf numFmtId="0" fontId="90" fillId="51" borderId="5" xfId="0" applyNumberFormat="1" applyFont="1" applyFill="1" applyBorder="1" applyAlignment="1">
      <alignment horizontal="left" vertical="center"/>
    </xf>
    <xf numFmtId="0" fontId="4" fillId="0" borderId="9" xfId="102" applyFill="1" applyBorder="1" applyAlignment="1">
      <alignment vertical="center"/>
    </xf>
    <xf numFmtId="0" fontId="4" fillId="0" borderId="9" xfId="102" applyFill="1" applyBorder="1" applyAlignment="1"/>
    <xf numFmtId="49" fontId="12" fillId="0" borderId="0" xfId="105" applyNumberFormat="1" applyFont="1"/>
    <xf numFmtId="49" fontId="12"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9" fillId="0" borderId="7" xfId="105" applyFont="1" applyFill="1" applyBorder="1" applyAlignment="1" applyProtection="1"/>
    <xf numFmtId="49" fontId="9" fillId="0" borderId="7" xfId="105" applyNumberFormat="1" applyFont="1" applyBorder="1" applyAlignment="1">
      <alignment horizontal="center" vertical="center"/>
    </xf>
    <xf numFmtId="16" fontId="9" fillId="0" borderId="7" xfId="105" applyNumberFormat="1" applyFont="1" applyBorder="1" applyAlignment="1">
      <alignment horizontal="center" vertical="center"/>
    </xf>
    <xf numFmtId="0" fontId="9" fillId="0" borderId="7" xfId="105" applyFont="1" applyFill="1" applyBorder="1" applyAlignment="1" applyProtection="1">
      <alignment horizontal="left" vertical="center" wrapText="1" indent="2"/>
    </xf>
    <xf numFmtId="4" fontId="11"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4"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9" fillId="0" borderId="7" xfId="102" applyNumberFormat="1" applyFont="1" applyFill="1" applyBorder="1" applyAlignment="1" applyProtection="1">
      <alignment horizontal="center" vertical="center"/>
    </xf>
    <xf numFmtId="4" fontId="78" fillId="43" borderId="7" xfId="102" applyNumberFormat="1" applyFont="1" applyFill="1" applyBorder="1" applyAlignment="1">
      <alignment horizontal="right" vertical="center" wrapText="1"/>
    </xf>
    <xf numFmtId="4" fontId="9"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1"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9"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8"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8" fillId="0" borderId="7" xfId="107" applyFont="1" applyFill="1" applyBorder="1" applyAlignment="1" applyProtection="1">
      <alignment vertical="center" wrapText="1"/>
    </xf>
    <xf numFmtId="0" fontId="78"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8" fillId="0" borderId="7" xfId="107" applyNumberFormat="1" applyFont="1" applyFill="1" applyBorder="1" applyAlignment="1" applyProtection="1">
      <alignment horizontal="center" vertical="center"/>
    </xf>
    <xf numFmtId="0" fontId="78" fillId="0" borderId="7" xfId="107" applyFont="1" applyFill="1" applyBorder="1" applyAlignment="1" applyProtection="1">
      <alignment horizontal="center" vertical="center"/>
    </xf>
    <xf numFmtId="0" fontId="78"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9" fillId="0" borderId="7" xfId="107" applyNumberFormat="1" applyFont="1" applyBorder="1" applyAlignment="1">
      <alignment horizontal="center" vertical="center" wrapText="1"/>
    </xf>
    <xf numFmtId="49" fontId="9" fillId="0" borderId="7" xfId="107" applyNumberFormat="1" applyFont="1" applyBorder="1" applyAlignment="1">
      <alignment horizontal="left" vertical="center" wrapText="1"/>
    </xf>
    <xf numFmtId="0" fontId="13" fillId="0" borderId="7" xfId="107" applyFont="1" applyBorder="1" applyAlignment="1">
      <alignment horizontal="center" vertical="center" wrapText="1"/>
    </xf>
    <xf numFmtId="49" fontId="78" fillId="0" borderId="9" xfId="106" applyNumberFormat="1" applyFont="1" applyFill="1" applyBorder="1" applyAlignment="1" applyProtection="1">
      <alignment vertical="center" wrapText="1"/>
    </xf>
    <xf numFmtId="49" fontId="11" fillId="0" borderId="7" xfId="107" applyNumberFormat="1" applyFont="1" applyFill="1" applyBorder="1" applyAlignment="1" applyProtection="1">
      <alignment horizontal="left" vertical="center" wrapText="1"/>
    </xf>
    <xf numFmtId="49" fontId="11"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xf>
    <xf numFmtId="49" fontId="9"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indent="1"/>
    </xf>
    <xf numFmtId="4" fontId="78" fillId="43" borderId="7" xfId="107" applyNumberFormat="1" applyFont="1" applyFill="1" applyBorder="1" applyAlignment="1">
      <alignment horizontal="right" vertical="center" wrapText="1"/>
    </xf>
    <xf numFmtId="4" fontId="19"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3" fillId="2" borderId="7" xfId="107" applyNumberFormat="1" applyFont="1" applyFill="1" applyBorder="1" applyAlignment="1" applyProtection="1">
      <alignment horizontal="right" vertical="center" wrapText="1"/>
      <protection locked="0"/>
    </xf>
    <xf numFmtId="49" fontId="11"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4" fillId="0" borderId="9" xfId="106" applyFill="1" applyBorder="1" applyAlignment="1" applyProtection="1">
      <alignment wrapText="1"/>
    </xf>
    <xf numFmtId="4" fontId="4"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4" fontId="13" fillId="43" borderId="43" xfId="107" applyNumberFormat="1" applyFont="1" applyFill="1" applyBorder="1" applyAlignment="1">
      <alignment horizontal="right" vertical="center" wrapText="1"/>
    </xf>
    <xf numFmtId="4" fontId="63" fillId="2" borderId="43" xfId="107" applyNumberFormat="1" applyFont="1" applyFill="1" applyBorder="1" applyAlignment="1" applyProtection="1">
      <alignment horizontal="right" vertical="center" wrapText="1"/>
      <protection locked="0"/>
    </xf>
    <xf numFmtId="0" fontId="78" fillId="0" borderId="43" xfId="107" applyFont="1" applyBorder="1" applyAlignment="1">
      <alignment vertical="center" wrapText="1"/>
    </xf>
    <xf numFmtId="0" fontId="63" fillId="0" borderId="43" xfId="108" applyFont="1" applyBorder="1" applyAlignment="1">
      <alignment horizontal="left" vertical="center" wrapText="1" indent="1"/>
    </xf>
    <xf numFmtId="0" fontId="63" fillId="44" borderId="43" xfId="107" applyFont="1" applyFill="1" applyBorder="1" applyAlignment="1">
      <alignment horizontal="left" vertical="center" wrapText="1" indent="2"/>
    </xf>
    <xf numFmtId="0" fontId="63" fillId="0" borderId="0" xfId="107" applyFont="1" applyAlignment="1">
      <alignment vertical="center"/>
    </xf>
    <xf numFmtId="49" fontId="78" fillId="0" borderId="43" xfId="107" applyNumberFormat="1" applyFont="1" applyBorder="1" applyAlignment="1">
      <alignment horizontal="center" vertical="center"/>
    </xf>
    <xf numFmtId="49" fontId="63" fillId="0" borderId="43" xfId="107" applyNumberFormat="1" applyFont="1" applyBorder="1" applyAlignment="1">
      <alignment horizontal="center" vertical="center"/>
    </xf>
    <xf numFmtId="49" fontId="63" fillId="44" borderId="43" xfId="107" applyNumberFormat="1" applyFont="1" applyFill="1" applyBorder="1" applyAlignment="1">
      <alignment horizontal="center" vertical="center"/>
    </xf>
    <xf numFmtId="0" fontId="63" fillId="0" borderId="43" xfId="107" applyFont="1" applyBorder="1" applyAlignment="1">
      <alignment horizontal="left" vertical="center" wrapText="1" indent="1"/>
    </xf>
    <xf numFmtId="0" fontId="63" fillId="0" borderId="43" xfId="107" applyFont="1" applyBorder="1" applyAlignment="1">
      <alignment horizontal="left" vertical="center" wrapText="1" indent="2"/>
    </xf>
    <xf numFmtId="0" fontId="63" fillId="0" borderId="43" xfId="108" quotePrefix="1" applyFont="1" applyBorder="1" applyAlignment="1">
      <alignment horizontal="left" vertical="center" wrapText="1" indent="1"/>
    </xf>
    <xf numFmtId="0" fontId="63" fillId="0" borderId="43" xfId="107" applyFont="1" applyBorder="1" applyAlignment="1">
      <alignment horizontal="left" vertical="center" wrapText="1"/>
    </xf>
    <xf numFmtId="0" fontId="78" fillId="0" borderId="43" xfId="107" applyFont="1" applyBorder="1" applyAlignment="1">
      <alignment horizontal="center" vertical="center" wrapText="1"/>
    </xf>
    <xf numFmtId="4" fontId="19" fillId="43" borderId="43" xfId="107" applyNumberFormat="1" applyFont="1" applyFill="1" applyBorder="1" applyAlignment="1">
      <alignment horizontal="right" vertical="center" wrapText="1"/>
    </xf>
    <xf numFmtId="0" fontId="78" fillId="44" borderId="43" xfId="107" applyFont="1" applyFill="1" applyBorder="1" applyAlignment="1">
      <alignment horizontal="center" vertical="center" wrapText="1"/>
    </xf>
    <xf numFmtId="4" fontId="78" fillId="2" borderId="43" xfId="107" applyNumberFormat="1" applyFont="1" applyFill="1" applyBorder="1" applyAlignment="1" applyProtection="1">
      <alignment horizontal="right" vertical="center" wrapText="1"/>
      <protection locked="0"/>
    </xf>
    <xf numFmtId="49" fontId="65" fillId="0" borderId="9" xfId="106" applyNumberFormat="1" applyFont="1" applyFill="1" applyBorder="1" applyAlignment="1" applyProtection="1">
      <alignment vertical="center"/>
    </xf>
    <xf numFmtId="0" fontId="90" fillId="51" borderId="29" xfId="0" applyNumberFormat="1" applyFont="1" applyFill="1" applyBorder="1" applyAlignment="1">
      <alignment horizontal="left" vertical="center"/>
    </xf>
    <xf numFmtId="0" fontId="90" fillId="51" borderId="0" xfId="0" applyNumberFormat="1" applyFont="1" applyFill="1" applyBorder="1" applyAlignment="1">
      <alignment horizontal="left" vertical="center"/>
    </xf>
    <xf numFmtId="49" fontId="12"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9"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8"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0" fontId="65" fillId="7" borderId="30" xfId="98" applyNumberFormat="1" applyFont="1" applyFill="1" applyBorder="1" applyAlignment="1" applyProtection="1">
      <alignment horizontal="left" vertical="center" wrapText="1" indent="1"/>
    </xf>
    <xf numFmtId="4" fontId="9" fillId="7" borderId="7" xfId="102" applyNumberFormat="1" applyFont="1" applyFill="1" applyBorder="1" applyAlignment="1" applyProtection="1">
      <alignment horizontal="right" vertical="center"/>
    </xf>
    <xf numFmtId="0" fontId="67" fillId="0" borderId="0" xfId="97" applyFont="1" applyFill="1" applyAlignment="1" applyProtection="1">
      <alignment vertical="center"/>
    </xf>
    <xf numFmtId="0" fontId="87" fillId="0" borderId="0" xfId="97" applyFont="1" applyFill="1" applyAlignment="1" applyProtection="1">
      <alignment vertical="center"/>
    </xf>
    <xf numFmtId="49" fontId="12" fillId="48" borderId="0" xfId="99" applyFont="1" applyFill="1" applyAlignment="1" applyProtection="1">
      <alignment vertical="center" wrapText="1"/>
      <protection locked="0"/>
    </xf>
    <xf numFmtId="49" fontId="88" fillId="49" borderId="56" xfId="0" applyFont="1" applyFill="1" applyBorder="1" applyAlignment="1">
      <alignment horizontal="left" vertical="center" indent="1"/>
    </xf>
    <xf numFmtId="49" fontId="9"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 fontId="70" fillId="7" borderId="30" xfId="98" applyNumberFormat="1" applyFont="1" applyFill="1" applyBorder="1" applyAlignment="1" applyProtection="1">
      <alignment horizontal="right" vertical="center" wrapText="1" indent="1"/>
    </xf>
    <xf numFmtId="49" fontId="88" fillId="49" borderId="65" xfId="0" applyFont="1" applyFill="1" applyBorder="1" applyAlignment="1" applyProtection="1">
      <alignment horizontal="left" vertical="center" wrapText="1" indent="1"/>
    </xf>
    <xf numFmtId="49" fontId="88" fillId="49" borderId="54" xfId="0" applyFont="1" applyFill="1" applyBorder="1" applyAlignment="1" applyProtection="1">
      <alignment horizontal="left" vertical="center" wrapText="1" indent="1"/>
    </xf>
    <xf numFmtId="49" fontId="88" fillId="49" borderId="65" xfId="0" applyFont="1" applyFill="1" applyBorder="1" applyAlignment="1" applyProtection="1">
      <alignment horizontal="left" vertical="center" wrapText="1"/>
    </xf>
    <xf numFmtId="49" fontId="88" fillId="49" borderId="64" xfId="0" applyFont="1" applyFill="1" applyBorder="1" applyAlignment="1" applyProtection="1">
      <alignment horizontal="left" vertical="center" wrapText="1"/>
    </xf>
    <xf numFmtId="0" fontId="9"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9" fillId="45" borderId="0" xfId="102" applyNumberFormat="1" applyFont="1" applyFill="1" applyBorder="1" applyAlignment="1" applyProtection="1">
      <alignment horizontal="right" vertical="center"/>
    </xf>
    <xf numFmtId="49" fontId="95" fillId="45" borderId="5" xfId="102" applyNumberFormat="1" applyFont="1" applyFill="1" applyBorder="1" applyAlignment="1">
      <alignment horizontal="center" vertical="center" wrapText="1"/>
    </xf>
    <xf numFmtId="49" fontId="9" fillId="45" borderId="8" xfId="102" applyNumberFormat="1" applyFont="1" applyFill="1" applyBorder="1" applyAlignment="1" applyProtection="1">
      <alignment horizontal="left" vertical="center"/>
    </xf>
    <xf numFmtId="49" fontId="71" fillId="45" borderId="31" xfId="99" applyFont="1" applyFill="1" applyBorder="1" applyAlignment="1">
      <alignment horizontal="left" vertical="center" indent="1"/>
    </xf>
    <xf numFmtId="49" fontId="9" fillId="45" borderId="32" xfId="99" applyFont="1" applyFill="1" applyBorder="1" applyAlignment="1">
      <alignment horizontal="left" vertical="center" indent="1"/>
    </xf>
    <xf numFmtId="49" fontId="71" fillId="45" borderId="32" xfId="99" applyFont="1" applyFill="1" applyBorder="1" applyAlignment="1">
      <alignment horizontal="left" vertical="center" indent="1"/>
    </xf>
    <xf numFmtId="49" fontId="71"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9" fillId="7" borderId="7" xfId="105" applyFont="1" applyFill="1" applyBorder="1" applyAlignment="1" applyProtection="1">
      <alignment horizontal="left" vertical="center" wrapText="1" indent="1"/>
    </xf>
    <xf numFmtId="49" fontId="12" fillId="11" borderId="30" xfId="99" applyFont="1" applyFill="1" applyBorder="1" applyAlignment="1" applyProtection="1">
      <alignment horizontal="left" vertical="center" wrapText="1" indent="1"/>
      <protection locked="0"/>
    </xf>
    <xf numFmtId="0" fontId="12" fillId="49" borderId="0" xfId="97" applyFont="1" applyFill="1" applyAlignment="1" applyProtection="1">
      <alignment vertical="center"/>
    </xf>
    <xf numFmtId="0" fontId="9" fillId="2" borderId="30" xfId="49" applyNumberFormat="1" applyFill="1" applyBorder="1" applyAlignment="1" applyProtection="1">
      <alignment horizontal="left" vertical="center" indent="1"/>
      <protection locked="0"/>
    </xf>
    <xf numFmtId="49" fontId="88" fillId="49" borderId="54" xfId="0" applyFont="1" applyFill="1" applyBorder="1" applyAlignment="1">
      <alignment horizontal="left" vertical="center" wrapText="1" indent="1"/>
    </xf>
    <xf numFmtId="169" fontId="63" fillId="2" borderId="30" xfId="97" applyNumberFormat="1" applyFont="1" applyFill="1" applyBorder="1" applyAlignment="1" applyProtection="1">
      <alignment horizontal="right" vertical="center"/>
      <protection locked="0"/>
    </xf>
    <xf numFmtId="169" fontId="71" fillId="45" borderId="32" xfId="99" applyNumberFormat="1" applyFont="1" applyFill="1" applyBorder="1" applyAlignment="1">
      <alignment horizontal="left" vertical="center" indent="1"/>
    </xf>
    <xf numFmtId="169" fontId="13"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9" fillId="2" borderId="30" xfId="102" applyNumberFormat="1" applyFont="1" applyFill="1" applyBorder="1" applyAlignment="1" applyProtection="1">
      <alignment horizontal="right" vertical="center"/>
      <protection locked="0"/>
    </xf>
    <xf numFmtId="169" fontId="13" fillId="7" borderId="30" xfId="104" applyNumberFormat="1" applyFont="1" applyFill="1" applyBorder="1" applyAlignment="1" applyProtection="1">
      <alignment horizontal="right" vertical="center"/>
    </xf>
    <xf numFmtId="169" fontId="13" fillId="0" borderId="30" xfId="104" applyNumberFormat="1" applyFont="1" applyFill="1" applyBorder="1" applyAlignment="1" applyProtection="1">
      <alignment horizontal="right" vertical="center"/>
    </xf>
    <xf numFmtId="169" fontId="9" fillId="2"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xf>
    <xf numFmtId="172" fontId="13" fillId="7" borderId="30" xfId="104" applyNumberFormat="1" applyFont="1" applyFill="1" applyBorder="1" applyAlignment="1" applyProtection="1">
      <alignment horizontal="right" vertical="center"/>
    </xf>
    <xf numFmtId="172" fontId="71" fillId="45" borderId="32" xfId="99" applyNumberFormat="1" applyFont="1" applyFill="1" applyBorder="1" applyAlignment="1">
      <alignment horizontal="left" vertical="center" indent="1"/>
    </xf>
    <xf numFmtId="172" fontId="13" fillId="0" borderId="30" xfId="104" applyNumberFormat="1" applyFont="1" applyFill="1" applyBorder="1" applyAlignment="1" applyProtection="1">
      <alignment horizontal="right" vertical="center"/>
    </xf>
    <xf numFmtId="169" fontId="71" fillId="45" borderId="33" xfId="99" applyNumberFormat="1" applyFont="1" applyFill="1" applyBorder="1" applyAlignment="1">
      <alignment horizontal="left" vertical="center" indent="1"/>
    </xf>
    <xf numFmtId="4" fontId="11" fillId="2" borderId="43" xfId="104" applyNumberFormat="1" applyFont="1" applyFill="1" applyBorder="1" applyAlignment="1" applyProtection="1">
      <alignment horizontal="right" vertical="center" wrapText="1"/>
      <protection locked="0"/>
    </xf>
    <xf numFmtId="169" fontId="63" fillId="7" borderId="7" xfId="107" applyNumberFormat="1" applyFont="1" applyFill="1" applyBorder="1" applyAlignment="1" applyProtection="1">
      <alignment horizontal="right" vertical="center" wrapText="1"/>
    </xf>
    <xf numFmtId="49" fontId="9" fillId="2" borderId="30" xfId="49" applyNumberFormat="1" applyFill="1" applyBorder="1" applyAlignment="1" applyProtection="1">
      <alignment horizontal="left" vertical="center" wrapText="1" indent="1"/>
      <protection locked="0"/>
    </xf>
    <xf numFmtId="49" fontId="63" fillId="2" borderId="30" xfId="97" applyNumberFormat="1" applyFont="1" applyFill="1" applyBorder="1" applyAlignment="1" applyProtection="1">
      <alignment horizontal="left" vertical="center" wrapText="1"/>
      <protection locked="0"/>
    </xf>
    <xf numFmtId="49" fontId="9" fillId="2" borderId="30" xfId="102" applyNumberFormat="1" applyFont="1" applyFill="1" applyBorder="1" applyAlignment="1" applyProtection="1">
      <alignment horizontal="left" vertical="center" wrapText="1"/>
      <protection locked="0"/>
    </xf>
    <xf numFmtId="0" fontId="63" fillId="44" borderId="7" xfId="106" applyFont="1" applyFill="1" applyBorder="1" applyAlignment="1">
      <alignment horizontal="center" vertical="center" wrapText="1"/>
    </xf>
    <xf numFmtId="49" fontId="78" fillId="0" borderId="9" xfId="106" applyNumberFormat="1" applyFont="1" applyFill="1" applyBorder="1" applyAlignment="1" applyProtection="1">
      <alignment horizontal="left" vertical="center" wrapText="1" indent="1"/>
    </xf>
    <xf numFmtId="0" fontId="11" fillId="7" borderId="31" xfId="106" applyNumberFormat="1" applyFont="1" applyFill="1" applyBorder="1" applyAlignment="1">
      <alignment horizontal="left" vertical="center" indent="1"/>
    </xf>
    <xf numFmtId="0" fontId="11" fillId="7" borderId="32" xfId="106" applyNumberFormat="1" applyFont="1" applyFill="1" applyBorder="1" applyAlignment="1">
      <alignment vertical="center" wrapText="1"/>
    </xf>
    <xf numFmtId="0" fontId="11" fillId="7" borderId="33" xfId="106" applyNumberFormat="1" applyFont="1" applyFill="1" applyBorder="1" applyAlignment="1">
      <alignment vertical="center" wrapText="1"/>
    </xf>
    <xf numFmtId="49" fontId="11" fillId="7" borderId="32" xfId="106" applyNumberFormat="1" applyFont="1" applyFill="1" applyBorder="1" applyAlignment="1">
      <alignment vertical="center" wrapText="1"/>
    </xf>
    <xf numFmtId="49" fontId="11" fillId="7" borderId="33" xfId="106" applyNumberFormat="1" applyFont="1" applyFill="1" applyBorder="1" applyAlignment="1">
      <alignment vertical="center" wrapText="1"/>
    </xf>
    <xf numFmtId="0" fontId="9" fillId="45" borderId="31" xfId="106" applyFont="1" applyFill="1" applyBorder="1" applyAlignment="1">
      <alignment horizontal="left" vertical="center" wrapText="1"/>
    </xf>
    <xf numFmtId="0" fontId="9" fillId="45" borderId="32" xfId="49" applyFont="1" applyFill="1" applyBorder="1" applyAlignment="1">
      <alignment horizontal="center" vertical="center"/>
    </xf>
    <xf numFmtId="0" fontId="9" fillId="45" borderId="32" xfId="106" applyFont="1" applyFill="1" applyBorder="1" applyAlignment="1">
      <alignment horizontal="left" vertical="center" indent="1"/>
    </xf>
    <xf numFmtId="0" fontId="9" fillId="45" borderId="33" xfId="106" applyFont="1" applyFill="1" applyBorder="1" applyAlignment="1">
      <alignment horizontal="left" vertical="center" indent="1"/>
    </xf>
    <xf numFmtId="0" fontId="78" fillId="0" borderId="0" xfId="106" applyFont="1" applyAlignment="1">
      <alignment vertical="center"/>
    </xf>
    <xf numFmtId="0" fontId="11" fillId="0" borderId="30" xfId="106" applyFont="1" applyBorder="1" applyAlignment="1">
      <alignment horizontal="left" vertical="center" wrapText="1"/>
    </xf>
    <xf numFmtId="0" fontId="11" fillId="0" borderId="30" xfId="49" applyFont="1" applyBorder="1" applyAlignment="1">
      <alignment horizontal="center" vertical="center" wrapText="1"/>
    </xf>
    <xf numFmtId="4" fontId="78" fillId="2" borderId="30" xfId="106" applyNumberFormat="1" applyFont="1" applyFill="1" applyBorder="1" applyAlignment="1" applyProtection="1">
      <alignment horizontal="right" vertical="center"/>
      <protection locked="0"/>
    </xf>
    <xf numFmtId="4" fontId="11" fillId="43" borderId="30" xfId="106" applyNumberFormat="1" applyFont="1" applyFill="1" applyBorder="1" applyAlignment="1">
      <alignment vertical="center"/>
    </xf>
    <xf numFmtId="0" fontId="9" fillId="0" borderId="30" xfId="106" applyFont="1" applyBorder="1" applyAlignment="1">
      <alignment horizontal="left" vertical="center" wrapText="1"/>
    </xf>
    <xf numFmtId="0" fontId="9" fillId="0" borderId="30" xfId="49" applyFont="1" applyBorder="1" applyAlignment="1">
      <alignment horizontal="center" vertical="center" wrapText="1"/>
    </xf>
    <xf numFmtId="4" fontId="9" fillId="7" borderId="7" xfId="0" applyNumberFormat="1" applyFont="1" applyFill="1" applyBorder="1" applyAlignment="1">
      <alignment horizontal="right" vertical="center" wrapText="1"/>
    </xf>
    <xf numFmtId="4" fontId="9"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9" fillId="2" borderId="30" xfId="106" applyNumberFormat="1" applyFont="1" applyFill="1" applyBorder="1" applyAlignment="1" applyProtection="1">
      <alignment vertical="center"/>
      <protection locked="0"/>
    </xf>
    <xf numFmtId="0" fontId="11" fillId="0" borderId="30" xfId="106" applyFont="1" applyFill="1" applyBorder="1" applyAlignment="1" applyProtection="1">
      <alignment horizontal="left" vertical="center" wrapText="1"/>
    </xf>
    <xf numFmtId="0" fontId="9" fillId="0" borderId="32" xfId="49" applyFont="1" applyFill="1" applyBorder="1" applyAlignment="1" applyProtection="1">
      <alignment horizontal="center" vertical="center"/>
    </xf>
    <xf numFmtId="0" fontId="9" fillId="0" borderId="32" xfId="106" applyFont="1" applyFill="1" applyBorder="1" applyAlignment="1" applyProtection="1">
      <alignment horizontal="left" vertical="center" indent="1"/>
    </xf>
    <xf numFmtId="0" fontId="9" fillId="0" borderId="33" xfId="106" applyFont="1" applyFill="1" applyBorder="1" applyAlignment="1" applyProtection="1">
      <alignment horizontal="left" vertical="center" indent="1"/>
    </xf>
    <xf numFmtId="0" fontId="9" fillId="0" borderId="30" xfId="106" applyFont="1" applyBorder="1" applyAlignment="1">
      <alignment horizontal="left" vertical="center" wrapText="1" indent="1"/>
    </xf>
    <xf numFmtId="49" fontId="11" fillId="0" borderId="7" xfId="106" applyNumberFormat="1" applyFont="1" applyBorder="1" applyAlignment="1">
      <alignment horizontal="center" vertical="center" wrapText="1"/>
    </xf>
    <xf numFmtId="0" fontId="11" fillId="0" borderId="7" xfId="106" applyFont="1" applyBorder="1" applyAlignment="1">
      <alignment vertical="center" wrapText="1"/>
    </xf>
    <xf numFmtId="0" fontId="11" fillId="0" borderId="7" xfId="106" applyFont="1" applyBorder="1" applyAlignment="1">
      <alignment horizontal="center" vertical="center" wrapText="1"/>
    </xf>
    <xf numFmtId="4" fontId="78" fillId="7" borderId="7" xfId="106" applyNumberFormat="1" applyFont="1" applyFill="1" applyBorder="1" applyAlignment="1">
      <alignment horizontal="right" vertical="center"/>
    </xf>
    <xf numFmtId="4" fontId="78"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8" fillId="0" borderId="7" xfId="106" applyNumberFormat="1" applyFont="1" applyBorder="1" applyAlignment="1">
      <alignment horizontal="center" vertical="center"/>
    </xf>
    <xf numFmtId="0" fontId="78" fillId="0" borderId="7" xfId="106" applyFont="1" applyBorder="1" applyAlignment="1">
      <alignment horizontal="center" vertical="center"/>
    </xf>
    <xf numFmtId="4" fontId="78" fillId="7" borderId="7" xfId="106" applyNumberFormat="1" applyFont="1" applyFill="1" applyBorder="1" applyAlignment="1" applyProtection="1">
      <alignment horizontal="right" vertical="center"/>
    </xf>
    <xf numFmtId="0" fontId="78" fillId="0" borderId="7" xfId="106" applyFont="1" applyBorder="1" applyAlignment="1">
      <alignment vertical="center" wrapText="1"/>
    </xf>
    <xf numFmtId="4" fontId="78" fillId="43" borderId="7" xfId="106" applyNumberFormat="1" applyFont="1" applyFill="1" applyBorder="1" applyAlignment="1" applyProtection="1">
      <alignment horizontal="right" vertical="center"/>
    </xf>
    <xf numFmtId="0" fontId="63" fillId="0" borderId="7" xfId="106" applyFont="1" applyBorder="1" applyAlignment="1">
      <alignment vertical="center" wrapText="1"/>
    </xf>
    <xf numFmtId="4" fontId="78" fillId="2" borderId="7" xfId="106" applyNumberFormat="1" applyFont="1" applyFill="1" applyBorder="1" applyAlignment="1" applyProtection="1">
      <alignment horizontal="right" vertical="center"/>
      <protection locked="0"/>
    </xf>
    <xf numFmtId="0" fontId="0" fillId="44" borderId="7" xfId="106" applyFont="1" applyFill="1" applyBorder="1" applyAlignment="1">
      <alignment horizontal="left" vertical="center" wrapText="1" indent="1"/>
    </xf>
    <xf numFmtId="49" fontId="63" fillId="44" borderId="7" xfId="106" applyNumberFormat="1" applyFont="1" applyFill="1" applyBorder="1" applyAlignment="1">
      <alignment horizontal="center" vertical="center"/>
    </xf>
    <xf numFmtId="0" fontId="63" fillId="44" borderId="7" xfId="106" applyFont="1" applyFill="1" applyBorder="1" applyAlignment="1">
      <alignment vertical="center" wrapText="1"/>
    </xf>
    <xf numFmtId="4" fontId="78"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4" fontId="11" fillId="2" borderId="7" xfId="106" applyNumberFormat="1" applyFont="1" applyFill="1" applyBorder="1" applyAlignment="1" applyProtection="1">
      <alignment vertical="center"/>
      <protection locked="0"/>
    </xf>
    <xf numFmtId="0" fontId="9" fillId="0" borderId="7" xfId="106" applyFont="1" applyBorder="1" applyAlignment="1">
      <alignment horizontal="left" vertical="center" wrapText="1"/>
    </xf>
    <xf numFmtId="0" fontId="9" fillId="0" borderId="7" xfId="49" applyFont="1" applyBorder="1" applyAlignment="1">
      <alignment horizontal="center" vertical="center" wrapText="1"/>
    </xf>
    <xf numFmtId="0" fontId="9" fillId="43" borderId="7" xfId="106" applyFont="1" applyFill="1" applyBorder="1" applyAlignment="1">
      <alignment vertical="center"/>
    </xf>
    <xf numFmtId="0" fontId="9" fillId="11" borderId="30" xfId="106" applyFont="1" applyFill="1" applyBorder="1" applyAlignment="1" applyProtection="1">
      <alignment horizontal="left" vertical="center" wrapText="1"/>
      <protection locked="0"/>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7" xfId="106" applyFont="1" applyBorder="1" applyAlignment="1">
      <alignment horizontal="center" vertical="center" wrapText="1"/>
    </xf>
    <xf numFmtId="0" fontId="63" fillId="0" borderId="53" xfId="106" applyFont="1" applyBorder="1" applyAlignment="1">
      <alignment horizontal="center" vertical="center" wrapText="1"/>
    </xf>
    <xf numFmtId="4" fontId="63" fillId="2" borderId="68"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4" fontId="63" fillId="49" borderId="49" xfId="106" applyNumberFormat="1" applyFont="1" applyFill="1" applyBorder="1" applyAlignment="1" applyProtection="1">
      <alignment horizontal="right" vertical="center"/>
    </xf>
    <xf numFmtId="0" fontId="95" fillId="45" borderId="32" xfId="99" applyNumberFormat="1" applyFont="1" applyFill="1" applyBorder="1" applyAlignment="1">
      <alignment horizontal="left" vertical="center" indent="1"/>
    </xf>
    <xf numFmtId="4" fontId="96"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0" fontId="9" fillId="2" borderId="30" xfId="49" applyNumberFormat="1" applyFill="1" applyBorder="1" applyAlignment="1" applyProtection="1">
      <alignment horizontal="left" vertical="center" wrapText="1" indent="1"/>
      <protection locked="0"/>
    </xf>
    <xf numFmtId="49" fontId="88" fillId="49" borderId="56" xfId="0" applyFont="1" applyFill="1" applyBorder="1" applyAlignment="1">
      <alignment horizontal="left" vertical="center"/>
    </xf>
    <xf numFmtId="4" fontId="19" fillId="43" borderId="47" xfId="107" applyNumberFormat="1" applyFont="1" applyFill="1" applyBorder="1" applyAlignment="1">
      <alignment horizontal="right" vertical="center" wrapText="1"/>
    </xf>
    <xf numFmtId="4" fontId="78" fillId="2" borderId="47" xfId="107" applyNumberFormat="1" applyFont="1" applyFill="1" applyBorder="1" applyAlignment="1" applyProtection="1">
      <alignment horizontal="right" vertical="center" wrapText="1"/>
      <protection locked="0"/>
    </xf>
    <xf numFmtId="4" fontId="63" fillId="2" borderId="47" xfId="107" applyNumberFormat="1" applyFont="1" applyFill="1" applyBorder="1" applyAlignment="1" applyProtection="1">
      <alignment horizontal="right" vertical="center" wrapText="1"/>
      <protection locked="0"/>
    </xf>
    <xf numFmtId="4" fontId="13" fillId="43" borderId="47" xfId="107" applyNumberFormat="1" applyFont="1" applyFill="1" applyBorder="1" applyAlignment="1">
      <alignment horizontal="right" vertical="center" wrapText="1"/>
    </xf>
    <xf numFmtId="4" fontId="11" fillId="2" borderId="47" xfId="104" applyNumberFormat="1" applyFont="1" applyFill="1" applyBorder="1" applyAlignment="1" applyProtection="1">
      <alignment horizontal="right" vertical="center" wrapText="1"/>
      <protection locked="0"/>
    </xf>
    <xf numFmtId="49" fontId="78"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9" fillId="0" borderId="7" xfId="106" applyFont="1" applyBorder="1" applyAlignment="1">
      <alignment horizontal="left" vertical="center" wrapText="1" indent="1"/>
    </xf>
    <xf numFmtId="169" fontId="9"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8"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3" fillId="2" borderId="7" xfId="107" applyNumberFormat="1" applyFont="1" applyFill="1" applyBorder="1" applyAlignment="1" applyProtection="1">
      <alignment horizontal="right" vertical="center" wrapText="1"/>
      <protection locked="0"/>
    </xf>
    <xf numFmtId="0" fontId="11" fillId="0" borderId="9" xfId="99" quotePrefix="1" applyNumberFormat="1" applyFont="1" applyFill="1" applyBorder="1" applyAlignment="1" applyProtection="1">
      <alignment horizontal="left" vertical="center" indent="1"/>
    </xf>
    <xf numFmtId="0" fontId="78" fillId="0" borderId="9" xfId="102" quotePrefix="1" applyFont="1" applyFill="1" applyBorder="1" applyAlignment="1">
      <alignment horizontal="left" vertical="center" indent="1"/>
    </xf>
    <xf numFmtId="49" fontId="78" fillId="0" borderId="9" xfId="102" quotePrefix="1" applyNumberFormat="1" applyFont="1" applyFill="1" applyBorder="1" applyAlignment="1">
      <alignment horizontal="left" vertical="center" indent="1"/>
    </xf>
    <xf numFmtId="49" fontId="78" fillId="0" borderId="9" xfId="102" quotePrefix="1" applyNumberFormat="1" applyFont="1" applyFill="1" applyBorder="1" applyAlignment="1" applyProtection="1">
      <alignment horizontal="left" vertical="center" indent="1"/>
    </xf>
    <xf numFmtId="49" fontId="78" fillId="0" borderId="9" xfId="106" quotePrefix="1" applyNumberFormat="1" applyFont="1" applyFill="1" applyBorder="1" applyAlignment="1" applyProtection="1">
      <alignment horizontal="left" vertical="center" indent="1"/>
    </xf>
    <xf numFmtId="0" fontId="23" fillId="0" borderId="0" xfId="110" applyFont="1"/>
    <xf numFmtId="0" fontId="23" fillId="0" borderId="0" xfId="110" applyFont="1" applyFill="1"/>
    <xf numFmtId="0" fontId="24" fillId="0" borderId="9" xfId="110" applyFont="1" applyFill="1" applyBorder="1" applyAlignment="1">
      <alignment horizontal="left" vertical="center" indent="1"/>
    </xf>
    <xf numFmtId="0" fontId="23" fillId="0" borderId="9" xfId="110" applyFont="1" applyFill="1" applyBorder="1"/>
    <xf numFmtId="0" fontId="23" fillId="0" borderId="0" xfId="110" applyFont="1" applyFill="1" applyAlignment="1">
      <alignment vertical="center"/>
    </xf>
    <xf numFmtId="49" fontId="12"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9" fillId="0" borderId="30" xfId="97" applyFont="1" applyBorder="1" applyAlignment="1">
      <alignment vertical="center" wrapText="1"/>
    </xf>
    <xf numFmtId="0" fontId="9" fillId="0" borderId="33" xfId="102" applyFont="1" applyBorder="1" applyAlignment="1">
      <alignment horizontal="left" vertical="center" wrapText="1" indent="1"/>
    </xf>
    <xf numFmtId="0" fontId="9"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9"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9" fillId="0" borderId="71" xfId="97" applyFont="1" applyBorder="1" applyAlignment="1">
      <alignment vertical="center" wrapText="1"/>
    </xf>
    <xf numFmtId="0" fontId="9" fillId="0" borderId="71" xfId="97" applyFont="1" applyBorder="1" applyAlignment="1">
      <alignment horizontal="left" vertical="center" wrapText="1" indent="1"/>
    </xf>
    <xf numFmtId="0" fontId="9"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9"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9" fillId="0" borderId="7" xfId="97" applyFont="1" applyBorder="1" applyAlignment="1">
      <alignment vertical="center" wrapText="1"/>
    </xf>
    <xf numFmtId="0" fontId="9"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9" fillId="7" borderId="30" xfId="102" applyNumberFormat="1" applyFont="1" applyFill="1" applyBorder="1" applyAlignment="1">
      <alignment horizontal="right" vertical="center"/>
    </xf>
    <xf numFmtId="169" fontId="9" fillId="43" borderId="30" xfId="102" applyNumberFormat="1" applyFont="1" applyFill="1" applyBorder="1" applyAlignment="1">
      <alignment horizontal="right" vertical="center"/>
    </xf>
    <xf numFmtId="169" fontId="9" fillId="0" borderId="0" xfId="0" applyNumberFormat="1" applyFont="1" applyFill="1" applyBorder="1" applyAlignment="1" applyProtection="1">
      <alignment vertical="top"/>
    </xf>
    <xf numFmtId="169" fontId="15" fillId="0" borderId="0" xfId="0" applyNumberFormat="1" applyFont="1" applyFill="1" applyBorder="1" applyAlignment="1" applyProtection="1">
      <alignment vertical="top"/>
    </xf>
    <xf numFmtId="169" fontId="90"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1" fillId="0" borderId="7" xfId="105" applyFont="1" applyBorder="1" applyAlignment="1">
      <alignment vertical="center" wrapText="1"/>
    </xf>
    <xf numFmtId="169" fontId="78" fillId="43" borderId="7" xfId="106" applyNumberFormat="1" applyFont="1" applyFill="1" applyBorder="1" applyAlignment="1">
      <alignment horizontal="right" vertical="center"/>
    </xf>
    <xf numFmtId="169" fontId="63" fillId="7" borderId="7" xfId="106" applyNumberFormat="1" applyFont="1" applyFill="1" applyBorder="1" applyAlignment="1" applyProtection="1">
      <alignment horizontal="right" vertical="center"/>
    </xf>
    <xf numFmtId="169" fontId="9" fillId="7" borderId="30" xfId="106" applyNumberFormat="1" applyFont="1" applyFill="1" applyBorder="1" applyAlignment="1" applyProtection="1">
      <alignment vertical="center"/>
    </xf>
    <xf numFmtId="0" fontId="70" fillId="2" borderId="30" xfId="98" applyNumberFormat="1" applyFont="1" applyFill="1" applyBorder="1" applyAlignment="1" applyProtection="1">
      <alignment horizontal="left" vertical="center" wrapText="1" indent="1"/>
      <protection locked="0"/>
    </xf>
    <xf numFmtId="4" fontId="63" fillId="7" borderId="7" xfId="112" applyNumberFormat="1" applyFont="1" applyFill="1" applyBorder="1" applyAlignment="1">
      <alignment horizontal="right" vertical="center"/>
    </xf>
    <xf numFmtId="169" fontId="63" fillId="2" borderId="7" xfId="112" applyNumberFormat="1" applyFont="1" applyFill="1" applyBorder="1" applyAlignment="1" applyProtection="1">
      <alignment horizontal="right" vertical="center"/>
      <protection locked="0"/>
    </xf>
    <xf numFmtId="4" fontId="63" fillId="2" borderId="7" xfId="112" applyNumberFormat="1" applyFont="1" applyFill="1" applyBorder="1" applyAlignment="1" applyProtection="1">
      <alignment horizontal="right" vertical="center"/>
      <protection locked="0"/>
    </xf>
    <xf numFmtId="0" fontId="12" fillId="0" borderId="30" xfId="97" applyFont="1" applyBorder="1" applyAlignment="1">
      <alignment horizontal="right" vertical="center" wrapText="1" indent="1"/>
    </xf>
    <xf numFmtId="14" fontId="70" fillId="2" borderId="30" xfId="98" applyNumberFormat="1" applyFont="1" applyFill="1" applyBorder="1" applyAlignment="1" applyProtection="1">
      <alignment horizontal="left" vertical="center" wrapText="1" indent="1"/>
      <protection locked="0"/>
    </xf>
    <xf numFmtId="49" fontId="70" fillId="2" borderId="30" xfId="98" applyNumberFormat="1" applyFont="1" applyFill="1" applyBorder="1" applyAlignment="1" applyProtection="1">
      <alignment horizontal="left" vertical="center" wrapText="1" indent="1"/>
      <protection locked="0"/>
    </xf>
    <xf numFmtId="4" fontId="78" fillId="43" borderId="7" xfId="112" applyNumberFormat="1" applyFont="1" applyFill="1" applyBorder="1" applyAlignment="1">
      <alignment horizontal="right" vertical="center"/>
    </xf>
    <xf numFmtId="0" fontId="78" fillId="0" borderId="7" xfId="106" applyFont="1" applyBorder="1" applyAlignment="1">
      <alignment horizontal="left" vertical="center" wrapText="1" indent="1"/>
    </xf>
    <xf numFmtId="4" fontId="78" fillId="0" borderId="7" xfId="106" applyNumberFormat="1" applyFont="1" applyFill="1" applyBorder="1" applyAlignment="1" applyProtection="1">
      <alignment horizontal="right" vertical="center"/>
    </xf>
    <xf numFmtId="49" fontId="78" fillId="2" borderId="30" xfId="102" applyNumberFormat="1" applyFont="1" applyFill="1" applyBorder="1" applyAlignment="1" applyProtection="1">
      <alignment horizontal="left" vertical="center" wrapText="1"/>
      <protection locked="0"/>
    </xf>
    <xf numFmtId="4" fontId="63" fillId="0" borderId="43" xfId="106" applyNumberFormat="1" applyFont="1" applyFill="1" applyBorder="1" applyAlignment="1" applyProtection="1">
      <alignment horizontal="right" vertical="center"/>
    </xf>
    <xf numFmtId="0" fontId="9" fillId="0" borderId="7" xfId="102" applyFont="1" applyBorder="1" applyAlignment="1">
      <alignment horizontal="left" vertical="center" wrapText="1"/>
    </xf>
    <xf numFmtId="49" fontId="98" fillId="2" borderId="30" xfId="31" applyNumberFormat="1" applyFill="1" applyBorder="1" applyAlignment="1" applyProtection="1">
      <alignment horizontal="left" vertical="center" wrapText="1" indent="1"/>
      <protection locked="0"/>
    </xf>
    <xf numFmtId="0" fontId="0" fillId="0" borderId="0" xfId="0" applyNumberFormat="1">
      <alignment vertical="top"/>
    </xf>
    <xf numFmtId="0" fontId="11" fillId="0" borderId="7" xfId="106" applyFont="1" applyBorder="1" applyAlignment="1">
      <alignment horizontal="left" vertical="center" wrapText="1" indent="1"/>
    </xf>
    <xf numFmtId="0" fontId="63" fillId="0" borderId="30" xfId="102" applyFont="1" applyBorder="1" applyAlignment="1">
      <alignment horizontal="center" vertical="center" wrapText="1"/>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0" fontId="63" fillId="0" borderId="30" xfId="102" applyFont="1" applyBorder="1" applyAlignment="1">
      <alignment horizontal="center" vertical="center" wrapText="1"/>
    </xf>
    <xf numFmtId="0" fontId="9" fillId="9" borderId="30" xfId="102" applyFont="1" applyFill="1" applyBorder="1" applyAlignment="1">
      <alignment horizontal="center" vertical="center" wrapText="1"/>
    </xf>
    <xf numFmtId="4" fontId="9" fillId="7" borderId="30" xfId="102" applyNumberFormat="1" applyFont="1" applyFill="1" applyBorder="1" applyAlignment="1">
      <alignment horizontal="right" vertical="center"/>
    </xf>
    <xf numFmtId="0" fontId="63" fillId="0" borderId="0" xfId="102" applyFont="1" applyAlignment="1">
      <alignment horizontal="left" vertical="center"/>
    </xf>
    <xf numFmtId="4" fontId="78" fillId="0" borderId="7" xfId="106" applyNumberFormat="1" applyFont="1" applyBorder="1" applyAlignment="1">
      <alignment horizontal="right" vertical="center"/>
    </xf>
    <xf numFmtId="4" fontId="63" fillId="0" borderId="7" xfId="106" applyNumberFormat="1" applyFont="1" applyBorder="1" applyAlignment="1">
      <alignment horizontal="right" vertical="center"/>
    </xf>
    <xf numFmtId="49" fontId="63" fillId="0" borderId="30" xfId="102" applyNumberFormat="1" applyFont="1" applyBorder="1" applyAlignment="1">
      <alignment horizontal="left" vertical="center" wrapText="1"/>
    </xf>
    <xf numFmtId="0" fontId="99" fillId="0" borderId="0" xfId="106" applyFont="1" applyAlignment="1">
      <alignment vertical="center"/>
    </xf>
    <xf numFmtId="49" fontId="88" fillId="49" borderId="6" xfId="0" applyFont="1" applyFill="1" applyBorder="1" applyAlignment="1">
      <alignment horizontal="left" vertical="center" wrapText="1" indent="2"/>
    </xf>
    <xf numFmtId="49" fontId="0" fillId="8" borderId="0" xfId="0" applyFill="1" applyBorder="1">
      <alignment vertical="top"/>
    </xf>
    <xf numFmtId="49" fontId="9" fillId="0" borderId="0" xfId="0" applyFont="1" applyBorder="1">
      <alignment vertical="top"/>
    </xf>
    <xf numFmtId="0" fontId="15" fillId="0" borderId="0" xfId="0" applyNumberFormat="1" applyFont="1" applyBorder="1">
      <alignment vertical="top"/>
    </xf>
    <xf numFmtId="49" fontId="15" fillId="0" borderId="0" xfId="0" applyFont="1" applyBorder="1">
      <alignment vertical="top"/>
    </xf>
    <xf numFmtId="0" fontId="63" fillId="11" borderId="7" xfId="106" applyFont="1" applyFill="1" applyBorder="1" applyAlignment="1" applyProtection="1">
      <alignment horizontal="left" vertical="center" wrapText="1" indent="1"/>
      <protection locked="0"/>
    </xf>
    <xf numFmtId="0" fontId="11" fillId="0" borderId="7" xfId="102" applyFont="1" applyBorder="1" applyAlignment="1">
      <alignment horizontal="left" vertical="center" wrapText="1"/>
    </xf>
    <xf numFmtId="0" fontId="63" fillId="0" borderId="0" xfId="98" applyNumberFormat="1" applyFont="1" applyAlignment="1"/>
    <xf numFmtId="49" fontId="63" fillId="0" borderId="0" xfId="98" applyNumberFormat="1" applyFont="1" applyAlignment="1"/>
    <xf numFmtId="0" fontId="9" fillId="0" borderId="0" xfId="98" applyFont="1" applyAlignment="1"/>
    <xf numFmtId="0" fontId="9" fillId="0" borderId="0" xfId="98" applyFont="1" applyFill="1" applyAlignment="1" applyProtection="1"/>
    <xf numFmtId="49" fontId="63" fillId="0" borderId="0" xfId="97" applyNumberFormat="1" applyFont="1" applyAlignment="1"/>
    <xf numFmtId="0" fontId="78" fillId="0" borderId="0" xfId="102" applyFont="1" applyAlignment="1">
      <alignment horizontal="left" vertical="center"/>
    </xf>
    <xf numFmtId="49" fontId="0" fillId="8" borderId="0" xfId="0" applyFill="1" applyBorder="1" applyAlignment="1">
      <alignment vertical="top"/>
    </xf>
    <xf numFmtId="0" fontId="70" fillId="0" borderId="0" xfId="102" applyNumberFormat="1" applyFont="1" applyAlignment="1">
      <alignment vertical="center"/>
    </xf>
    <xf numFmtId="169" fontId="63" fillId="2" borderId="30" xfId="106" applyNumberFormat="1" applyFont="1" applyFill="1" applyBorder="1" applyAlignment="1" applyProtection="1">
      <alignment horizontal="right" vertical="center"/>
      <protection locked="0"/>
    </xf>
    <xf numFmtId="49" fontId="88" fillId="49" borderId="64" xfId="0" applyFont="1" applyFill="1" applyBorder="1" applyAlignment="1">
      <alignment horizontal="left" vertical="center" wrapText="1"/>
    </xf>
    <xf numFmtId="49" fontId="88" fillId="49" borderId="65" xfId="0" applyFont="1" applyFill="1" applyBorder="1" applyAlignment="1">
      <alignment horizontal="left" vertical="center" wrapText="1"/>
    </xf>
    <xf numFmtId="49" fontId="88" fillId="49" borderId="65" xfId="0" applyFont="1" applyFill="1" applyBorder="1" applyAlignment="1">
      <alignment horizontal="left" vertical="center" wrapText="1" indent="1"/>
    </xf>
    <xf numFmtId="49" fontId="9" fillId="8" borderId="0" xfId="0" applyFont="1" applyFill="1" applyBorder="1">
      <alignment vertical="top"/>
    </xf>
    <xf numFmtId="49" fontId="9" fillId="11" borderId="30" xfId="106" applyNumberFormat="1" applyFont="1" applyFill="1" applyBorder="1" applyAlignment="1" applyProtection="1">
      <alignment horizontal="left" vertical="center" wrapText="1"/>
      <protection locked="0"/>
    </xf>
    <xf numFmtId="0" fontId="9" fillId="0" borderId="30" xfId="49" applyBorder="1" applyAlignment="1">
      <alignment horizontal="center" vertical="center" wrapText="1"/>
    </xf>
    <xf numFmtId="0" fontId="63" fillId="0" borderId="7" xfId="112" applyFont="1" applyBorder="1" applyAlignment="1">
      <alignment horizontal="center" vertical="center"/>
    </xf>
    <xf numFmtId="169" fontId="9" fillId="7" borderId="30" xfId="106" applyNumberFormat="1" applyFont="1" applyFill="1" applyBorder="1" applyAlignment="1">
      <alignment vertical="center"/>
    </xf>
    <xf numFmtId="4" fontId="63" fillId="0" borderId="30" xfId="106" applyNumberFormat="1" applyFont="1" applyBorder="1" applyAlignment="1">
      <alignment horizontal="right" vertical="center"/>
    </xf>
    <xf numFmtId="4" fontId="9" fillId="0" borderId="30" xfId="106" applyNumberFormat="1" applyFont="1" applyBorder="1" applyAlignment="1">
      <alignment vertical="center"/>
    </xf>
    <xf numFmtId="0" fontId="12" fillId="49" borderId="0" xfId="97" applyFont="1" applyFill="1" applyAlignment="1">
      <alignment vertical="center"/>
    </xf>
    <xf numFmtId="49" fontId="12" fillId="2" borderId="30" xfId="99" applyFont="1" applyFill="1" applyBorder="1" applyAlignment="1" applyProtection="1">
      <alignment horizontal="left" vertical="center" wrapText="1" indent="1"/>
      <protection locked="0"/>
    </xf>
    <xf numFmtId="49" fontId="0" fillId="0" borderId="0" xfId="0" applyBorder="1">
      <alignment vertical="top"/>
    </xf>
    <xf numFmtId="49" fontId="12" fillId="11" borderId="30" xfId="97" applyNumberFormat="1" applyFont="1" applyFill="1" applyBorder="1" applyAlignment="1" applyProtection="1">
      <alignment horizontal="right" vertical="center" wrapText="1" indent="1"/>
      <protection locked="0"/>
    </xf>
    <xf numFmtId="49" fontId="9" fillId="11" borderId="30" xfId="49" applyNumberFormat="1" applyFill="1" applyBorder="1" applyAlignment="1" applyProtection="1">
      <alignment horizontal="left" vertical="center" wrapText="1" indent="1"/>
      <protection locked="0"/>
    </xf>
    <xf numFmtId="0" fontId="100" fillId="0" borderId="0" xfId="97" applyFont="1" applyAlignment="1">
      <alignment vertical="center"/>
    </xf>
    <xf numFmtId="0" fontId="1" fillId="0" borderId="0" xfId="112"/>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63" fillId="0" borderId="49" xfId="107" applyFont="1" applyBorder="1" applyAlignment="1">
      <alignment horizontal="center" vertical="center" wrapText="1"/>
    </xf>
    <xf numFmtId="49" fontId="63" fillId="44" borderId="68" xfId="107" applyNumberFormat="1" applyFont="1" applyFill="1" applyBorder="1" applyAlignment="1">
      <alignment horizontal="center" vertical="center"/>
    </xf>
    <xf numFmtId="0" fontId="63" fillId="44" borderId="68" xfId="107" applyFont="1" applyFill="1" applyBorder="1" applyAlignment="1">
      <alignment horizontal="left" vertical="center" wrapText="1" indent="2"/>
    </xf>
    <xf numFmtId="0" fontId="9" fillId="0" borderId="0" xfId="99" applyNumberFormat="1" applyAlignment="1">
      <alignment vertical="center"/>
    </xf>
    <xf numFmtId="0" fontId="9" fillId="0" borderId="30" xfId="102" applyFont="1" applyBorder="1" applyAlignment="1">
      <alignment horizontal="left" vertical="center" wrapText="1" indent="1"/>
    </xf>
    <xf numFmtId="0" fontId="9" fillId="0" borderId="30" xfId="102" applyFont="1" applyBorder="1" applyAlignment="1">
      <alignment horizontal="left" vertical="center" wrapText="1" indent="2"/>
    </xf>
    <xf numFmtId="0" fontId="63" fillId="0" borderId="0" xfId="106" applyFont="1" applyAlignment="1">
      <alignment vertical="center"/>
    </xf>
    <xf numFmtId="22" fontId="9" fillId="0" borderId="0" xfId="46" applyNumberFormat="1" applyFont="1" applyAlignment="1" applyProtection="1">
      <alignment horizontal="left" vertical="center" wrapText="1"/>
    </xf>
    <xf numFmtId="49" fontId="0" fillId="0" borderId="0" xfId="0" applyNumberFormat="1">
      <alignment vertical="top"/>
    </xf>
    <xf numFmtId="0" fontId="12" fillId="0" borderId="0" xfId="97" applyFont="1" applyAlignment="1">
      <alignment horizontal="center" vertical="center"/>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3" fillId="0" borderId="0" xfId="41" applyFont="1" applyFill="1" applyBorder="1" applyAlignment="1" applyProtection="1">
      <alignment horizontal="left" vertical="top" wrapText="1"/>
    </xf>
    <xf numFmtId="0" fontId="23" fillId="0" borderId="0" xfId="41" applyFont="1" applyFill="1" applyBorder="1" applyAlignment="1" applyProtection="1">
      <alignment horizontal="left" vertical="center" wrapText="1" indent="1"/>
    </xf>
    <xf numFmtId="0" fontId="23" fillId="0" borderId="0" xfId="23" applyFont="1" applyFill="1" applyBorder="1" applyAlignment="1" applyProtection="1">
      <alignment horizontal="left" vertical="top" wrapText="1"/>
    </xf>
    <xf numFmtId="0" fontId="9" fillId="0" borderId="0" xfId="23" applyFont="1" applyFill="1" applyBorder="1" applyAlignment="1" applyProtection="1">
      <alignment horizontal="center" vertical="top" wrapText="1"/>
    </xf>
    <xf numFmtId="49" fontId="41" fillId="0" borderId="0" xfId="34" applyNumberFormat="1" applyFont="1" applyFill="1" applyBorder="1" applyAlignment="1" applyProtection="1">
      <alignment horizontal="left" vertical="top" wrapText="1"/>
    </xf>
    <xf numFmtId="49" fontId="23" fillId="0" borderId="0" xfId="16" applyNumberFormat="1" applyFont="1" applyFill="1" applyBorder="1" applyAlignment="1" applyProtection="1">
      <alignment horizontal="left" vertical="center" wrapText="1" indent="1"/>
    </xf>
    <xf numFmtId="0" fontId="13"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3"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horizontal="left" vertical="center"/>
    </xf>
    <xf numFmtId="0" fontId="23" fillId="10" borderId="17" xfId="29" applyNumberFormat="1" applyFont="1" applyFill="1" applyBorder="1" applyAlignment="1">
      <alignment horizontal="center" vertical="center" wrapText="1"/>
    </xf>
    <xf numFmtId="0" fontId="23" fillId="10" borderId="18" xfId="29" applyNumberFormat="1" applyFont="1" applyFill="1" applyBorder="1" applyAlignment="1">
      <alignment horizontal="center" vertical="center" wrapText="1"/>
    </xf>
    <xf numFmtId="0" fontId="23"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37" fillId="0" borderId="0" xfId="42" applyNumberFormat="1" applyFont="1" applyFill="1" applyBorder="1" applyAlignment="1" applyProtection="1">
      <alignment horizontal="justify" vertical="top" wrapText="1"/>
    </xf>
    <xf numFmtId="0" fontId="12" fillId="0" borderId="5" xfId="97" applyFont="1" applyFill="1" applyBorder="1" applyAlignment="1" applyProtection="1">
      <alignment horizontal="right" vertical="center" wrapText="1" indent="1"/>
    </xf>
    <xf numFmtId="0" fontId="12" fillId="0" borderId="6" xfId="97" applyFont="1" applyFill="1" applyBorder="1" applyAlignment="1" applyProtection="1">
      <alignment horizontal="right" vertical="center" wrapText="1" indent="1"/>
    </xf>
    <xf numFmtId="0" fontId="12" fillId="0" borderId="8" xfId="97" applyFont="1" applyFill="1" applyBorder="1" applyAlignment="1" applyProtection="1">
      <alignment horizontal="right" vertical="center" wrapText="1" indent="1"/>
    </xf>
    <xf numFmtId="0" fontId="12" fillId="0" borderId="30" xfId="97" applyFont="1" applyBorder="1" applyAlignment="1">
      <alignment horizontal="right" vertical="center" wrapText="1" indent="1"/>
    </xf>
    <xf numFmtId="0" fontId="12" fillId="0" borderId="30" xfId="97" applyFont="1" applyFill="1" applyBorder="1" applyAlignment="1" applyProtection="1">
      <alignment horizontal="right" vertical="center" wrapText="1" indent="1"/>
    </xf>
    <xf numFmtId="0" fontId="12" fillId="0" borderId="30" xfId="98" applyFont="1" applyBorder="1" applyAlignment="1">
      <alignment horizontal="center" vertical="center" textRotation="90" wrapText="1"/>
    </xf>
    <xf numFmtId="49" fontId="87" fillId="0" borderId="0" xfId="97" applyNumberFormat="1" applyFont="1" applyBorder="1" applyAlignment="1">
      <alignment horizontal="center" vertical="center"/>
    </xf>
    <xf numFmtId="0" fontId="63" fillId="0" borderId="0" xfId="106" applyFont="1" applyAlignment="1">
      <alignment vertical="center"/>
    </xf>
    <xf numFmtId="49" fontId="12" fillId="0" borderId="0" xfId="105" applyNumberFormat="1" applyFont="1" applyAlignment="1">
      <alignment horizontal="center"/>
    </xf>
    <xf numFmtId="49" fontId="9" fillId="2" borderId="31" xfId="49" applyNumberFormat="1" applyFill="1" applyBorder="1" applyAlignment="1" applyProtection="1">
      <alignment horizontal="left" vertical="center" wrapText="1"/>
      <protection locked="0"/>
    </xf>
    <xf numFmtId="49" fontId="9" fillId="2" borderId="32" xfId="49" applyNumberFormat="1" applyFill="1" applyBorder="1" applyAlignment="1" applyProtection="1">
      <alignment horizontal="left" vertical="center" wrapText="1"/>
      <protection locked="0"/>
    </xf>
    <xf numFmtId="49" fontId="9" fillId="2" borderId="33" xfId="49" applyNumberForma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89" fillId="0" borderId="0" xfId="0" applyFont="1" applyAlignment="1">
      <alignment horizontal="center" vertical="top" wrapText="1"/>
    </xf>
    <xf numFmtId="0" fontId="9" fillId="0" borderId="31" xfId="106" applyFont="1" applyBorder="1" applyAlignment="1">
      <alignment horizontal="right" vertical="center" wrapText="1" indent="1"/>
    </xf>
    <xf numFmtId="0" fontId="9" fillId="0" borderId="33" xfId="106" applyFont="1" applyBorder="1" applyAlignment="1">
      <alignment horizontal="right" vertical="center" wrapText="1" indent="1"/>
    </xf>
    <xf numFmtId="0" fontId="9" fillId="0" borderId="64" xfId="106" applyFont="1" applyBorder="1" applyAlignment="1">
      <alignment horizontal="right" vertical="center" wrapText="1" indent="1"/>
    </xf>
    <xf numFmtId="0" fontId="9" fillId="0" borderId="54" xfId="106" applyFont="1" applyBorder="1" applyAlignment="1">
      <alignment horizontal="right" vertical="center" wrapText="1" indent="1"/>
    </xf>
    <xf numFmtId="0" fontId="9" fillId="0" borderId="31" xfId="106" applyFont="1" applyBorder="1" applyAlignment="1">
      <alignment horizontal="right" vertical="center" wrapText="1"/>
    </xf>
    <xf numFmtId="0" fontId="9" fillId="0" borderId="33" xfId="106" applyFont="1" applyBorder="1" applyAlignment="1">
      <alignment horizontal="right" vertical="center" wrapText="1"/>
    </xf>
    <xf numFmtId="0" fontId="9" fillId="0" borderId="62" xfId="106" applyFont="1" applyBorder="1" applyAlignment="1">
      <alignment horizontal="right" vertical="center" wrapText="1" indent="1"/>
    </xf>
    <xf numFmtId="0" fontId="9" fillId="0" borderId="63" xfId="106" applyFont="1" applyBorder="1" applyAlignment="1">
      <alignment horizontal="right" vertical="center" wrapText="1" indent="1"/>
    </xf>
    <xf numFmtId="0" fontId="9" fillId="11" borderId="7" xfId="98" applyNumberFormat="1" applyFont="1" applyFill="1" applyBorder="1" applyAlignment="1" applyProtection="1">
      <alignment horizontal="left" vertical="center" wrapText="1"/>
      <protection locked="0"/>
    </xf>
    <xf numFmtId="49" fontId="9" fillId="9" borderId="0" xfId="102" applyNumberFormat="1" applyFont="1" applyFill="1" applyBorder="1" applyAlignment="1">
      <alignment horizontal="center" vertical="center" wrapText="1"/>
    </xf>
    <xf numFmtId="49" fontId="9" fillId="9" borderId="0" xfId="102" applyNumberFormat="1" applyFont="1" applyFill="1" applyAlignment="1">
      <alignment horizontal="center" vertical="center" wrapText="1"/>
    </xf>
    <xf numFmtId="0" fontId="11" fillId="0" borderId="9" xfId="99" quotePrefix="1" applyNumberFormat="1" applyFont="1" applyFill="1" applyBorder="1" applyAlignment="1">
      <alignment horizontal="left" vertical="center" wrapText="1" indent="1"/>
    </xf>
    <xf numFmtId="0" fontId="11" fillId="0" borderId="9" xfId="99" applyNumberFormat="1" applyFont="1" applyFill="1" applyBorder="1" applyAlignment="1">
      <alignment horizontal="left" vertical="center" wrapText="1" indent="1"/>
    </xf>
    <xf numFmtId="0" fontId="11" fillId="0" borderId="9" xfId="99" quotePrefix="1" applyNumberFormat="1" applyFont="1" applyFill="1" applyBorder="1" applyAlignment="1" applyProtection="1">
      <alignment horizontal="left" vertical="center" wrapText="1" indent="1"/>
    </xf>
    <xf numFmtId="0" fontId="11" fillId="0" borderId="9" xfId="99" applyNumberFormat="1" applyFont="1" applyFill="1" applyBorder="1" applyAlignment="1" applyProtection="1">
      <alignment horizontal="left" vertical="center" wrapText="1" indent="1"/>
    </xf>
    <xf numFmtId="0" fontId="63" fillId="0" borderId="45" xfId="98" applyFont="1" applyFill="1" applyBorder="1" applyAlignment="1" applyProtection="1">
      <alignment horizontal="center" vertical="center" wrapText="1"/>
    </xf>
    <xf numFmtId="0" fontId="63" fillId="0" borderId="46" xfId="98" applyFont="1" applyFill="1" applyBorder="1" applyAlignment="1" applyProtection="1">
      <alignment horizontal="center" vertical="center" wrapText="1"/>
    </xf>
    <xf numFmtId="0" fontId="23" fillId="0" borderId="0" xfId="110" applyFont="1" applyFill="1" applyAlignment="1">
      <alignment horizontal="left" vertical="center" indent="1"/>
    </xf>
    <xf numFmtId="0" fontId="97" fillId="0" borderId="7" xfId="110" applyFont="1" applyFill="1" applyBorder="1" applyAlignment="1">
      <alignment horizontal="center" vertical="center"/>
    </xf>
    <xf numFmtId="0" fontId="23" fillId="0" borderId="7" xfId="110" applyFont="1" applyFill="1" applyBorder="1" applyAlignment="1">
      <alignment vertical="center"/>
    </xf>
    <xf numFmtId="0" fontId="23" fillId="0" borderId="7" xfId="110" applyFont="1" applyFill="1" applyBorder="1" applyAlignment="1">
      <alignment vertical="center" wrapText="1"/>
    </xf>
    <xf numFmtId="0" fontId="12" fillId="0" borderId="0" xfId="97" applyFont="1" applyFill="1" applyAlignment="1" applyProtection="1">
      <alignment vertical="center"/>
    </xf>
    <xf numFmtId="0" fontId="12" fillId="0" borderId="0" xfId="97" applyFont="1" applyFill="1" applyAlignment="1">
      <alignment vertical="center"/>
    </xf>
    <xf numFmtId="0" fontId="12" fillId="0" borderId="7" xfId="97" applyFont="1" applyFill="1" applyBorder="1" applyAlignment="1" applyProtection="1">
      <alignment horizontal="left" vertical="center" wrapText="1" indent="1"/>
    </xf>
    <xf numFmtId="0" fontId="12" fillId="0" borderId="7" xfId="97" applyNumberFormat="1" applyFont="1" applyFill="1" applyBorder="1" applyAlignment="1" applyProtection="1">
      <alignment horizontal="left" vertical="center" wrapText="1" indent="1"/>
      <protection locked="0"/>
    </xf>
    <xf numFmtId="0" fontId="12" fillId="0" borderId="0" xfId="97" applyFont="1" applyFill="1" applyAlignment="1">
      <alignment vertical="center" wrapText="1"/>
    </xf>
    <xf numFmtId="49" fontId="65" fillId="0" borderId="30" xfId="98" applyNumberFormat="1" applyFont="1" applyFill="1" applyBorder="1" applyAlignment="1">
      <alignment horizontal="center" vertical="center" wrapText="1"/>
    </xf>
    <xf numFmtId="0" fontId="66" fillId="0" borderId="0" xfId="97" applyFont="1" applyFill="1" applyAlignment="1">
      <alignment vertical="center"/>
    </xf>
    <xf numFmtId="0" fontId="66" fillId="0" borderId="30" xfId="97" applyFont="1" applyFill="1" applyBorder="1" applyAlignment="1" applyProtection="1">
      <alignment horizontal="center" vertical="center"/>
      <protection locked="0"/>
    </xf>
    <xf numFmtId="0" fontId="66" fillId="0" borderId="30" xfId="97" applyFont="1" applyFill="1" applyBorder="1" applyAlignment="1">
      <alignment horizontal="center" vertical="center"/>
    </xf>
    <xf numFmtId="0" fontId="67" fillId="0" borderId="0" xfId="97" applyFont="1" applyFill="1" applyAlignment="1">
      <alignment vertical="center"/>
    </xf>
    <xf numFmtId="0" fontId="65" fillId="0" borderId="30" xfId="98" applyNumberFormat="1" applyFont="1" applyFill="1" applyBorder="1" applyAlignment="1">
      <alignment horizontal="center" vertical="center" wrapText="1"/>
    </xf>
    <xf numFmtId="0" fontId="66" fillId="0" borderId="30" xfId="98" applyNumberFormat="1" applyFont="1" applyFill="1" applyBorder="1" applyAlignment="1">
      <alignment horizontal="center" vertical="center" wrapText="1"/>
    </xf>
    <xf numFmtId="0" fontId="68" fillId="0" borderId="0" xfId="97" applyFont="1" applyFill="1" applyAlignment="1">
      <alignment vertical="center"/>
    </xf>
    <xf numFmtId="0" fontId="12" fillId="0" borderId="31" xfId="97" applyFont="1" applyFill="1" applyBorder="1" applyAlignment="1">
      <alignment vertical="center"/>
    </xf>
    <xf numFmtId="0" fontId="12" fillId="0" borderId="32" xfId="98" applyFont="1" applyFill="1" applyBorder="1" applyAlignment="1">
      <alignment vertical="center"/>
    </xf>
    <xf numFmtId="0" fontId="12" fillId="0" borderId="33" xfId="98" applyFont="1" applyFill="1" applyBorder="1" applyAlignment="1">
      <alignment vertical="center"/>
    </xf>
    <xf numFmtId="0" fontId="68" fillId="0" borderId="0" xfId="97" applyFont="1" applyFill="1" applyAlignment="1">
      <alignment horizontal="center" vertical="center"/>
    </xf>
    <xf numFmtId="0" fontId="66" fillId="0" borderId="0" xfId="97" applyFont="1" applyFill="1" applyAlignment="1">
      <alignment horizontal="center" vertical="center"/>
    </xf>
    <xf numFmtId="0" fontId="12" fillId="0" borderId="0" xfId="97" applyFont="1" applyFill="1" applyAlignment="1">
      <alignment horizontal="center" vertical="center"/>
    </xf>
    <xf numFmtId="0" fontId="12" fillId="0" borderId="0" xfId="97" applyFont="1" applyFill="1" applyAlignment="1">
      <alignment horizontal="center" vertical="center"/>
    </xf>
    <xf numFmtId="49" fontId="66" fillId="0" borderId="30" xfId="98" applyNumberFormat="1" applyFont="1" applyFill="1" applyBorder="1" applyAlignment="1">
      <alignment horizontal="left" vertical="center" wrapText="1" indent="4"/>
    </xf>
    <xf numFmtId="0" fontId="67" fillId="0" borderId="0" xfId="97" applyFont="1" applyFill="1" applyAlignment="1">
      <alignment horizontal="left" vertical="center" wrapText="1"/>
    </xf>
    <xf numFmtId="0" fontId="12" fillId="0" borderId="0" xfId="97" applyFont="1" applyFill="1" applyAlignment="1">
      <alignment horizontal="left" vertical="center" wrapText="1"/>
    </xf>
    <xf numFmtId="0" fontId="12" fillId="0" borderId="30" xfId="97" applyFont="1" applyFill="1" applyBorder="1" applyAlignment="1">
      <alignment horizontal="right" vertical="center" wrapText="1" indent="1"/>
    </xf>
    <xf numFmtId="0" fontId="12" fillId="0" borderId="30" xfId="97" applyFont="1" applyFill="1" applyBorder="1" applyAlignment="1" applyProtection="1">
      <alignment horizontal="left" vertical="center" wrapText="1" indent="1"/>
    </xf>
    <xf numFmtId="0" fontId="67" fillId="0" borderId="0" xfId="97" applyFont="1" applyFill="1" applyAlignment="1">
      <alignment vertical="center" wrapText="1"/>
    </xf>
    <xf numFmtId="49" fontId="12" fillId="0" borderId="30" xfId="97" applyNumberFormat="1" applyFont="1" applyFill="1" applyBorder="1" applyAlignment="1" applyProtection="1">
      <alignment horizontal="left" vertical="center" wrapText="1" indent="1"/>
      <protection locked="0"/>
    </xf>
    <xf numFmtId="49" fontId="12" fillId="0" borderId="30" xfId="97" applyNumberFormat="1" applyFont="1" applyFill="1" applyBorder="1" applyAlignment="1" applyProtection="1">
      <alignment horizontal="left" vertical="center" wrapText="1" indent="1"/>
    </xf>
    <xf numFmtId="49" fontId="12" fillId="0" borderId="30" xfId="97" applyNumberFormat="1" applyFont="1" applyFill="1" applyBorder="1" applyAlignment="1">
      <alignment horizontal="left" vertical="center" wrapText="1" indent="1"/>
    </xf>
    <xf numFmtId="0" fontId="12" fillId="0" borderId="30" xfId="97" applyNumberFormat="1" applyFont="1" applyFill="1" applyBorder="1" applyAlignment="1" applyProtection="1">
      <alignment horizontal="left" vertical="center" wrapText="1" indent="1"/>
      <protection locked="0"/>
    </xf>
    <xf numFmtId="0" fontId="12" fillId="0" borderId="30" xfId="97" applyFont="1" applyFill="1" applyBorder="1" applyAlignment="1" applyProtection="1">
      <alignment horizontal="left" vertical="center" wrapText="1" indent="1"/>
      <protection locked="0"/>
    </xf>
    <xf numFmtId="0" fontId="98" fillId="0" borderId="30" xfId="31" applyFill="1" applyBorder="1" applyAlignment="1" applyProtection="1">
      <alignment horizontal="left" vertical="center" wrapText="1" indent="1"/>
      <protection locked="0"/>
    </xf>
    <xf numFmtId="0" fontId="12" fillId="0" borderId="30" xfId="97"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protection locked="0"/>
    </xf>
    <xf numFmtId="49" fontId="70" fillId="0" borderId="30" xfId="98" applyNumberFormat="1" applyFont="1" applyFill="1" applyBorder="1" applyAlignment="1" applyProtection="1">
      <alignment horizontal="left" vertical="center" wrapText="1" indent="1"/>
    </xf>
    <xf numFmtId="49" fontId="98" fillId="0" borderId="30" xfId="31" applyNumberFormat="1" applyFill="1" applyBorder="1" applyAlignment="1" applyProtection="1">
      <alignment horizontal="left" vertical="center" wrapText="1" indent="1"/>
    </xf>
    <xf numFmtId="0" fontId="69" fillId="0" borderId="0" xfId="97" applyFont="1" applyFill="1" applyAlignment="1">
      <alignment vertical="center"/>
    </xf>
    <xf numFmtId="0" fontId="12" fillId="0" borderId="30" xfId="98" applyFont="1" applyFill="1" applyBorder="1" applyAlignment="1">
      <alignment horizontal="center" vertical="center" textRotation="90" wrapText="1"/>
    </xf>
    <xf numFmtId="49" fontId="9" fillId="0" borderId="30" xfId="49" applyNumberForma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xf>
    <xf numFmtId="14" fontId="70" fillId="0" borderId="30" xfId="98" applyNumberFormat="1" applyFont="1" applyFill="1" applyBorder="1" applyAlignment="1" applyProtection="1">
      <alignment horizontal="left" vertical="center" wrapText="1" indent="1"/>
    </xf>
    <xf numFmtId="49" fontId="9" fillId="0" borderId="30" xfId="49" applyNumberFormat="1" applyFill="1" applyBorder="1" applyAlignment="1" applyProtection="1">
      <alignment horizontal="left" vertical="center" wrapText="1" indent="1"/>
      <protection locked="0"/>
    </xf>
    <xf numFmtId="0" fontId="12" fillId="0" borderId="0" xfId="97" applyFont="1" applyFill="1" applyAlignment="1">
      <alignment horizontal="center" vertical="center" wrapText="1"/>
    </xf>
    <xf numFmtId="0" fontId="66" fillId="0" borderId="0" xfId="97" applyFont="1" applyFill="1" applyAlignment="1">
      <alignment vertical="center" wrapText="1"/>
    </xf>
    <xf numFmtId="0" fontId="12" fillId="0" borderId="30" xfId="97" applyFont="1" applyFill="1" applyBorder="1" applyAlignment="1">
      <alignment vertical="center" wrapText="1"/>
    </xf>
    <xf numFmtId="0" fontId="65" fillId="0" borderId="45" xfId="98" applyFont="1" applyFill="1" applyBorder="1" applyAlignment="1">
      <alignment horizontal="left" vertical="center" wrapText="1" indent="4"/>
    </xf>
    <xf numFmtId="0" fontId="65" fillId="0" borderId="30" xfId="98" applyFont="1" applyFill="1" applyBorder="1" applyAlignment="1">
      <alignment horizontal="left" vertical="center" wrapText="1" indent="4"/>
    </xf>
    <xf numFmtId="0" fontId="12" fillId="0" borderId="7" xfId="97" applyFont="1" applyFill="1" applyBorder="1" applyAlignment="1">
      <alignment horizontal="right" vertical="center" wrapText="1" indent="1"/>
    </xf>
    <xf numFmtId="0" fontId="70" fillId="0" borderId="7" xfId="98" applyFont="1" applyFill="1" applyBorder="1" applyAlignment="1">
      <alignment horizontal="right" vertical="center" wrapText="1" indent="1"/>
    </xf>
    <xf numFmtId="49" fontId="12" fillId="0" borderId="33" xfId="97" applyNumberFormat="1" applyFont="1" applyFill="1" applyBorder="1" applyAlignment="1">
      <alignment horizontal="right" vertical="center" wrapText="1" indent="1"/>
    </xf>
    <xf numFmtId="0" fontId="70" fillId="0" borderId="30" xfId="98" applyFon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protection locked="0"/>
    </xf>
    <xf numFmtId="49" fontId="0" fillId="0" borderId="30" xfId="49" applyNumberFormat="1" applyFont="1" applyFill="1" applyBorder="1" applyAlignment="1" applyProtection="1">
      <alignment horizontal="left" vertical="center" wrapText="1" indent="1"/>
      <protection locked="0"/>
    </xf>
    <xf numFmtId="14" fontId="70" fillId="0" borderId="30" xfId="98" applyNumberFormat="1" applyFont="1" applyFill="1" applyBorder="1" applyAlignment="1" applyProtection="1">
      <alignment horizontal="left" vertical="center" wrapText="1" indent="1"/>
      <protection locked="0"/>
    </xf>
    <xf numFmtId="49" fontId="12" fillId="0" borderId="0" xfId="97" applyNumberFormat="1" applyFont="1" applyFill="1" applyBorder="1" applyAlignment="1">
      <alignment horizontal="center" vertical="center"/>
    </xf>
    <xf numFmtId="0" fontId="12" fillId="0" borderId="7" xfId="97" applyFont="1" applyFill="1" applyBorder="1" applyAlignment="1" applyProtection="1">
      <alignment horizontal="right" vertical="center" wrapText="1" indent="1"/>
      <protection locked="0"/>
    </xf>
    <xf numFmtId="0" fontId="70" fillId="0" borderId="7" xfId="98" applyFont="1" applyFill="1" applyBorder="1" applyAlignment="1" applyProtection="1">
      <alignment horizontal="right" vertical="center" wrapText="1" indent="1"/>
      <protection locked="0"/>
    </xf>
    <xf numFmtId="0" fontId="66" fillId="0" borderId="33" xfId="97" applyFont="1" applyFill="1" applyBorder="1" applyAlignment="1">
      <alignment horizontal="right" vertical="center" wrapText="1" indent="1"/>
    </xf>
    <xf numFmtId="0" fontId="65" fillId="0" borderId="30" xfId="98" applyFont="1" applyFill="1" applyBorder="1" applyAlignment="1">
      <alignment horizontal="left" vertical="center" wrapText="1" indent="1"/>
    </xf>
    <xf numFmtId="49" fontId="12" fillId="0" borderId="0" xfId="97" applyNumberFormat="1" applyFont="1" applyFill="1" applyAlignment="1">
      <alignment vertical="center"/>
    </xf>
    <xf numFmtId="0" fontId="100" fillId="0" borderId="0" xfId="97" applyFont="1" applyFill="1" applyAlignment="1">
      <alignment vertical="center"/>
    </xf>
    <xf numFmtId="49" fontId="12" fillId="0" borderId="0" xfId="97" applyNumberFormat="1" applyFont="1" applyFill="1" applyBorder="1" applyAlignment="1">
      <alignment horizontal="center" vertical="center"/>
    </xf>
    <xf numFmtId="0" fontId="66" fillId="0" borderId="30" xfId="97" applyNumberFormat="1" applyFont="1" applyFill="1" applyBorder="1" applyAlignment="1">
      <alignment horizontal="right" vertical="center" wrapText="1" indent="1"/>
    </xf>
    <xf numFmtId="0" fontId="65" fillId="0" borderId="30" xfId="98" applyNumberFormat="1" applyFont="1" applyFill="1" applyBorder="1" applyAlignment="1" applyProtection="1">
      <alignment horizontal="left" vertical="center" wrapText="1" indent="1"/>
    </xf>
    <xf numFmtId="49" fontId="89" fillId="0" borderId="0" xfId="0" applyFont="1" applyFill="1" applyAlignment="1">
      <alignment horizontal="center" vertical="center" wrapText="1"/>
    </xf>
    <xf numFmtId="49" fontId="87" fillId="0" borderId="0" xfId="97" applyNumberFormat="1" applyFont="1" applyFill="1" applyBorder="1" applyAlignment="1">
      <alignment horizontal="center" vertical="center"/>
    </xf>
    <xf numFmtId="49" fontId="12" fillId="0" borderId="30"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protection locked="0"/>
    </xf>
    <xf numFmtId="0" fontId="12" fillId="0" borderId="30"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xf>
    <xf numFmtId="0" fontId="0" fillId="0" borderId="30" xfId="49" applyNumberFormat="1" applyFon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indent="1"/>
      <protection locked="0"/>
    </xf>
    <xf numFmtId="4" fontId="70" fillId="0" borderId="30" xfId="98" applyNumberFormat="1" applyFont="1" applyFill="1" applyBorder="1" applyAlignment="1" applyProtection="1">
      <alignment horizontal="right" vertical="center" wrapText="1" indent="1"/>
    </xf>
    <xf numFmtId="0" fontId="12" fillId="0" borderId="35" xfId="97" applyFont="1" applyFill="1" applyBorder="1" applyAlignment="1">
      <alignment horizontal="right" vertical="center" wrapText="1" indent="1"/>
    </xf>
    <xf numFmtId="0" fontId="12" fillId="0" borderId="36" xfId="97" applyFont="1" applyFill="1" applyBorder="1" applyAlignment="1">
      <alignment horizontal="right" vertical="center" wrapText="1" indent="1"/>
    </xf>
    <xf numFmtId="0" fontId="12" fillId="0" borderId="30" xfId="97" applyFont="1" applyFill="1" applyBorder="1" applyAlignment="1" applyProtection="1">
      <alignment horizontal="left" vertical="center" indent="1"/>
    </xf>
    <xf numFmtId="0" fontId="12" fillId="0" borderId="37" xfId="97" applyFont="1" applyFill="1" applyBorder="1" applyAlignment="1">
      <alignment horizontal="right" vertical="center" wrapText="1" indent="1"/>
    </xf>
    <xf numFmtId="0" fontId="12" fillId="0" borderId="38" xfId="97" applyFont="1" applyFill="1" applyBorder="1" applyAlignment="1">
      <alignment horizontal="right" vertical="center" wrapText="1" indent="1"/>
    </xf>
    <xf numFmtId="0" fontId="12" fillId="0" borderId="31" xfId="97" applyFont="1" applyFill="1" applyBorder="1" applyAlignment="1">
      <alignment horizontal="right" vertical="center" wrapText="1" indent="1"/>
    </xf>
    <xf numFmtId="0" fontId="12" fillId="0" borderId="32" xfId="97" applyFont="1" applyFill="1" applyBorder="1" applyAlignment="1">
      <alignment horizontal="right" vertical="center" wrapText="1" indent="1"/>
    </xf>
    <xf numFmtId="0" fontId="12" fillId="0" borderId="33" xfId="97" applyFont="1" applyFill="1" applyBorder="1" applyAlignment="1">
      <alignment horizontal="right" vertical="center" wrapText="1" indent="1"/>
    </xf>
    <xf numFmtId="49" fontId="28" fillId="0" borderId="0" xfId="99" applyFont="1" applyFill="1" applyAlignment="1">
      <alignment vertical="center" wrapText="1"/>
    </xf>
    <xf numFmtId="49" fontId="9" fillId="0" borderId="0" xfId="99" applyFill="1" applyAlignment="1">
      <alignment vertical="center" wrapText="1"/>
    </xf>
    <xf numFmtId="49" fontId="9" fillId="0" borderId="0" xfId="99" applyFill="1">
      <alignment vertical="top"/>
    </xf>
    <xf numFmtId="49" fontId="23" fillId="0" borderId="0" xfId="99" applyFont="1" applyFill="1" applyBorder="1" applyAlignment="1">
      <alignment horizontal="right" vertical="center" wrapText="1"/>
    </xf>
    <xf numFmtId="0" fontId="9" fillId="0" borderId="0" xfId="99" applyNumberFormat="1" applyFont="1" applyFill="1" applyBorder="1" applyAlignment="1">
      <alignment horizontal="left" vertical="center"/>
    </xf>
    <xf numFmtId="49" fontId="11" fillId="0" borderId="0" xfId="99" applyFont="1" applyFill="1" applyBorder="1" applyAlignment="1">
      <alignment vertical="center" wrapText="1"/>
    </xf>
    <xf numFmtId="49" fontId="9" fillId="0" borderId="0" xfId="99" applyFill="1" applyBorder="1" applyAlignment="1">
      <alignment horizontal="left" vertical="center" wrapText="1"/>
    </xf>
    <xf numFmtId="49" fontId="0" fillId="0" borderId="0" xfId="99" applyFont="1" applyFill="1" applyAlignment="1">
      <alignment vertical="center" wrapText="1"/>
    </xf>
    <xf numFmtId="0" fontId="9" fillId="0" borderId="39" xfId="99" applyNumberFormat="1" applyFill="1" applyBorder="1" applyAlignment="1">
      <alignment horizontal="center" vertical="center" wrapText="1"/>
    </xf>
    <xf numFmtId="0" fontId="9" fillId="0" borderId="40" xfId="99" applyNumberFormat="1" applyFill="1" applyBorder="1" applyAlignment="1">
      <alignment horizontal="center" vertical="center" wrapText="1"/>
    </xf>
    <xf numFmtId="0" fontId="9" fillId="0" borderId="41" xfId="99" applyNumberFormat="1" applyFill="1" applyBorder="1" applyAlignment="1">
      <alignment horizontal="center" vertical="center" wrapText="1"/>
    </xf>
    <xf numFmtId="49" fontId="9" fillId="0" borderId="0" xfId="99" applyNumberFormat="1" applyFont="1" applyFill="1" applyAlignment="1">
      <alignment vertical="center"/>
    </xf>
    <xf numFmtId="49" fontId="10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9" fillId="0" borderId="0" xfId="99" applyNumberFormat="1" applyFont="1" applyFill="1" applyAlignment="1">
      <alignment vertical="center"/>
    </xf>
    <xf numFmtId="49" fontId="27"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9" fillId="0" borderId="42" xfId="99" applyFill="1" applyBorder="1" applyAlignment="1">
      <alignment horizontal="center" vertical="center" wrapText="1"/>
    </xf>
    <xf numFmtId="49" fontId="9" fillId="0" borderId="43" xfId="99" applyFill="1" applyBorder="1" applyAlignment="1" applyProtection="1">
      <alignment horizontal="left" vertical="center" wrapText="1" indent="1"/>
      <protection locked="0"/>
    </xf>
    <xf numFmtId="49" fontId="9" fillId="0" borderId="43" xfId="99" applyFill="1" applyBorder="1" applyAlignment="1" applyProtection="1">
      <alignment horizontal="left" vertical="center" wrapText="1" indent="1"/>
    </xf>
    <xf numFmtId="49" fontId="9" fillId="0" borderId="44" xfId="99" applyFill="1" applyBorder="1" applyAlignment="1" applyProtection="1">
      <alignment horizontal="left" vertical="center" wrapText="1" indent="1"/>
      <protection locked="0"/>
    </xf>
    <xf numFmtId="49" fontId="9" fillId="0" borderId="0" xfId="99" applyFill="1" applyBorder="1" applyAlignment="1">
      <alignment horizontal="right" vertical="center" wrapText="1"/>
    </xf>
    <xf numFmtId="49" fontId="9" fillId="0" borderId="0" xfId="99" applyFill="1" applyBorder="1" applyAlignment="1">
      <alignment vertical="center" wrapText="1"/>
    </xf>
    <xf numFmtId="49" fontId="11" fillId="0" borderId="0" xfId="99" applyFont="1" applyFill="1" applyBorder="1" applyAlignment="1">
      <alignment horizontal="center" vertical="center" wrapText="1" shrinkToFit="1"/>
    </xf>
    <xf numFmtId="49" fontId="11" fillId="0" borderId="0" xfId="99" applyFont="1" applyFill="1" applyBorder="1" applyAlignment="1">
      <alignment horizontal="center" vertical="center" wrapText="1" shrinkToFit="1"/>
    </xf>
    <xf numFmtId="49" fontId="9" fillId="0" borderId="30" xfId="101" applyNumberFormat="1" applyFont="1" applyFill="1" applyBorder="1" applyAlignment="1">
      <alignment horizontal="center" vertical="center" wrapText="1"/>
    </xf>
    <xf numFmtId="0" fontId="9"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8"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9" fillId="0" borderId="33" xfId="98" applyNumberFormat="1" applyFont="1" applyFill="1" applyBorder="1" applyAlignment="1">
      <alignment vertical="center" wrapText="1"/>
    </xf>
    <xf numFmtId="49" fontId="9" fillId="0" borderId="30" xfId="49" applyNumberFormat="1" applyFill="1" applyBorder="1" applyAlignment="1">
      <alignment horizontal="center" vertical="center"/>
    </xf>
    <xf numFmtId="3" fontId="9" fillId="0" borderId="30" xfId="49" applyNumberFormat="1" applyFill="1" applyBorder="1" applyAlignment="1" applyProtection="1">
      <alignment horizontal="right" vertical="center"/>
      <protection locked="0"/>
    </xf>
    <xf numFmtId="3" fontId="9" fillId="0" borderId="30" xfId="98" applyNumberFormat="1" applyFont="1" applyFill="1" applyBorder="1" applyAlignment="1" applyProtection="1">
      <alignment horizontal="right" vertical="center"/>
      <protection locked="0"/>
    </xf>
    <xf numFmtId="49" fontId="9" fillId="0" borderId="7" xfId="98" applyNumberFormat="1" applyFont="1" applyFill="1" applyBorder="1" applyAlignment="1" applyProtection="1">
      <alignment horizontal="left" vertical="center" wrapText="1"/>
      <protection locked="0"/>
    </xf>
    <xf numFmtId="4" fontId="9" fillId="0" borderId="30" xfId="49" applyNumberFormat="1" applyFill="1" applyBorder="1" applyAlignment="1" applyProtection="1">
      <alignment horizontal="right" vertical="center"/>
      <protection locked="0"/>
    </xf>
    <xf numFmtId="4" fontId="9" fillId="0" borderId="30" xfId="98" applyNumberFormat="1" applyFont="1" applyFill="1" applyBorder="1" applyAlignment="1" applyProtection="1">
      <alignment horizontal="right" vertical="center"/>
      <protection locked="0"/>
    </xf>
    <xf numFmtId="49" fontId="9" fillId="0" borderId="31" xfId="49" applyNumberFormat="1" applyFill="1" applyBorder="1" applyAlignment="1" applyProtection="1">
      <alignment horizontal="left" vertical="center" wrapText="1"/>
      <protection locked="0"/>
    </xf>
    <xf numFmtId="49" fontId="9" fillId="0" borderId="32" xfId="49" applyNumberFormat="1" applyFill="1" applyBorder="1" applyAlignment="1" applyProtection="1">
      <alignment horizontal="left" vertical="center" wrapText="1"/>
      <protection locked="0"/>
    </xf>
    <xf numFmtId="49" fontId="9" fillId="0" borderId="33" xfId="49" applyNumberFormat="1" applyFill="1" applyBorder="1" applyAlignment="1" applyProtection="1">
      <alignment horizontal="left" vertical="center" wrapText="1"/>
      <protection locked="0"/>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59"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9" fillId="0" borderId="0" xfId="98" applyFont="1" applyFill="1" applyAlignment="1"/>
    <xf numFmtId="0" fontId="9" fillId="0" borderId="0" xfId="98" applyFont="1" applyFill="1"/>
    <xf numFmtId="0" fontId="9" fillId="0" borderId="7" xfId="98" applyFont="1" applyFill="1" applyBorder="1" applyAlignment="1">
      <alignment horizontal="center" vertical="center"/>
    </xf>
    <xf numFmtId="49" fontId="0" fillId="0" borderId="7" xfId="98" applyNumberFormat="1" applyFont="1" applyFill="1" applyBorder="1" applyAlignment="1" applyProtection="1">
      <alignment horizontal="left" vertical="center" wrapText="1"/>
      <protection locked="0"/>
    </xf>
    <xf numFmtId="0" fontId="9" fillId="0" borderId="7" xfId="98" applyNumberFormat="1" applyFont="1" applyFill="1" applyBorder="1" applyAlignment="1" applyProtection="1">
      <alignment vertical="center" wrapText="1"/>
      <protection locked="0"/>
    </xf>
    <xf numFmtId="0" fontId="9" fillId="0" borderId="7" xfId="98" applyNumberFormat="1" applyFont="1" applyFill="1" applyBorder="1" applyAlignment="1" applyProtection="1">
      <alignment horizontal="left" vertical="center" wrapText="1"/>
      <protection locked="0"/>
    </xf>
    <xf numFmtId="49" fontId="0" fillId="0" borderId="7" xfId="0" applyFont="1" applyFill="1" applyBorder="1" applyAlignment="1" applyProtection="1">
      <alignment horizontal="center" vertical="center" wrapText="1"/>
      <protection locked="0"/>
    </xf>
    <xf numFmtId="0" fontId="77" fillId="0" borderId="0" xfId="98" applyFont="1" applyFill="1"/>
    <xf numFmtId="0" fontId="63" fillId="0" borderId="0" xfId="97" applyFont="1" applyFill="1"/>
    <xf numFmtId="0" fontId="9" fillId="0" borderId="0" xfId="97" applyFont="1" applyFill="1"/>
    <xf numFmtId="0" fontId="63" fillId="0" borderId="0" xfId="97" applyFont="1" applyFill="1" applyAlignment="1">
      <alignment wrapText="1"/>
    </xf>
    <xf numFmtId="0" fontId="63" fillId="0" borderId="0" xfId="103" applyFont="1" applyFill="1"/>
    <xf numFmtId="0" fontId="13" fillId="0" borderId="0" xfId="102" applyFont="1" applyFill="1"/>
    <xf numFmtId="0" fontId="9" fillId="0" borderId="0" xfId="102" applyFont="1" applyFill="1"/>
    <xf numFmtId="0" fontId="9" fillId="0" borderId="0" xfId="102" applyNumberFormat="1" applyFont="1" applyFill="1" applyAlignment="1">
      <alignment horizontal="left" vertical="center"/>
    </xf>
    <xf numFmtId="0" fontId="13"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3" fillId="0" borderId="0" xfId="102" applyFont="1" applyFill="1" applyAlignment="1">
      <alignment horizontal="center"/>
    </xf>
    <xf numFmtId="0" fontId="9" fillId="0" borderId="0" xfId="102" applyFont="1" applyFill="1" applyAlignment="1">
      <alignment horizontal="center"/>
    </xf>
    <xf numFmtId="0" fontId="9" fillId="0" borderId="0" xfId="102" applyFont="1" applyFill="1" applyAlignment="1">
      <alignment horizontal="center" wrapText="1"/>
    </xf>
    <xf numFmtId="0" fontId="13" fillId="0" borderId="0" xfId="49" applyFont="1" applyFill="1" applyAlignment="1">
      <alignment horizontal="center" vertical="center"/>
    </xf>
    <xf numFmtId="0" fontId="73" fillId="0" borderId="0" xfId="102" applyFont="1" applyFill="1" applyAlignment="1">
      <alignment vertical="center" wrapText="1"/>
    </xf>
    <xf numFmtId="0" fontId="9" fillId="0" borderId="30" xfId="97" applyFont="1" applyFill="1" applyBorder="1" applyAlignment="1">
      <alignment horizontal="center" vertical="center" wrapText="1"/>
    </xf>
    <xf numFmtId="0" fontId="9" fillId="0" borderId="30" xfId="97"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9" fillId="0" borderId="30" xfId="102" applyFont="1" applyFill="1" applyBorder="1" applyAlignment="1">
      <alignment horizontal="center" vertical="center" wrapText="1"/>
    </xf>
    <xf numFmtId="0" fontId="13" fillId="0" borderId="30" xfId="97"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1" fillId="0" borderId="31" xfId="99" applyFont="1" applyFill="1" applyBorder="1" applyAlignment="1">
      <alignment horizontal="left" vertical="center" indent="1"/>
    </xf>
    <xf numFmtId="49" fontId="9" fillId="0" borderId="32" xfId="99" applyFont="1" applyFill="1" applyBorder="1" applyAlignment="1">
      <alignment horizontal="left" vertical="center" indent="1"/>
    </xf>
    <xf numFmtId="49" fontId="71" fillId="0" borderId="32" xfId="99" applyFont="1" applyFill="1" applyBorder="1" applyAlignment="1">
      <alignment horizontal="left" vertical="center" indent="1"/>
    </xf>
    <xf numFmtId="0" fontId="95" fillId="0" borderId="32" xfId="99" applyNumberFormat="1" applyFont="1" applyFill="1" applyBorder="1" applyAlignment="1">
      <alignment horizontal="left" vertical="center" indent="1"/>
    </xf>
    <xf numFmtId="0" fontId="9"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3" fillId="0"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protection locked="0"/>
    </xf>
    <xf numFmtId="169" fontId="71" fillId="0" borderId="32" xfId="99" applyNumberFormat="1" applyFont="1" applyFill="1" applyBorder="1" applyAlignment="1">
      <alignment horizontal="left" vertical="center" indent="1"/>
    </xf>
    <xf numFmtId="49" fontId="71" fillId="0" borderId="32" xfId="99" applyNumberFormat="1" applyFont="1" applyFill="1" applyBorder="1" applyAlignment="1">
      <alignment horizontal="left" vertical="center" indent="1"/>
    </xf>
    <xf numFmtId="172" fontId="71" fillId="0" borderId="32" xfId="99" applyNumberFormat="1" applyFont="1" applyFill="1" applyBorder="1" applyAlignment="1">
      <alignment horizontal="left" vertical="center" indent="1"/>
    </xf>
    <xf numFmtId="169" fontId="71"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9" fillId="0" borderId="30" xfId="97" applyNumberFormat="1" applyFont="1" applyFill="1" applyBorder="1" applyAlignment="1">
      <alignment horizontal="center" vertical="center"/>
    </xf>
    <xf numFmtId="0" fontId="9" fillId="0" borderId="30" xfId="97" applyFont="1" applyFill="1" applyBorder="1" applyAlignment="1">
      <alignment horizontal="left" vertical="center" wrapText="1" indent="1"/>
    </xf>
    <xf numFmtId="0" fontId="9" fillId="0" borderId="30" xfId="97" applyFont="1" applyFill="1" applyBorder="1" applyAlignment="1">
      <alignment horizontal="justify" vertical="center" wrapText="1"/>
    </xf>
    <xf numFmtId="0" fontId="63" fillId="0" borderId="0" xfId="102" applyFont="1" applyFill="1"/>
    <xf numFmtId="49" fontId="9" fillId="0" borderId="30" xfId="102" applyNumberFormat="1" applyFont="1" applyFill="1" applyBorder="1" applyAlignment="1">
      <alignment horizontal="center" vertical="center"/>
    </xf>
    <xf numFmtId="0" fontId="9" fillId="0" borderId="30" xfId="97" applyFont="1" applyFill="1" applyBorder="1" applyAlignment="1">
      <alignment horizontal="left" vertical="center" wrapText="1"/>
    </xf>
    <xf numFmtId="169" fontId="9" fillId="0" borderId="30" xfId="102" applyNumberFormat="1" applyFont="1" applyFill="1" applyBorder="1" applyAlignment="1" applyProtection="1">
      <alignment horizontal="right" vertical="center"/>
      <protection locked="0"/>
    </xf>
    <xf numFmtId="49" fontId="9" fillId="0" borderId="30" xfId="102" applyNumberFormat="1" applyFont="1" applyFill="1" applyBorder="1" applyAlignment="1" applyProtection="1">
      <alignment horizontal="left" vertical="center" wrapText="1"/>
      <protection locked="0"/>
    </xf>
    <xf numFmtId="49" fontId="88" fillId="0" borderId="55" xfId="0" applyFont="1" applyFill="1" applyBorder="1" applyAlignment="1">
      <alignment horizontal="left" vertical="center" wrapText="1" indent="1"/>
    </xf>
    <xf numFmtId="49" fontId="88" fillId="0" borderId="56" xfId="0" applyFont="1" applyFill="1" applyBorder="1" applyAlignment="1">
      <alignment vertical="center" wrapText="1"/>
    </xf>
    <xf numFmtId="0" fontId="63" fillId="0" borderId="0" xfId="102" applyFont="1" applyFill="1" applyAlignment="1">
      <alignment vertical="center"/>
    </xf>
    <xf numFmtId="0" fontId="9" fillId="0" borderId="0" xfId="97" applyFont="1" applyFill="1" applyAlignment="1">
      <alignment vertical="center"/>
    </xf>
    <xf numFmtId="0" fontId="78" fillId="0" borderId="30" xfId="102" applyFont="1" applyFill="1" applyBorder="1" applyAlignment="1">
      <alignment vertical="center" wrapText="1"/>
    </xf>
    <xf numFmtId="0" fontId="63" fillId="0" borderId="7" xfId="102" applyFont="1" applyFill="1" applyBorder="1" applyAlignment="1">
      <alignment horizontal="center" vertical="center" wrapText="1"/>
    </xf>
    <xf numFmtId="0" fontId="9" fillId="0" borderId="38" xfId="102" applyFont="1" applyFill="1" applyBorder="1" applyAlignment="1">
      <alignment horizontal="center" vertical="center" wrapText="1"/>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9" fillId="0" borderId="33"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49" fontId="63" fillId="0" borderId="0" xfId="102" applyNumberFormat="1" applyFont="1" applyFill="1" applyAlignment="1">
      <alignment vertical="center"/>
    </xf>
    <xf numFmtId="0" fontId="0" fillId="0" borderId="58" xfId="0" applyNumberFormat="1" applyFont="1" applyFill="1" applyBorder="1" applyAlignment="1">
      <alignment horizontal="left" vertical="center" indent="1"/>
    </xf>
    <xf numFmtId="49" fontId="63" fillId="0" borderId="7" xfId="102" applyNumberFormat="1" applyFont="1" applyFill="1" applyBorder="1" applyAlignment="1">
      <alignment horizontal="center" vertical="center"/>
    </xf>
    <xf numFmtId="0" fontId="63" fillId="0" borderId="33" xfId="102" applyFont="1" applyFill="1" applyBorder="1" applyAlignment="1">
      <alignment vertical="center" wrapTex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3" xfId="102" applyFont="1" applyFill="1" applyBorder="1" applyAlignment="1">
      <alignment vertical="center"/>
    </xf>
    <xf numFmtId="169" fontId="63" fillId="0" borderId="30" xfId="102" applyNumberFormat="1" applyFont="1" applyFill="1" applyBorder="1" applyAlignment="1" applyProtection="1">
      <alignment horizontal="right" vertical="center"/>
      <protection locked="0"/>
    </xf>
    <xf numFmtId="0" fontId="9" fillId="0" borderId="30" xfId="97" applyFont="1" applyFill="1" applyBorder="1" applyAlignment="1">
      <alignment vertical="center" wrapText="1"/>
    </xf>
    <xf numFmtId="169" fontId="9" fillId="0" borderId="30" xfId="102" applyNumberFormat="1" applyFont="1" applyFill="1" applyBorder="1" applyAlignment="1">
      <alignment horizontal="right" vertical="center"/>
    </xf>
    <xf numFmtId="0" fontId="9" fillId="0" borderId="33" xfId="102" applyFont="1" applyFill="1" applyBorder="1" applyAlignment="1">
      <alignment horizontal="left" vertical="center" wrapText="1" indent="1"/>
    </xf>
    <xf numFmtId="0" fontId="9" fillId="0" borderId="30" xfId="97" applyFont="1" applyFill="1" applyBorder="1" applyAlignment="1">
      <alignment horizontal="left" vertical="center" wrapText="1" indent="2"/>
    </xf>
    <xf numFmtId="0" fontId="63" fillId="0" borderId="30" xfId="102" applyFont="1" applyFill="1" applyBorder="1" applyAlignment="1">
      <alignment horizontal="left" vertical="center" wrapText="1" indent="3"/>
    </xf>
    <xf numFmtId="0" fontId="9" fillId="0" borderId="32" xfId="97" applyFont="1" applyFill="1" applyBorder="1" applyAlignment="1">
      <alignment horizontal="left" vertical="center" wrapText="1" indent="1"/>
    </xf>
    <xf numFmtId="0" fontId="9" fillId="0" borderId="0" xfId="97" applyFont="1" applyFill="1" applyAlignment="1">
      <alignment horizontal="right" vertical="center" wrapText="1" indent="1"/>
    </xf>
    <xf numFmtId="4" fontId="9"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0" fontId="78" fillId="0" borderId="46" xfId="102" applyFont="1" applyFill="1" applyBorder="1" applyAlignment="1">
      <alignment vertical="center" wrapText="1"/>
    </xf>
    <xf numFmtId="0" fontId="9" fillId="0" borderId="43" xfId="102" applyFont="1" applyFill="1" applyBorder="1" applyAlignment="1">
      <alignment horizontal="center" vertical="center" wrapText="1"/>
    </xf>
    <xf numFmtId="0" fontId="91" fillId="0" borderId="43" xfId="102" applyFont="1" applyFill="1" applyBorder="1" applyAlignment="1">
      <alignment vertical="center"/>
    </xf>
    <xf numFmtId="0" fontId="0" fillId="0" borderId="69" xfId="102" applyFont="1" applyFill="1" applyBorder="1" applyAlignment="1" applyProtection="1">
      <alignment horizontal="left" vertical="center" wrapText="1"/>
      <protection locked="0"/>
    </xf>
    <xf numFmtId="0" fontId="9" fillId="0" borderId="58" xfId="102" applyFont="1" applyFill="1" applyBorder="1" applyAlignment="1" applyProtection="1">
      <alignment horizontal="left" vertical="center" wrapText="1"/>
      <protection locked="0"/>
    </xf>
    <xf numFmtId="0" fontId="9" fillId="0" borderId="70" xfId="102" applyFont="1" applyFill="1" applyBorder="1" applyAlignment="1" applyProtection="1">
      <alignment horizontal="left" vertical="center" wrapText="1"/>
      <protection locked="0"/>
    </xf>
    <xf numFmtId="0" fontId="9" fillId="0" borderId="30" xfId="102" applyFont="1" applyFill="1" applyBorder="1" applyAlignment="1">
      <alignment horizontal="center" vertical="center" wrapText="1"/>
    </xf>
    <xf numFmtId="49" fontId="63" fillId="0" borderId="0" xfId="102" applyNumberFormat="1" applyFont="1" applyFill="1" applyAlignment="1">
      <alignment horizontal="left" vertical="center"/>
    </xf>
    <xf numFmtId="0" fontId="63" fillId="0" borderId="0" xfId="102" applyFont="1" applyFill="1" applyAlignment="1">
      <alignment horizontal="center" vertical="center" wrapText="1"/>
    </xf>
    <xf numFmtId="49" fontId="9" fillId="0" borderId="30" xfId="102" applyNumberFormat="1" applyFont="1" applyFill="1" applyBorder="1" applyAlignment="1">
      <alignment horizontal="center" vertical="center" wrapText="1"/>
    </xf>
    <xf numFmtId="4" fontId="9" fillId="0" borderId="30" xfId="102" applyNumberFormat="1" applyFont="1" applyFill="1" applyBorder="1" applyAlignment="1">
      <alignment horizontal="right" vertical="center"/>
    </xf>
    <xf numFmtId="0" fontId="9" fillId="0" borderId="7" xfId="102" applyFont="1" applyFill="1" applyBorder="1" applyAlignment="1">
      <alignment horizontal="center" vertical="center" wrapText="1"/>
    </xf>
    <xf numFmtId="0" fontId="3" fillId="0" borderId="7" xfId="102" applyFont="1" applyFill="1" applyBorder="1" applyAlignment="1">
      <alignment vertical="center"/>
    </xf>
    <xf numFmtId="49" fontId="9"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63" fillId="0" borderId="0" xfId="102" applyFont="1" applyFill="1" applyAlignment="1">
      <alignment horizontal="left" vertical="center"/>
    </xf>
    <xf numFmtId="4" fontId="63" fillId="0" borderId="7" xfId="106" applyNumberFormat="1" applyFont="1" applyFill="1" applyBorder="1" applyAlignment="1" applyProtection="1">
      <alignment horizontal="right" vertical="center"/>
      <protection locked="0"/>
    </xf>
    <xf numFmtId="169" fontId="9" fillId="0" borderId="30" xfId="102" applyNumberFormat="1" applyFont="1" applyFill="1" applyBorder="1" applyAlignment="1" applyProtection="1">
      <alignment horizontal="right" vertical="center"/>
    </xf>
    <xf numFmtId="49" fontId="9" fillId="0" borderId="0" xfId="102" applyNumberFormat="1" applyFont="1" applyFill="1" applyBorder="1" applyAlignment="1">
      <alignment horizontal="center" vertical="center" wrapText="1"/>
    </xf>
    <xf numFmtId="49" fontId="95" fillId="0" borderId="5" xfId="102" applyNumberFormat="1" applyFont="1" applyFill="1" applyBorder="1" applyAlignment="1">
      <alignment horizontal="center" vertical="center" wrapText="1"/>
    </xf>
    <xf numFmtId="0" fontId="9"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9" fillId="0" borderId="0" xfId="102" applyNumberFormat="1" applyFont="1" applyFill="1" applyBorder="1" applyAlignment="1" applyProtection="1">
      <alignment horizontal="right" vertical="center"/>
    </xf>
    <xf numFmtId="49" fontId="9" fillId="0" borderId="8" xfId="102" applyNumberFormat="1" applyFont="1" applyFill="1" applyBorder="1" applyAlignment="1" applyProtection="1">
      <alignment horizontal="left" vertical="center"/>
    </xf>
    <xf numFmtId="49" fontId="9" fillId="0" borderId="0" xfId="102" applyNumberFormat="1" applyFont="1" applyFill="1" applyBorder="1" applyAlignment="1">
      <alignment horizontal="center" vertical="center" wrapText="1"/>
    </xf>
    <xf numFmtId="0" fontId="9" fillId="0" borderId="30" xfId="102" applyNumberFormat="1"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protection locked="0"/>
    </xf>
    <xf numFmtId="0" fontId="9" fillId="0" borderId="3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9" fillId="0" borderId="0" xfId="105" applyFont="1" applyFill="1"/>
    <xf numFmtId="0" fontId="9" fillId="0" borderId="0" xfId="105" applyFont="1" applyFill="1" applyAlignment="1">
      <alignment horizontal="center"/>
    </xf>
    <xf numFmtId="0" fontId="9" fillId="0" borderId="0" xfId="105" applyNumberFormat="1" applyFont="1" applyFill="1" applyAlignment="1">
      <alignment horizontal="left" vertical="center"/>
    </xf>
    <xf numFmtId="0" fontId="9" fillId="0" borderId="0" xfId="105" applyFont="1" applyFill="1" applyBorder="1"/>
    <xf numFmtId="0" fontId="11" fillId="0" borderId="0" xfId="105" applyFont="1" applyFill="1" applyBorder="1" applyAlignment="1">
      <alignment horizontal="center"/>
    </xf>
    <xf numFmtId="0" fontId="9" fillId="0" borderId="7" xfId="105" applyFont="1" applyFill="1" applyBorder="1" applyAlignment="1">
      <alignment horizontal="center" vertical="center" wrapText="1"/>
    </xf>
    <xf numFmtId="0" fontId="9" fillId="0" borderId="7" xfId="105" applyFont="1" applyFill="1" applyBorder="1" applyAlignment="1">
      <alignment horizontal="center" vertical="center"/>
    </xf>
    <xf numFmtId="0" fontId="63" fillId="0" borderId="59"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1" fillId="0" borderId="0" xfId="105" applyFont="1" applyFill="1"/>
    <xf numFmtId="0" fontId="11" fillId="0" borderId="7" xfId="105" applyFont="1" applyFill="1" applyBorder="1" applyAlignment="1">
      <alignment horizontal="center" vertical="center"/>
    </xf>
    <xf numFmtId="4" fontId="11" fillId="0" borderId="7" xfId="105" applyNumberFormat="1" applyFont="1" applyFill="1" applyBorder="1" applyAlignment="1">
      <alignment horizontal="right" vertical="center"/>
    </xf>
    <xf numFmtId="0" fontId="9" fillId="0" borderId="7" xfId="105" applyFont="1" applyFill="1" applyBorder="1" applyAlignment="1">
      <alignment horizontal="center" vertical="center"/>
    </xf>
    <xf numFmtId="4" fontId="9" fillId="0" borderId="7" xfId="105" applyNumberFormat="1" applyFont="1" applyFill="1" applyBorder="1" applyAlignment="1" applyProtection="1">
      <alignment horizontal="right" vertical="center"/>
      <protection locked="0"/>
    </xf>
    <xf numFmtId="0" fontId="9" fillId="0" borderId="0" xfId="105" applyFont="1" applyFill="1" applyAlignment="1">
      <alignment horizontal="center" vertical="center"/>
    </xf>
    <xf numFmtId="0" fontId="9" fillId="0" borderId="0" xfId="105" applyFont="1" applyFill="1" applyAlignment="1">
      <alignment vertical="center" wrapText="1"/>
    </xf>
    <xf numFmtId="4" fontId="9" fillId="0" borderId="0" xfId="105" applyNumberFormat="1" applyFont="1" applyFill="1" applyAlignment="1">
      <alignment horizontal="center" vertical="center"/>
    </xf>
    <xf numFmtId="0" fontId="80" fillId="0" borderId="0" xfId="105" applyFont="1" applyFill="1"/>
    <xf numFmtId="0" fontId="81"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center"/>
      <protection hidden="1"/>
    </xf>
    <xf numFmtId="0" fontId="9" fillId="0" borderId="0" xfId="102" applyNumberFormat="1" applyFont="1" applyFill="1" applyAlignment="1" applyProtection="1">
      <alignment horizontal="left" vertical="center"/>
      <protection hidden="1"/>
    </xf>
    <xf numFmtId="171" fontId="19" fillId="0" borderId="0" xfId="101" applyNumberFormat="1" applyFont="1" applyFill="1" applyAlignment="1">
      <alignment horizontal="left" vertical="center" wrapText="1"/>
    </xf>
    <xf numFmtId="0" fontId="63" fillId="0" borderId="0" xfId="102" applyFont="1" applyFill="1" applyAlignment="1">
      <alignment horizontal="center"/>
    </xf>
    <xf numFmtId="49" fontId="11" fillId="0" borderId="7" xfId="102" applyNumberFormat="1" applyFont="1" applyFill="1" applyBorder="1" applyAlignment="1">
      <alignment horizontal="center" vertical="center"/>
    </xf>
    <xf numFmtId="0" fontId="11" fillId="0" borderId="30" xfId="102" applyFont="1" applyFill="1" applyBorder="1" applyAlignment="1">
      <alignment horizontal="center" vertical="center" wrapText="1"/>
    </xf>
    <xf numFmtId="4" fontId="9" fillId="0" borderId="7" xfId="102" applyNumberFormat="1" applyFont="1" applyFill="1" applyBorder="1" applyAlignment="1" applyProtection="1">
      <alignment horizontal="right" vertical="center"/>
    </xf>
    <xf numFmtId="49" fontId="9" fillId="0" borderId="7" xfId="102" applyNumberFormat="1" applyFont="1" applyFill="1" applyBorder="1" applyAlignment="1">
      <alignment horizontal="center" vertical="center"/>
    </xf>
    <xf numFmtId="4" fontId="9" fillId="0" borderId="7" xfId="102" applyNumberFormat="1" applyFont="1" applyFill="1" applyBorder="1" applyAlignment="1" applyProtection="1">
      <alignment horizontal="right" vertical="center"/>
      <protection locked="0"/>
    </xf>
    <xf numFmtId="0" fontId="9"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9" fillId="0" borderId="7" xfId="102" applyFont="1" applyFill="1" applyBorder="1" applyAlignment="1">
      <alignment horizontal="left" vertical="center" wrapText="1" indent="1"/>
    </xf>
    <xf numFmtId="0" fontId="12" fillId="0" borderId="0" xfId="105" applyFont="1" applyFill="1"/>
    <xf numFmtId="0" fontId="66" fillId="0" borderId="0" xfId="105" applyFont="1" applyFill="1"/>
    <xf numFmtId="0" fontId="66" fillId="0" borderId="0" xfId="105" applyFont="1" applyFill="1" applyAlignment="1">
      <alignment horizontal="left"/>
    </xf>
    <xf numFmtId="0" fontId="12" fillId="0" borderId="0" xfId="105" applyFont="1" applyFill="1" applyAlignment="1">
      <alignment horizontal="left"/>
    </xf>
    <xf numFmtId="0" fontId="91" fillId="0" borderId="7" xfId="102" applyFont="1" applyFill="1" applyBorder="1"/>
    <xf numFmtId="4" fontId="11"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1" fillId="0" borderId="7" xfId="105" applyFont="1" applyFill="1" applyBorder="1" applyAlignment="1">
      <alignment vertical="center" wrapText="1"/>
    </xf>
    <xf numFmtId="49" fontId="12" fillId="0" borderId="0" xfId="105" applyNumberFormat="1" applyFont="1" applyFill="1"/>
    <xf numFmtId="4" fontId="11" fillId="0" borderId="7" xfId="105" applyNumberFormat="1" applyFont="1" applyFill="1" applyBorder="1" applyAlignment="1" applyProtection="1">
      <alignment horizontal="right" vertical="center"/>
      <protection locked="0"/>
    </xf>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11" fillId="0" borderId="7" xfId="102" applyFont="1" applyFill="1" applyBorder="1" applyAlignment="1">
      <alignment horizontal="center" vertical="center" wrapText="1"/>
    </xf>
    <xf numFmtId="0" fontId="11" fillId="0" borderId="7" xfId="102" applyFont="1" applyFill="1" applyBorder="1" applyAlignment="1">
      <alignment horizontal="left" vertical="center" wrapText="1"/>
    </xf>
    <xf numFmtId="4" fontId="78" fillId="0" borderId="7" xfId="102" applyNumberFormat="1" applyFont="1" applyFill="1" applyBorder="1" applyAlignment="1">
      <alignment horizontal="right" vertical="center" wrapText="1"/>
    </xf>
    <xf numFmtId="0" fontId="9" fillId="0" borderId="7" xfId="102" applyFont="1" applyFill="1" applyBorder="1" applyAlignment="1">
      <alignment horizontal="left" vertical="center" wrapText="1"/>
    </xf>
    <xf numFmtId="4" fontId="9" fillId="0" borderId="7" xfId="104" applyNumberFormat="1" applyFont="1" applyFill="1" applyBorder="1" applyAlignment="1" applyProtection="1">
      <alignment horizontal="right" vertical="center" wrapText="1"/>
      <protection locked="0"/>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49" fontId="0" fillId="0" borderId="7" xfId="102" applyNumberFormat="1" applyFont="1" applyFill="1" applyBorder="1" applyAlignment="1" applyProtection="1">
      <alignment horizontal="left" vertical="center" wrapText="1" indent="1"/>
      <protection locked="0"/>
    </xf>
    <xf numFmtId="0" fontId="63" fillId="0" borderId="0" xfId="107" applyFont="1" applyFill="1"/>
    <xf numFmtId="0" fontId="63" fillId="0" borderId="0" xfId="106" applyFont="1" applyFill="1"/>
    <xf numFmtId="0" fontId="9" fillId="0" borderId="0" xfId="106" applyNumberFormat="1" applyFont="1" applyFill="1" applyAlignment="1">
      <alignment horizontal="left" vertical="center"/>
    </xf>
    <xf numFmtId="0" fontId="63" fillId="0" borderId="7" xfId="106" applyFont="1" applyFill="1" applyBorder="1" applyAlignment="1">
      <alignment vertical="center" wrapText="1"/>
    </xf>
    <xf numFmtId="0" fontId="70"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7" xfId="107" applyFont="1" applyFill="1" applyBorder="1" applyAlignment="1">
      <alignment horizontal="center" vertical="center" wrapText="1"/>
    </xf>
    <xf numFmtId="0" fontId="63" fillId="0" borderId="60" xfId="107" applyFont="1" applyFill="1" applyBorder="1" applyAlignment="1">
      <alignment horizontal="center" vertical="center" wrapText="1"/>
    </xf>
    <xf numFmtId="0" fontId="63" fillId="0" borderId="7" xfId="106"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8" fillId="0" borderId="0" xfId="107" applyFont="1" applyFill="1"/>
    <xf numFmtId="4" fontId="78"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0" fontId="9" fillId="0" borderId="7" xfId="106" applyFont="1" applyFill="1" applyBorder="1" applyAlignment="1">
      <alignment horizontal="center" vertical="center" wrapText="1"/>
    </xf>
    <xf numFmtId="0" fontId="63" fillId="0" borderId="7" xfId="106" applyFont="1" applyFill="1" applyBorder="1"/>
    <xf numFmtId="49" fontId="9" fillId="0" borderId="7" xfId="106" applyNumberFormat="1" applyFont="1" applyFill="1" applyBorder="1" applyAlignment="1" applyProtection="1">
      <alignment horizontal="left" vertical="top" wrapText="1"/>
      <protection locked="0"/>
    </xf>
    <xf numFmtId="49" fontId="75" fillId="0" borderId="0" xfId="99" applyFont="1" applyFill="1" applyBorder="1" applyAlignment="1">
      <alignment horizontal="left" vertical="center" wrapText="1"/>
    </xf>
    <xf numFmtId="0" fontId="82" fillId="0" borderId="0" xfId="107" applyFont="1" applyFill="1" applyAlignment="1">
      <alignment horizontal="left" vertical="top" wrapText="1"/>
    </xf>
    <xf numFmtId="0" fontId="9" fillId="0" borderId="0" xfId="107" applyNumberFormat="1" applyFont="1" applyFill="1" applyAlignment="1">
      <alignment horizontal="left" vertical="center"/>
    </xf>
    <xf numFmtId="49" fontId="9" fillId="0" borderId="7" xfId="107" applyNumberFormat="1" applyFont="1" applyFill="1" applyBorder="1" applyAlignment="1">
      <alignment horizontal="center" vertical="center" wrapText="1"/>
    </xf>
    <xf numFmtId="49" fontId="11" fillId="0" borderId="7" xfId="107" applyNumberFormat="1" applyFont="1" applyFill="1" applyBorder="1" applyAlignment="1">
      <alignment horizontal="center" vertical="center" wrapText="1"/>
    </xf>
    <xf numFmtId="4" fontId="78" fillId="0" borderId="7" xfId="107" applyNumberFormat="1" applyFont="1" applyFill="1" applyBorder="1" applyAlignment="1">
      <alignment horizontal="right" vertical="center" wrapText="1"/>
    </xf>
    <xf numFmtId="4" fontId="19" fillId="0" borderId="7" xfId="107" applyNumberFormat="1" applyFont="1" applyFill="1" applyBorder="1" applyAlignment="1">
      <alignment horizontal="right" vertical="center" wrapText="1"/>
    </xf>
    <xf numFmtId="49" fontId="9"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3"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3"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3" fillId="0" borderId="7" xfId="107" applyNumberFormat="1" applyFont="1" applyFill="1" applyBorder="1" applyAlignment="1" applyProtection="1">
      <alignment horizontal="right" vertical="center" wrapText="1"/>
      <protection locked="0"/>
    </xf>
    <xf numFmtId="0" fontId="3" fillId="0" borderId="7" xfId="106" applyFont="1" applyFill="1" applyBorder="1" applyAlignment="1">
      <alignment vertical="center"/>
    </xf>
    <xf numFmtId="49" fontId="9" fillId="0" borderId="7" xfId="106" applyNumberFormat="1" applyFont="1" applyFill="1" applyBorder="1" applyAlignment="1">
      <alignment horizontal="left" vertical="top" wrapText="1"/>
    </xf>
    <xf numFmtId="49" fontId="76" fillId="0" borderId="7" xfId="106" applyNumberFormat="1" applyFont="1" applyFill="1" applyBorder="1" applyAlignment="1">
      <alignment horizontal="left" vertical="top" wrapText="1"/>
    </xf>
    <xf numFmtId="49" fontId="73" fillId="0" borderId="0" xfId="99" applyFont="1" applyFill="1" applyAlignment="1">
      <alignment vertical="center"/>
    </xf>
    <xf numFmtId="49" fontId="76" fillId="0" borderId="7" xfId="106" applyNumberFormat="1" applyFont="1" applyFill="1" applyBorder="1" applyAlignment="1" applyProtection="1">
      <alignment horizontal="left" vertical="top" wrapText="1"/>
      <protection locked="0"/>
    </xf>
    <xf numFmtId="0" fontId="82" fillId="0" borderId="0" xfId="107" applyFont="1" applyFill="1" applyAlignment="1">
      <alignment horizontal="left" vertical="center" wrapText="1"/>
    </xf>
    <xf numFmtId="0" fontId="9" fillId="0" borderId="7" xfId="107" applyFont="1" applyFill="1" applyBorder="1" applyAlignment="1">
      <alignment horizontal="center" vertical="center" wrapText="1"/>
    </xf>
    <xf numFmtId="0" fontId="9" fillId="0" borderId="7" xfId="106" applyFont="1" applyFill="1" applyBorder="1" applyAlignment="1">
      <alignment horizontal="center" vertical="center" wrapText="1"/>
    </xf>
    <xf numFmtId="0" fontId="9" fillId="0" borderId="7" xfId="107" applyFont="1" applyFill="1" applyBorder="1" applyAlignment="1">
      <alignment horizontal="center" vertical="center" wrapText="1"/>
    </xf>
    <xf numFmtId="0" fontId="78" fillId="0" borderId="43" xfId="107" applyFont="1" applyFill="1" applyBorder="1" applyAlignment="1">
      <alignment horizontal="center" vertical="center"/>
    </xf>
    <xf numFmtId="0" fontId="78" fillId="0" borderId="43" xfId="107" applyFont="1" applyFill="1" applyBorder="1" applyAlignment="1">
      <alignment horizontal="left" vertical="center" wrapText="1"/>
    </xf>
    <xf numFmtId="0" fontId="78" fillId="0" borderId="43" xfId="107" applyFont="1" applyFill="1" applyBorder="1" applyAlignment="1">
      <alignment horizontal="center" vertical="center" wrapText="1"/>
    </xf>
    <xf numFmtId="4" fontId="19" fillId="0" borderId="43" xfId="107" applyNumberFormat="1" applyFont="1" applyFill="1" applyBorder="1" applyAlignment="1">
      <alignment horizontal="right" vertical="center" wrapText="1"/>
    </xf>
    <xf numFmtId="4" fontId="19" fillId="0" borderId="47" xfId="107" applyNumberFormat="1" applyFont="1" applyFill="1" applyBorder="1" applyAlignment="1">
      <alignment horizontal="right" vertical="center" wrapText="1"/>
    </xf>
    <xf numFmtId="49" fontId="78" fillId="0" borderId="7" xfId="107" applyNumberFormat="1" applyFont="1" applyFill="1" applyBorder="1" applyAlignment="1" applyProtection="1">
      <alignment horizontal="left" vertical="center" wrapText="1"/>
      <protection locked="0"/>
    </xf>
    <xf numFmtId="49" fontId="78" fillId="0" borderId="43" xfId="107" applyNumberFormat="1" applyFont="1" applyFill="1" applyBorder="1" applyAlignment="1">
      <alignment horizontal="center" vertical="center"/>
    </xf>
    <xf numFmtId="4" fontId="78" fillId="0" borderId="43" xfId="107" applyNumberFormat="1" applyFont="1" applyFill="1" applyBorder="1" applyAlignment="1" applyProtection="1">
      <alignment horizontal="right" vertical="center" wrapText="1"/>
      <protection locked="0"/>
    </xf>
    <xf numFmtId="4" fontId="78" fillId="0" borderId="47" xfId="107" applyNumberFormat="1" applyFont="1" applyFill="1" applyBorder="1" applyAlignment="1" applyProtection="1">
      <alignment horizontal="right" vertical="center" wrapText="1"/>
      <protection locked="0"/>
    </xf>
    <xf numFmtId="0" fontId="78" fillId="0" borderId="43" xfId="107" applyFont="1" applyFill="1" applyBorder="1" applyAlignment="1">
      <alignment vertical="center" wrapText="1"/>
    </xf>
    <xf numFmtId="49" fontId="63" fillId="0" borderId="43" xfId="107" applyNumberFormat="1" applyFont="1" applyFill="1" applyBorder="1" applyAlignment="1">
      <alignment horizontal="center" vertical="center"/>
    </xf>
    <xf numFmtId="0" fontId="63" fillId="0" borderId="43" xfId="108" applyFont="1" applyFill="1" applyBorder="1" applyAlignment="1">
      <alignment horizontal="left" vertical="center" wrapText="1" indent="1"/>
    </xf>
    <xf numFmtId="0" fontId="63" fillId="0" borderId="43" xfId="107" applyFont="1" applyFill="1" applyBorder="1" applyAlignment="1">
      <alignment horizontal="center" vertical="center"/>
    </xf>
    <xf numFmtId="0" fontId="63" fillId="0" borderId="43" xfId="107" applyFont="1" applyFill="1" applyBorder="1" applyAlignment="1">
      <alignment horizontal="center" vertical="center" wrapText="1"/>
    </xf>
    <xf numFmtId="4" fontId="63" fillId="0" borderId="43" xfId="107" applyNumberFormat="1" applyFont="1" applyFill="1" applyBorder="1" applyAlignment="1" applyProtection="1">
      <alignment horizontal="right" vertical="center" wrapText="1"/>
      <protection locked="0"/>
    </xf>
    <xf numFmtId="4" fontId="63" fillId="0" borderId="47" xfId="107" applyNumberFormat="1" applyFont="1" applyFill="1" applyBorder="1" applyAlignment="1" applyProtection="1">
      <alignment horizontal="right" vertical="center" wrapText="1"/>
      <protection locked="0"/>
    </xf>
    <xf numFmtId="49" fontId="63" fillId="0" borderId="7" xfId="107" applyNumberFormat="1" applyFont="1" applyFill="1" applyBorder="1" applyAlignment="1" applyProtection="1">
      <alignment horizontal="left" vertical="center" wrapText="1"/>
      <protection locked="0"/>
    </xf>
    <xf numFmtId="4" fontId="13" fillId="0" borderId="43" xfId="107" applyNumberFormat="1" applyFont="1" applyFill="1" applyBorder="1" applyAlignment="1">
      <alignment horizontal="right" vertical="center" wrapText="1"/>
    </xf>
    <xf numFmtId="4" fontId="13" fillId="0" borderId="47" xfId="107" applyNumberFormat="1" applyFont="1" applyFill="1" applyBorder="1" applyAlignment="1">
      <alignment horizontal="right" vertical="center" wrapText="1"/>
    </xf>
    <xf numFmtId="49" fontId="63" fillId="0" borderId="7" xfId="107" applyNumberFormat="1" applyFont="1" applyFill="1" applyBorder="1" applyAlignment="1">
      <alignment horizontal="center" vertical="center"/>
    </xf>
    <xf numFmtId="0" fontId="63" fillId="0" borderId="7" xfId="107" applyFont="1" applyFill="1" applyBorder="1" applyAlignment="1">
      <alignment horizontal="left" vertical="center" wrapText="1" indent="2"/>
    </xf>
    <xf numFmtId="0" fontId="63" fillId="0" borderId="49" xfId="107" applyFont="1" applyFill="1" applyBorder="1" applyAlignment="1">
      <alignment horizontal="center" vertical="center" wrapText="1"/>
    </xf>
    <xf numFmtId="0" fontId="70" fillId="0" borderId="0" xfId="106" applyFont="1" applyFill="1" applyAlignment="1">
      <alignment vertical="center"/>
    </xf>
    <xf numFmtId="49" fontId="63" fillId="0" borderId="68" xfId="107" applyNumberFormat="1" applyFont="1" applyFill="1" applyBorder="1" applyAlignment="1">
      <alignment horizontal="center" vertical="center"/>
    </xf>
    <xf numFmtId="0" fontId="63" fillId="0" borderId="68" xfId="107" applyFont="1" applyFill="1" applyBorder="1" applyAlignment="1">
      <alignment horizontal="left" vertical="center" wrapText="1" indent="2"/>
    </xf>
    <xf numFmtId="0" fontId="63" fillId="0" borderId="43" xfId="107" applyFont="1" applyFill="1" applyBorder="1" applyAlignment="1">
      <alignment horizontal="left" vertical="center" wrapText="1" indent="2"/>
    </xf>
    <xf numFmtId="0" fontId="63" fillId="0" borderId="43" xfId="107" applyFont="1" applyFill="1" applyBorder="1" applyAlignment="1">
      <alignment horizontal="right" vertical="center" wrapText="1"/>
    </xf>
    <xf numFmtId="0" fontId="63" fillId="0" borderId="43" xfId="107" applyFont="1" applyFill="1" applyBorder="1" applyAlignment="1">
      <alignment horizontal="left" vertical="center" wrapText="1" indent="1"/>
    </xf>
    <xf numFmtId="0" fontId="63" fillId="0" borderId="43" xfId="108" quotePrefix="1" applyFont="1" applyFill="1" applyBorder="1" applyAlignment="1">
      <alignment horizontal="left" vertical="center" wrapText="1" indent="1"/>
    </xf>
    <xf numFmtId="0" fontId="63" fillId="0" borderId="43" xfId="107" applyFont="1" applyFill="1" applyBorder="1" applyAlignment="1">
      <alignment horizontal="left" vertical="center" wrapText="1"/>
    </xf>
    <xf numFmtId="4" fontId="11" fillId="0" borderId="43" xfId="104" applyNumberFormat="1" applyFont="1" applyFill="1" applyBorder="1" applyAlignment="1" applyProtection="1">
      <alignment horizontal="right" vertical="center" wrapText="1"/>
      <protection locked="0"/>
    </xf>
    <xf numFmtId="4" fontId="11" fillId="0" borderId="47" xfId="104" applyNumberFormat="1" applyFont="1" applyFill="1" applyBorder="1" applyAlignment="1" applyProtection="1">
      <alignment horizontal="right" vertical="center" wrapText="1"/>
      <protection locked="0"/>
    </xf>
    <xf numFmtId="0" fontId="9" fillId="0" borderId="47" xfId="106" applyFont="1" applyFill="1" applyBorder="1" applyAlignment="1">
      <alignment horizontal="center" vertical="center" wrapText="1"/>
    </xf>
    <xf numFmtId="0" fontId="9" fillId="0" borderId="48" xfId="106" applyFont="1" applyFill="1" applyBorder="1" applyAlignment="1">
      <alignment horizontal="center" vertical="center" wrapText="1"/>
    </xf>
    <xf numFmtId="0" fontId="9" fillId="0" borderId="49" xfId="106" applyFont="1" applyFill="1" applyBorder="1" applyAlignment="1">
      <alignment horizontal="center" vertical="center" wrapText="1"/>
    </xf>
    <xf numFmtId="49" fontId="0" fillId="0" borderId="47" xfId="106" applyNumberFormat="1" applyFont="1" applyFill="1" applyBorder="1" applyAlignment="1" applyProtection="1">
      <alignment horizontal="left" vertical="top" wrapText="1"/>
      <protection locked="0"/>
    </xf>
    <xf numFmtId="49" fontId="9" fillId="0" borderId="48" xfId="106" applyNumberFormat="1" applyFont="1" applyFill="1" applyBorder="1" applyAlignment="1" applyProtection="1">
      <alignment horizontal="left" vertical="top" wrapText="1"/>
      <protection locked="0"/>
    </xf>
    <xf numFmtId="49" fontId="9" fillId="0" borderId="49" xfId="106" applyNumberFormat="1" applyFont="1" applyFill="1" applyBorder="1" applyAlignment="1" applyProtection="1">
      <alignment horizontal="left" vertical="top" wrapText="1"/>
      <protection locked="0"/>
    </xf>
    <xf numFmtId="0" fontId="70" fillId="0" borderId="0" xfId="106" applyFont="1" applyFill="1" applyAlignment="1">
      <alignment horizontal="center" vertical="center"/>
    </xf>
    <xf numFmtId="0" fontId="70" fillId="0" borderId="0" xfId="106" applyFont="1" applyFill="1" applyAlignment="1">
      <alignment vertical="center" wrapText="1"/>
    </xf>
    <xf numFmtId="0" fontId="12" fillId="0" borderId="0" xfId="107" applyFont="1" applyFill="1" applyAlignment="1">
      <alignment vertical="center"/>
    </xf>
    <xf numFmtId="49" fontId="65" fillId="0" borderId="0" xfId="106" applyNumberFormat="1" applyFont="1" applyFill="1" applyAlignment="1">
      <alignment horizontal="left" vertical="center" wrapText="1" indent="4"/>
    </xf>
    <xf numFmtId="0" fontId="12" fillId="0" borderId="7" xfId="106"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70" fillId="0" borderId="0" xfId="106" applyFont="1" applyFill="1" applyAlignment="1">
      <alignment horizontal="center" vertical="center" wrapText="1"/>
    </xf>
    <xf numFmtId="0" fontId="63" fillId="0" borderId="0" xfId="106" applyFont="1" applyFill="1" applyAlignment="1">
      <alignment vertical="center"/>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5" fillId="0" borderId="0" xfId="106" applyFont="1" applyFill="1" applyAlignment="1">
      <alignment vertical="center" wrapText="1"/>
    </xf>
    <xf numFmtId="49" fontId="11" fillId="0" borderId="7" xfId="106" applyNumberFormat="1" applyFont="1" applyFill="1" applyBorder="1" applyAlignment="1">
      <alignment horizontal="center" vertical="center" wrapText="1"/>
    </xf>
    <xf numFmtId="0" fontId="11" fillId="0" borderId="7" xfId="106" applyFont="1" applyFill="1" applyBorder="1" applyAlignment="1">
      <alignment vertical="center" wrapText="1"/>
    </xf>
    <xf numFmtId="0" fontId="11" fillId="0" borderId="7" xfId="106" applyFont="1" applyFill="1" applyBorder="1" applyAlignment="1">
      <alignment horizontal="center" vertical="center" wrapText="1"/>
    </xf>
    <xf numFmtId="4" fontId="78" fillId="0" borderId="7" xfId="106" applyNumberFormat="1" applyFont="1" applyFill="1" applyBorder="1" applyAlignment="1">
      <alignment horizontal="right" vertical="center"/>
    </xf>
    <xf numFmtId="4" fontId="78" fillId="0" borderId="7" xfId="106" applyNumberFormat="1" applyFont="1" applyFill="1" applyBorder="1" applyAlignment="1" applyProtection="1">
      <alignment horizontal="right" vertical="center"/>
      <protection locked="0"/>
    </xf>
    <xf numFmtId="0" fontId="65" fillId="0" borderId="0" xfId="106" applyFont="1" applyFill="1" applyAlignment="1">
      <alignment horizontal="center" vertical="center" wrapText="1"/>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0" fontId="78" fillId="0" borderId="0" xfId="102" applyFont="1" applyFill="1" applyAlignment="1">
      <alignment horizontal="left" vertical="center"/>
    </xf>
    <xf numFmtId="0" fontId="11" fillId="0" borderId="7" xfId="106" applyFont="1" applyFill="1" applyBorder="1" applyAlignment="1">
      <alignment horizontal="left" vertical="center" wrapText="1" indent="1"/>
    </xf>
    <xf numFmtId="49" fontId="78"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4" fontId="63" fillId="0" borderId="7" xfId="106" applyNumberFormat="1" applyFont="1" applyFill="1" applyBorder="1" applyAlignment="1">
      <alignment horizontal="right" vertical="center"/>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8" fillId="0" borderId="7" xfId="106" applyNumberFormat="1" applyFont="1" applyFill="1" applyBorder="1" applyAlignment="1">
      <alignment horizontal="center" vertical="center"/>
    </xf>
    <xf numFmtId="0" fontId="78" fillId="0" borderId="7" xfId="106" applyFont="1" applyFill="1" applyBorder="1" applyAlignment="1">
      <alignment horizontal="left" vertical="center" wrapText="1" indent="1"/>
    </xf>
    <xf numFmtId="0" fontId="78" fillId="0" borderId="7" xfId="106" applyFont="1" applyFill="1" applyBorder="1" applyAlignment="1">
      <alignment horizontal="center" vertical="center"/>
    </xf>
    <xf numFmtId="49" fontId="63" fillId="0" borderId="30" xfId="102" applyNumberFormat="1" applyFont="1" applyFill="1" applyBorder="1" applyAlignment="1">
      <alignment horizontal="left" vertical="center" wrapText="1"/>
    </xf>
    <xf numFmtId="4" fontId="0" fillId="0" borderId="7" xfId="106" applyNumberFormat="1" applyFont="1" applyFill="1" applyBorder="1" applyAlignment="1" applyProtection="1">
      <alignment horizontal="right" vertical="center" wrapText="1"/>
      <protection locked="0"/>
    </xf>
    <xf numFmtId="0" fontId="9" fillId="0" borderId="7" xfId="106" applyFont="1" applyFill="1" applyBorder="1" applyAlignment="1">
      <alignment horizontal="left" vertical="center" wrapText="1" indent="1"/>
    </xf>
    <xf numFmtId="0" fontId="78" fillId="0" borderId="7" xfId="106" applyFont="1" applyFill="1" applyBorder="1" applyAlignment="1">
      <alignment vertical="center" wrapText="1"/>
    </xf>
    <xf numFmtId="0" fontId="63" fillId="0" borderId="7" xfId="106" applyFont="1" applyFill="1" applyBorder="1" applyAlignment="1">
      <alignment horizontal="left" vertical="center" wrapText="1"/>
    </xf>
    <xf numFmtId="0" fontId="63" fillId="0" borderId="7" xfId="106" applyFont="1" applyFill="1" applyBorder="1" applyAlignment="1">
      <alignment vertical="center" wrapText="1"/>
    </xf>
    <xf numFmtId="0" fontId="0" fillId="0" borderId="7" xfId="106" applyFont="1" applyFill="1" applyBorder="1" applyAlignment="1">
      <alignment horizontal="left" vertical="center" wrapText="1" indent="1"/>
    </xf>
    <xf numFmtId="0" fontId="1" fillId="0" borderId="0" xfId="112" applyFill="1"/>
    <xf numFmtId="169" fontId="78" fillId="0" borderId="7" xfId="106" applyNumberFormat="1" applyFont="1" applyFill="1" applyBorder="1" applyAlignment="1">
      <alignment horizontal="right" vertical="center"/>
    </xf>
    <xf numFmtId="169" fontId="63" fillId="0" borderId="7" xfId="112" applyNumberFormat="1" applyFont="1" applyFill="1" applyBorder="1" applyAlignment="1" applyProtection="1">
      <alignment horizontal="right" vertical="center"/>
      <protection locked="0"/>
    </xf>
    <xf numFmtId="169" fontId="63" fillId="0" borderId="7" xfId="106" applyNumberFormat="1" applyFont="1" applyFill="1" applyBorder="1" applyAlignment="1" applyProtection="1">
      <alignment horizontal="right" vertical="center"/>
    </xf>
    <xf numFmtId="4" fontId="63" fillId="0" borderId="7" xfId="112" applyNumberFormat="1" applyFont="1" applyFill="1" applyBorder="1" applyAlignment="1" applyProtection="1">
      <alignment horizontal="right" vertical="center"/>
      <protection locked="0"/>
    </xf>
    <xf numFmtId="4" fontId="63" fillId="0" borderId="7" xfId="112" applyNumberFormat="1" applyFont="1" applyFill="1" applyBorder="1" applyAlignment="1">
      <alignment horizontal="right" vertical="center"/>
    </xf>
    <xf numFmtId="4" fontId="78" fillId="0" borderId="7" xfId="112"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49" fontId="0" fillId="0" borderId="7" xfId="106" applyNumberFormat="1" applyFont="1" applyFill="1" applyBorder="1" applyAlignment="1" applyProtection="1">
      <alignment horizontal="left" vertical="top" wrapText="1"/>
      <protection locked="0"/>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9" fillId="0" borderId="0" xfId="106" applyNumberFormat="1" applyFont="1" applyFill="1" applyAlignment="1">
      <alignment horizontal="left" vertical="center" indent="2"/>
    </xf>
    <xf numFmtId="0" fontId="9" fillId="0" borderId="0" xfId="107" applyFont="1" applyFill="1" applyAlignment="1">
      <alignment vertical="center"/>
    </xf>
    <xf numFmtId="49" fontId="78" fillId="0" borderId="31" xfId="106" applyNumberFormat="1" applyFont="1" applyFill="1" applyBorder="1" applyAlignment="1">
      <alignment horizontal="left" vertical="center" wrapText="1"/>
    </xf>
    <xf numFmtId="49" fontId="78" fillId="0" borderId="32" xfId="106" applyNumberFormat="1" applyFont="1" applyFill="1" applyBorder="1" applyAlignment="1">
      <alignment horizontal="left" vertical="center" wrapText="1"/>
    </xf>
    <xf numFmtId="49" fontId="78" fillId="0" borderId="33" xfId="106" applyNumberFormat="1" applyFont="1" applyFill="1" applyBorder="1" applyAlignment="1">
      <alignment horizontal="left" vertical="center" wrapText="1"/>
    </xf>
    <xf numFmtId="0" fontId="9" fillId="0" borderId="30" xfId="106" applyFont="1" applyFill="1" applyBorder="1" applyAlignment="1">
      <alignment horizontal="center" vertical="center" wrapText="1"/>
    </xf>
    <xf numFmtId="0" fontId="9" fillId="0" borderId="31" xfId="106" applyFont="1" applyFill="1" applyBorder="1" applyAlignment="1">
      <alignment horizontal="center" vertical="center" wrapText="1"/>
    </xf>
    <xf numFmtId="0" fontId="9" fillId="0" borderId="32" xfId="106" applyFont="1" applyFill="1" applyBorder="1" applyAlignment="1">
      <alignment horizontal="center" vertical="center" wrapText="1"/>
    </xf>
    <xf numFmtId="0" fontId="9" fillId="0" borderId="33" xfId="106" applyFont="1" applyFill="1" applyBorder="1" applyAlignment="1">
      <alignment horizontal="center" vertical="center" wrapText="1"/>
    </xf>
    <xf numFmtId="0" fontId="9" fillId="0" borderId="30" xfId="106" applyFont="1" applyFill="1" applyBorder="1" applyAlignment="1">
      <alignment horizontal="center" vertical="center" wrapText="1"/>
    </xf>
    <xf numFmtId="0" fontId="9" fillId="0" borderId="31" xfId="106" applyFont="1" applyFill="1" applyBorder="1" applyAlignment="1">
      <alignment horizontal="right" vertical="center" wrapText="1"/>
    </xf>
    <xf numFmtId="0" fontId="9" fillId="0" borderId="33" xfId="106" applyFont="1" applyFill="1" applyBorder="1" applyAlignment="1">
      <alignment horizontal="right" vertical="center" wrapText="1"/>
    </xf>
    <xf numFmtId="0" fontId="11" fillId="0" borderId="31" xfId="106" applyNumberFormat="1" applyFont="1" applyFill="1" applyBorder="1" applyAlignment="1">
      <alignment horizontal="left" vertical="center" indent="1"/>
    </xf>
    <xf numFmtId="0" fontId="11" fillId="0" borderId="32" xfId="106" applyNumberFormat="1" applyFont="1" applyFill="1" applyBorder="1" applyAlignment="1">
      <alignment vertical="center" wrapText="1"/>
    </xf>
    <xf numFmtId="0" fontId="11" fillId="0" borderId="33" xfId="106" applyNumberFormat="1" applyFont="1" applyFill="1" applyBorder="1" applyAlignment="1">
      <alignment vertical="center" wrapText="1"/>
    </xf>
    <xf numFmtId="0" fontId="9" fillId="0" borderId="31" xfId="106" applyFont="1" applyFill="1" applyBorder="1" applyAlignment="1">
      <alignment horizontal="right" vertical="center" wrapText="1" indent="1"/>
    </xf>
    <xf numFmtId="0" fontId="9" fillId="0" borderId="33" xfId="106" applyFont="1" applyFill="1" applyBorder="1" applyAlignment="1">
      <alignment horizontal="right" vertical="center" wrapText="1" indent="1"/>
    </xf>
    <xf numFmtId="49" fontId="11" fillId="0" borderId="32" xfId="106" applyNumberFormat="1" applyFont="1" applyFill="1" applyBorder="1" applyAlignment="1">
      <alignment vertical="center" wrapText="1"/>
    </xf>
    <xf numFmtId="49" fontId="11" fillId="0" borderId="33" xfId="106" applyNumberFormat="1" applyFont="1" applyFill="1" applyBorder="1" applyAlignment="1">
      <alignment vertical="center" wrapText="1"/>
    </xf>
    <xf numFmtId="0" fontId="9" fillId="0" borderId="31" xfId="106" applyFont="1" applyFill="1" applyBorder="1" applyAlignment="1">
      <alignment horizontal="left" vertical="center" wrapText="1"/>
    </xf>
    <xf numFmtId="0" fontId="9" fillId="0" borderId="32" xfId="49" applyFont="1" applyFill="1" applyBorder="1" applyAlignment="1">
      <alignment horizontal="center" vertical="center"/>
    </xf>
    <xf numFmtId="0" fontId="9" fillId="0" borderId="32" xfId="106" applyFont="1" applyFill="1" applyBorder="1" applyAlignment="1">
      <alignment horizontal="left" vertical="center" indent="1"/>
    </xf>
    <xf numFmtId="0" fontId="9" fillId="0" borderId="33" xfId="106" applyFont="1" applyFill="1" applyBorder="1" applyAlignment="1">
      <alignment horizontal="left" vertical="center" indent="1"/>
    </xf>
    <xf numFmtId="0" fontId="78" fillId="0" borderId="0" xfId="106" applyFont="1" applyFill="1" applyAlignment="1">
      <alignment vertical="center"/>
    </xf>
    <xf numFmtId="0" fontId="11" fillId="0" borderId="30" xfId="106" applyFont="1" applyFill="1" applyBorder="1" applyAlignment="1">
      <alignment horizontal="left" vertical="center" wrapText="1"/>
    </xf>
    <xf numFmtId="0" fontId="11" fillId="0" borderId="30" xfId="49" applyFont="1" applyFill="1" applyBorder="1" applyAlignment="1">
      <alignment horizontal="center" vertical="center" wrapText="1"/>
    </xf>
    <xf numFmtId="4" fontId="78" fillId="0" borderId="30" xfId="106" applyNumberFormat="1" applyFont="1" applyFill="1" applyBorder="1" applyAlignment="1" applyProtection="1">
      <alignment horizontal="right" vertical="center"/>
      <protection locked="0"/>
    </xf>
    <xf numFmtId="4" fontId="11" fillId="0" borderId="30" xfId="106" applyNumberFormat="1" applyFont="1" applyFill="1" applyBorder="1" applyAlignment="1">
      <alignment vertical="center"/>
    </xf>
    <xf numFmtId="0" fontId="9" fillId="0" borderId="30" xfId="106" applyFont="1" applyFill="1" applyBorder="1" applyAlignment="1">
      <alignment horizontal="left" vertical="center" wrapText="1"/>
    </xf>
    <xf numFmtId="0" fontId="9" fillId="0" borderId="30" xfId="49" applyFont="1" applyFill="1" applyBorder="1" applyAlignment="1">
      <alignment horizontal="center" vertical="center" wrapText="1"/>
    </xf>
    <xf numFmtId="4" fontId="9" fillId="0" borderId="7" xfId="0" applyNumberFormat="1" applyFont="1" applyFill="1" applyBorder="1" applyAlignment="1">
      <alignment horizontal="right" vertical="center" wrapText="1"/>
    </xf>
    <xf numFmtId="4" fontId="9"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pplyProtection="1">
      <alignment vertical="center"/>
    </xf>
    <xf numFmtId="0" fontId="9"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0" fontId="9" fillId="0" borderId="0" xfId="106" applyFont="1" applyFill="1" applyAlignment="1">
      <alignment horizontal="left" vertical="center" wrapText="1"/>
    </xf>
    <xf numFmtId="0" fontId="9" fillId="0" borderId="0" xfId="49" applyFont="1" applyFill="1" applyAlignment="1">
      <alignment horizontal="center" vertical="center" wrapText="1"/>
    </xf>
    <xf numFmtId="0" fontId="9" fillId="0" borderId="0" xfId="106" applyFont="1" applyFill="1" applyAlignment="1">
      <alignment vertical="center"/>
    </xf>
    <xf numFmtId="0" fontId="9" fillId="0" borderId="7" xfId="106" applyFont="1" applyFill="1" applyBorder="1" applyAlignment="1" applyProtection="1">
      <alignment horizontal="left" vertical="center" wrapText="1"/>
      <protection locked="0"/>
    </xf>
    <xf numFmtId="0" fontId="63" fillId="0" borderId="52"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51"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53" xfId="106" applyFont="1" applyFill="1" applyBorder="1" applyAlignment="1">
      <alignment horizontal="center" vertical="center" wrapText="1"/>
    </xf>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9" fillId="0" borderId="43" xfId="106" applyFont="1" applyFill="1" applyBorder="1" applyAlignment="1">
      <alignment horizontal="center" vertical="center" wrapText="1"/>
    </xf>
    <xf numFmtId="49" fontId="0" fillId="0" borderId="43" xfId="106" applyNumberFormat="1" applyFont="1" applyFill="1" applyBorder="1" applyAlignment="1" applyProtection="1">
      <alignment horizontal="left" vertical="center" wrapText="1"/>
      <protection locked="0"/>
    </xf>
    <xf numFmtId="49" fontId="9" fillId="0" borderId="43" xfId="106" applyNumberFormat="1" applyFont="1" applyFill="1" applyBorder="1" applyAlignment="1" applyProtection="1">
      <alignment horizontal="left" vertical="center" wrapText="1"/>
      <protection locked="0"/>
    </xf>
    <xf numFmtId="0" fontId="9" fillId="0" borderId="0" xfId="46" applyFont="1" applyFill="1" applyProtection="1"/>
    <xf numFmtId="0" fontId="9" fillId="0" borderId="0" xfId="46" applyFont="1" applyFill="1" applyBorder="1" applyProtection="1"/>
    <xf numFmtId="0" fontId="24"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49" fontId="9" fillId="0" borderId="10" xfId="46" applyNumberFormat="1" applyFont="1" applyFill="1" applyBorder="1" applyAlignment="1" applyProtection="1">
      <alignment horizontal="left" vertical="center" wrapText="1"/>
      <protection locked="0"/>
    </xf>
    <xf numFmtId="0" fontId="24" fillId="0" borderId="9" xfId="50" applyFont="1" applyFill="1" applyBorder="1" applyAlignment="1">
      <alignment horizontal="center" vertical="center"/>
    </xf>
    <xf numFmtId="0" fontId="9" fillId="0" borderId="0" xfId="46" applyFont="1" applyFill="1"/>
    <xf numFmtId="0" fontId="9" fillId="0" borderId="67" xfId="46" applyFont="1" applyFill="1" applyBorder="1" applyAlignment="1">
      <alignment horizontal="center" vertical="center"/>
    </xf>
    <xf numFmtId="0" fontId="9" fillId="0" borderId="66" xfId="46" applyFont="1" applyFill="1" applyBorder="1" applyAlignment="1">
      <alignment horizontal="center" vertical="center"/>
    </xf>
    <xf numFmtId="0" fontId="12" fillId="0" borderId="72" xfId="97" applyFont="1" applyBorder="1" applyAlignment="1">
      <alignment vertical="center"/>
    </xf>
    <xf numFmtId="0" fontId="12" fillId="0" borderId="0" xfId="97" applyFont="1" applyAlignment="1">
      <alignment horizontal="left" vertical="center" indent="2"/>
    </xf>
    <xf numFmtId="0" fontId="12" fillId="0" borderId="72" xfId="97" applyFont="1" applyBorder="1" applyAlignment="1">
      <alignment horizontal="center" vertical="center"/>
    </xf>
    <xf numFmtId="49" fontId="12" fillId="0" borderId="72" xfId="97" applyNumberFormat="1" applyFont="1" applyBorder="1" applyAlignment="1">
      <alignment horizontal="center" vertical="center"/>
    </xf>
    <xf numFmtId="49" fontId="12" fillId="0" borderId="72" xfId="97" applyNumberFormat="1" applyFont="1" applyBorder="1" applyAlignment="1">
      <alignment horizontal="left" vertical="center" indent="1"/>
    </xf>
  </cellXfs>
  <cellStyles count="113">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2"/>
    <cellStyle name="Обычный 12 3 2 2 3" xfId="102"/>
    <cellStyle name="Обычный 12 3 2 2 3 2" xfId="111"/>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67</xdr:row>
      <xdr:rowOff>972184</xdr:rowOff>
    </xdr:from>
    <xdr:to>
      <xdr:col>3</xdr:col>
      <xdr:colOff>0</xdr:colOff>
      <xdr:row>107</xdr:row>
      <xdr:rowOff>111759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67</xdr:row>
      <xdr:rowOff>508634</xdr:rowOff>
    </xdr:from>
    <xdr:to>
      <xdr:col>3</xdr:col>
      <xdr:colOff>0</xdr:colOff>
      <xdr:row>67</xdr:row>
      <xdr:rowOff>972184</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67</xdr:row>
      <xdr:rowOff>45084</xdr:rowOff>
    </xdr:from>
    <xdr:to>
      <xdr:col>3</xdr:col>
      <xdr:colOff>0</xdr:colOff>
      <xdr:row>67</xdr:row>
      <xdr:rowOff>508634</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65</xdr:row>
      <xdr:rowOff>634</xdr:rowOff>
    </xdr:from>
    <xdr:to>
      <xdr:col>3</xdr:col>
      <xdr:colOff>0</xdr:colOff>
      <xdr:row>67</xdr:row>
      <xdr:rowOff>45084</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19075" y="2915284"/>
          <a:ext cx="2066925" cy="463550"/>
        </a:xfrm>
        <a:prstGeom prst="rect">
          <a:avLst/>
        </a:prstGeom>
        <a:solidFill>
          <a:srgbClr val="FFC17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62</xdr:row>
      <xdr:rowOff>108584</xdr:rowOff>
    </xdr:from>
    <xdr:to>
      <xdr:col>3</xdr:col>
      <xdr:colOff>0</xdr:colOff>
      <xdr:row>65</xdr:row>
      <xdr:rowOff>634</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60</xdr:row>
      <xdr:rowOff>187959</xdr:rowOff>
    </xdr:from>
    <xdr:to>
      <xdr:col>3</xdr:col>
      <xdr:colOff>0</xdr:colOff>
      <xdr:row>62</xdr:row>
      <xdr:rowOff>108584</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58</xdr:row>
      <xdr:rowOff>105409</xdr:rowOff>
    </xdr:from>
    <xdr:to>
      <xdr:col>3</xdr:col>
      <xdr:colOff>0</xdr:colOff>
      <xdr:row>60</xdr:row>
      <xdr:rowOff>187959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58</xdr:row>
      <xdr:rowOff>105409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19075" y="10610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58</xdr:row>
      <xdr:rowOff>66675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58</xdr:row>
      <xdr:rowOff>133350</xdr:rowOff>
    </xdr:from>
    <xdr:to>
      <xdr:col>1</xdr:col>
      <xdr:colOff>428625</xdr:colOff>
      <xdr:row>60</xdr:row>
      <xdr:rowOff>142875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61</xdr:row>
      <xdr:rowOff>28575</xdr:rowOff>
    </xdr:from>
    <xdr:to>
      <xdr:col>1</xdr:col>
      <xdr:colOff>428625</xdr:colOff>
      <xdr:row>62</xdr:row>
      <xdr:rowOff>66675</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62</xdr:row>
      <xdr:rowOff>142875</xdr:rowOff>
    </xdr:from>
    <xdr:to>
      <xdr:col>1</xdr:col>
      <xdr:colOff>428625</xdr:colOff>
      <xdr:row>64</xdr:row>
      <xdr:rowOff>161925</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65</xdr:row>
      <xdr:rowOff>47625</xdr:rowOff>
    </xdr:from>
    <xdr:to>
      <xdr:col>1</xdr:col>
      <xdr:colOff>428625</xdr:colOff>
      <xdr:row>67</xdr:row>
      <xdr:rowOff>0</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67</xdr:row>
      <xdr:rowOff>95250</xdr:rowOff>
    </xdr:from>
    <xdr:to>
      <xdr:col>1</xdr:col>
      <xdr:colOff>447675</xdr:colOff>
      <xdr:row>67</xdr:row>
      <xdr:rowOff>476250</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67</xdr:row>
      <xdr:rowOff>571500</xdr:rowOff>
    </xdr:from>
    <xdr:to>
      <xdr:col>1</xdr:col>
      <xdr:colOff>457200</xdr:colOff>
      <xdr:row>67</xdr:row>
      <xdr:rowOff>933450</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67</xdr:row>
      <xdr:rowOff>1000125</xdr:rowOff>
    </xdr:from>
    <xdr:to>
      <xdr:col>1</xdr:col>
      <xdr:colOff>447675</xdr:colOff>
      <xdr:row>107</xdr:row>
      <xdr:rowOff>123825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25"/>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39"/>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M27" sqref="M27"/>
    </sheetView>
  </sheetViews>
  <sheetFormatPr defaultColWidth="9.140625" defaultRowHeight="11.25"/>
  <cols>
    <col min="1" max="10" width="9.140625" style="72" hidden="1" customWidth="1"/>
    <col min="11" max="11" width="3.7109375" style="72" hidden="1" customWidth="1"/>
    <col min="12" max="12" width="6.7109375" style="84" customWidth="1"/>
    <col min="13" max="13" width="39.85546875" style="85" customWidth="1"/>
    <col min="14" max="14" width="15.85546875" style="72" customWidth="1"/>
    <col min="15" max="17" width="15.7109375" style="72" customWidth="1"/>
    <col min="18" max="18" width="18.42578125" style="72" customWidth="1"/>
    <col min="19" max="24" width="15.7109375" style="72" customWidth="1"/>
    <col min="25" max="42" width="15.7109375" style="72" hidden="1" customWidth="1"/>
    <col min="43" max="16384" width="9.140625" style="72"/>
  </cols>
  <sheetData>
    <row r="1" spans="1:42" hidden="1">
      <c r="A1" s="800"/>
      <c r="B1" s="800"/>
      <c r="C1" s="800"/>
      <c r="D1" s="800"/>
      <c r="E1" s="800"/>
      <c r="F1" s="800"/>
      <c r="G1" s="800"/>
      <c r="H1" s="800"/>
      <c r="I1" s="800"/>
      <c r="J1" s="800"/>
      <c r="K1" s="800"/>
      <c r="L1" s="801"/>
      <c r="M1" s="802"/>
      <c r="N1" s="800"/>
      <c r="O1" s="800">
        <v>2022</v>
      </c>
      <c r="P1" s="800">
        <v>2022</v>
      </c>
      <c r="Q1" s="800">
        <v>2022</v>
      </c>
      <c r="R1" s="800">
        <v>2022</v>
      </c>
      <c r="S1" s="800">
        <v>2023</v>
      </c>
      <c r="T1" s="800">
        <v>2024</v>
      </c>
      <c r="U1" s="800">
        <v>2024</v>
      </c>
      <c r="V1" s="800">
        <v>2024</v>
      </c>
      <c r="W1" s="800">
        <v>2024</v>
      </c>
      <c r="X1" s="800">
        <v>2024</v>
      </c>
      <c r="Y1" s="800">
        <v>2025</v>
      </c>
      <c r="Z1" s="800">
        <v>2025</v>
      </c>
      <c r="AA1" s="800">
        <v>2026</v>
      </c>
      <c r="AB1" s="800">
        <v>2026</v>
      </c>
      <c r="AC1" s="800">
        <v>2027</v>
      </c>
      <c r="AD1" s="800">
        <v>2027</v>
      </c>
      <c r="AE1" s="800">
        <v>2028</v>
      </c>
      <c r="AF1" s="800">
        <v>2028</v>
      </c>
      <c r="AG1" s="800">
        <v>2029</v>
      </c>
      <c r="AH1" s="800">
        <v>2029</v>
      </c>
      <c r="AI1" s="800">
        <v>2030</v>
      </c>
      <c r="AJ1" s="800">
        <v>2030</v>
      </c>
      <c r="AK1" s="800">
        <v>2031</v>
      </c>
      <c r="AL1" s="800">
        <v>2031</v>
      </c>
      <c r="AM1" s="800">
        <v>2032</v>
      </c>
      <c r="AN1" s="800">
        <v>2032</v>
      </c>
      <c r="AO1" s="800">
        <v>2033</v>
      </c>
      <c r="AP1" s="800">
        <v>2033</v>
      </c>
    </row>
    <row r="2" spans="1:42" hidden="1">
      <c r="A2" s="800"/>
      <c r="B2" s="800"/>
      <c r="C2" s="800"/>
      <c r="D2" s="800"/>
      <c r="E2" s="800"/>
      <c r="F2" s="800"/>
      <c r="G2" s="800"/>
      <c r="H2" s="800"/>
      <c r="I2" s="800"/>
      <c r="J2" s="800"/>
      <c r="K2" s="800"/>
      <c r="L2" s="801"/>
      <c r="M2" s="802"/>
      <c r="N2" s="800"/>
      <c r="O2" s="800" t="s">
        <v>286</v>
      </c>
      <c r="P2" s="800" t="s">
        <v>324</v>
      </c>
      <c r="Q2" s="800" t="s">
        <v>304</v>
      </c>
      <c r="R2" s="800" t="s">
        <v>109</v>
      </c>
      <c r="S2" s="800" t="s">
        <v>286</v>
      </c>
      <c r="T2" s="800" t="s">
        <v>287</v>
      </c>
      <c r="U2" s="800" t="s">
        <v>286</v>
      </c>
      <c r="V2" s="800" t="s">
        <v>305</v>
      </c>
      <c r="W2" s="800" t="s">
        <v>306</v>
      </c>
      <c r="X2" s="800" t="s">
        <v>109</v>
      </c>
      <c r="Y2" s="800" t="s">
        <v>287</v>
      </c>
      <c r="Z2" s="800" t="s">
        <v>286</v>
      </c>
      <c r="AA2" s="800" t="s">
        <v>287</v>
      </c>
      <c r="AB2" s="800" t="s">
        <v>286</v>
      </c>
      <c r="AC2" s="800" t="s">
        <v>287</v>
      </c>
      <c r="AD2" s="800" t="s">
        <v>286</v>
      </c>
      <c r="AE2" s="800" t="s">
        <v>287</v>
      </c>
      <c r="AF2" s="800" t="s">
        <v>286</v>
      </c>
      <c r="AG2" s="800" t="s">
        <v>287</v>
      </c>
      <c r="AH2" s="800" t="s">
        <v>286</v>
      </c>
      <c r="AI2" s="800" t="s">
        <v>287</v>
      </c>
      <c r="AJ2" s="800" t="s">
        <v>286</v>
      </c>
      <c r="AK2" s="800" t="s">
        <v>287</v>
      </c>
      <c r="AL2" s="800" t="s">
        <v>286</v>
      </c>
      <c r="AM2" s="800" t="s">
        <v>287</v>
      </c>
      <c r="AN2" s="800" t="s">
        <v>286</v>
      </c>
      <c r="AO2" s="800" t="s">
        <v>287</v>
      </c>
      <c r="AP2" s="800" t="s">
        <v>286</v>
      </c>
    </row>
    <row r="3" spans="1:42" hidden="1">
      <c r="A3" s="800"/>
      <c r="B3" s="800"/>
      <c r="C3" s="800"/>
      <c r="D3" s="800"/>
      <c r="E3" s="800"/>
      <c r="F3" s="800"/>
      <c r="G3" s="800"/>
      <c r="H3" s="800"/>
      <c r="I3" s="800"/>
      <c r="J3" s="800"/>
      <c r="K3" s="800"/>
      <c r="L3" s="801"/>
      <c r="M3" s="802"/>
      <c r="N3" s="800"/>
      <c r="O3" s="800" t="s">
        <v>2570</v>
      </c>
      <c r="P3" s="800" t="s">
        <v>2571</v>
      </c>
      <c r="Q3" s="800" t="s">
        <v>2572</v>
      </c>
      <c r="R3" s="800" t="s">
        <v>2573</v>
      </c>
      <c r="S3" s="800" t="s">
        <v>2574</v>
      </c>
      <c r="T3" s="800" t="s">
        <v>2575</v>
      </c>
      <c r="U3" s="800" t="s">
        <v>2576</v>
      </c>
      <c r="V3" s="800" t="s">
        <v>2577</v>
      </c>
      <c r="W3" s="800" t="s">
        <v>2578</v>
      </c>
      <c r="X3" s="800" t="s">
        <v>2579</v>
      </c>
      <c r="Y3" s="800" t="s">
        <v>2580</v>
      </c>
      <c r="Z3" s="800" t="s">
        <v>2581</v>
      </c>
      <c r="AA3" s="800" t="s">
        <v>2582</v>
      </c>
      <c r="AB3" s="800" t="s">
        <v>2583</v>
      </c>
      <c r="AC3" s="800" t="s">
        <v>2584</v>
      </c>
      <c r="AD3" s="800" t="s">
        <v>2585</v>
      </c>
      <c r="AE3" s="800" t="s">
        <v>2586</v>
      </c>
      <c r="AF3" s="800" t="s">
        <v>2587</v>
      </c>
      <c r="AG3" s="800" t="s">
        <v>2588</v>
      </c>
      <c r="AH3" s="800" t="s">
        <v>2589</v>
      </c>
      <c r="AI3" s="800" t="s">
        <v>2590</v>
      </c>
      <c r="AJ3" s="800" t="s">
        <v>2591</v>
      </c>
      <c r="AK3" s="800" t="s">
        <v>2592</v>
      </c>
      <c r="AL3" s="800" t="s">
        <v>2593</v>
      </c>
      <c r="AM3" s="800" t="s">
        <v>2594</v>
      </c>
      <c r="AN3" s="800" t="s">
        <v>2595</v>
      </c>
      <c r="AO3" s="800" t="s">
        <v>2596</v>
      </c>
      <c r="AP3" s="800" t="s">
        <v>2597</v>
      </c>
    </row>
    <row r="4" spans="1:42" hidden="1">
      <c r="A4" s="800"/>
      <c r="B4" s="800"/>
      <c r="C4" s="800"/>
      <c r="D4" s="800"/>
      <c r="E4" s="800"/>
      <c r="F4" s="800"/>
      <c r="G4" s="800"/>
      <c r="H4" s="800"/>
      <c r="I4" s="800"/>
      <c r="J4" s="800"/>
      <c r="K4" s="800"/>
      <c r="L4" s="801"/>
      <c r="M4" s="802"/>
      <c r="N4" s="800"/>
      <c r="O4" s="800"/>
      <c r="P4" s="800"/>
      <c r="Q4" s="800"/>
      <c r="R4" s="800"/>
      <c r="S4" s="800"/>
      <c r="T4" s="800"/>
      <c r="U4" s="800"/>
      <c r="V4" s="800"/>
      <c r="W4" s="800"/>
      <c r="X4" s="800"/>
      <c r="Y4" s="800"/>
      <c r="Z4" s="800"/>
      <c r="AA4" s="800"/>
      <c r="AB4" s="800"/>
      <c r="AC4" s="800"/>
      <c r="AD4" s="800"/>
      <c r="AE4" s="800"/>
      <c r="AF4" s="800"/>
      <c r="AG4" s="800"/>
      <c r="AH4" s="800"/>
      <c r="AI4" s="800"/>
      <c r="AJ4" s="800"/>
      <c r="AK4" s="800"/>
      <c r="AL4" s="800"/>
      <c r="AM4" s="800"/>
      <c r="AN4" s="800"/>
      <c r="AO4" s="800"/>
      <c r="AP4" s="800"/>
    </row>
    <row r="5" spans="1:42" hidden="1">
      <c r="A5" s="800"/>
      <c r="B5" s="800"/>
      <c r="C5" s="800"/>
      <c r="D5" s="800"/>
      <c r="E5" s="800"/>
      <c r="F5" s="800"/>
      <c r="G5" s="800"/>
      <c r="H5" s="800"/>
      <c r="I5" s="800"/>
      <c r="J5" s="800"/>
      <c r="K5" s="800"/>
      <c r="L5" s="801"/>
      <c r="M5" s="802"/>
      <c r="N5" s="800"/>
      <c r="O5" s="800"/>
      <c r="P5" s="800"/>
      <c r="Q5" s="800"/>
      <c r="R5" s="800"/>
      <c r="S5" s="800"/>
      <c r="T5" s="800"/>
      <c r="U5" s="800"/>
      <c r="V5" s="800"/>
      <c r="W5" s="800"/>
      <c r="X5" s="800"/>
      <c r="Y5" s="800"/>
      <c r="Z5" s="800"/>
      <c r="AA5" s="800"/>
      <c r="AB5" s="800"/>
      <c r="AC5" s="800"/>
      <c r="AD5" s="800"/>
      <c r="AE5" s="800"/>
      <c r="AF5" s="800"/>
      <c r="AG5" s="800"/>
      <c r="AH5" s="800"/>
      <c r="AI5" s="800"/>
      <c r="AJ5" s="800"/>
      <c r="AK5" s="800"/>
      <c r="AL5" s="800"/>
      <c r="AM5" s="800"/>
      <c r="AN5" s="800"/>
      <c r="AO5" s="800"/>
      <c r="AP5" s="800"/>
    </row>
    <row r="6" spans="1:42" hidden="1">
      <c r="A6" s="800"/>
      <c r="B6" s="800"/>
      <c r="C6" s="800"/>
      <c r="D6" s="800"/>
      <c r="E6" s="800"/>
      <c r="F6" s="800"/>
      <c r="G6" s="800"/>
      <c r="H6" s="800"/>
      <c r="I6" s="800"/>
      <c r="J6" s="800"/>
      <c r="K6" s="800"/>
      <c r="L6" s="801"/>
      <c r="M6" s="802"/>
      <c r="N6" s="800"/>
      <c r="O6" s="800"/>
      <c r="P6" s="800"/>
      <c r="Q6" s="800"/>
      <c r="R6" s="800"/>
      <c r="S6" s="800"/>
      <c r="T6" s="800"/>
      <c r="U6" s="800"/>
      <c r="V6" s="800"/>
      <c r="W6" s="800"/>
      <c r="X6" s="800"/>
      <c r="Y6" s="800"/>
      <c r="Z6" s="800"/>
      <c r="AA6" s="800"/>
      <c r="AB6" s="800"/>
      <c r="AC6" s="800"/>
      <c r="AD6" s="800"/>
      <c r="AE6" s="800"/>
      <c r="AF6" s="800"/>
      <c r="AG6" s="800"/>
      <c r="AH6" s="800"/>
      <c r="AI6" s="800"/>
      <c r="AJ6" s="800"/>
      <c r="AK6" s="800"/>
      <c r="AL6" s="800"/>
      <c r="AM6" s="800"/>
      <c r="AN6" s="800"/>
      <c r="AO6" s="800"/>
      <c r="AP6" s="800"/>
    </row>
    <row r="7" spans="1:42" hidden="1">
      <c r="A7" s="800"/>
      <c r="B7" s="800"/>
      <c r="C7" s="800"/>
      <c r="D7" s="800"/>
      <c r="E7" s="800"/>
      <c r="F7" s="800"/>
      <c r="G7" s="800"/>
      <c r="H7" s="800"/>
      <c r="I7" s="800"/>
      <c r="J7" s="800"/>
      <c r="K7" s="800"/>
      <c r="L7" s="801"/>
      <c r="M7" s="802"/>
      <c r="N7" s="800"/>
      <c r="O7" s="800"/>
      <c r="P7" s="800"/>
      <c r="Q7" s="800"/>
      <c r="R7" s="800"/>
      <c r="S7" s="800"/>
      <c r="T7" s="800"/>
      <c r="U7" s="800"/>
      <c r="V7" s="800"/>
      <c r="W7" s="800"/>
      <c r="X7" s="800"/>
      <c r="Y7" s="800" t="b">
        <v>0</v>
      </c>
      <c r="Z7" s="800" t="b">
        <v>0</v>
      </c>
      <c r="AA7" s="800" t="b">
        <v>0</v>
      </c>
      <c r="AB7" s="800" t="b">
        <v>0</v>
      </c>
      <c r="AC7" s="800" t="b">
        <v>0</v>
      </c>
      <c r="AD7" s="800" t="b">
        <v>0</v>
      </c>
      <c r="AE7" s="800" t="b">
        <v>0</v>
      </c>
      <c r="AF7" s="800" t="b">
        <v>0</v>
      </c>
      <c r="AG7" s="800" t="b">
        <v>0</v>
      </c>
      <c r="AH7" s="800" t="b">
        <v>0</v>
      </c>
      <c r="AI7" s="800" t="b">
        <v>0</v>
      </c>
      <c r="AJ7" s="800" t="b">
        <v>0</v>
      </c>
      <c r="AK7" s="800" t="b">
        <v>0</v>
      </c>
      <c r="AL7" s="800" t="b">
        <v>0</v>
      </c>
      <c r="AM7" s="800" t="b">
        <v>0</v>
      </c>
      <c r="AN7" s="800" t="b">
        <v>0</v>
      </c>
      <c r="AO7" s="800" t="b">
        <v>0</v>
      </c>
      <c r="AP7" s="800" t="b">
        <v>0</v>
      </c>
    </row>
    <row r="8" spans="1:42" hidden="1">
      <c r="A8" s="800"/>
      <c r="B8" s="800"/>
      <c r="C8" s="800"/>
      <c r="D8" s="800"/>
      <c r="E8" s="800"/>
      <c r="F8" s="800"/>
      <c r="G8" s="800"/>
      <c r="H8" s="800"/>
      <c r="I8" s="800"/>
      <c r="J8" s="800"/>
      <c r="K8" s="800"/>
      <c r="L8" s="801"/>
      <c r="M8" s="802"/>
      <c r="N8" s="800"/>
      <c r="O8" s="800"/>
      <c r="P8" s="800"/>
      <c r="Q8" s="800"/>
      <c r="R8" s="800"/>
      <c r="S8" s="800"/>
      <c r="T8" s="800"/>
      <c r="U8" s="800"/>
      <c r="V8" s="800"/>
      <c r="W8" s="800"/>
      <c r="X8" s="800"/>
      <c r="Y8" s="800"/>
      <c r="Z8" s="800"/>
      <c r="AA8" s="800"/>
      <c r="AB8" s="800"/>
      <c r="AC8" s="800"/>
      <c r="AD8" s="800"/>
      <c r="AE8" s="800"/>
      <c r="AF8" s="800"/>
      <c r="AG8" s="800"/>
      <c r="AH8" s="800"/>
      <c r="AI8" s="800"/>
      <c r="AJ8" s="800"/>
      <c r="AK8" s="800"/>
      <c r="AL8" s="800"/>
      <c r="AM8" s="800"/>
      <c r="AN8" s="800"/>
      <c r="AO8" s="800"/>
      <c r="AP8" s="800"/>
    </row>
    <row r="9" spans="1:42" hidden="1">
      <c r="A9" s="800"/>
      <c r="B9" s="800"/>
      <c r="C9" s="800"/>
      <c r="D9" s="800"/>
      <c r="E9" s="800"/>
      <c r="F9" s="800"/>
      <c r="G9" s="800"/>
      <c r="H9" s="800"/>
      <c r="I9" s="800"/>
      <c r="J9" s="800"/>
      <c r="K9" s="800"/>
      <c r="L9" s="801"/>
      <c r="M9" s="802"/>
      <c r="N9" s="800"/>
      <c r="O9" s="800"/>
      <c r="P9" s="800"/>
      <c r="Q9" s="800"/>
      <c r="R9" s="800"/>
      <c r="S9" s="800"/>
      <c r="T9" s="800"/>
      <c r="U9" s="800"/>
      <c r="V9" s="800"/>
      <c r="W9" s="800"/>
      <c r="X9" s="800"/>
      <c r="Y9" s="800"/>
      <c r="Z9" s="800"/>
      <c r="AA9" s="800"/>
      <c r="AB9" s="800"/>
      <c r="AC9" s="800"/>
      <c r="AD9" s="800"/>
      <c r="AE9" s="800"/>
      <c r="AF9" s="800"/>
      <c r="AG9" s="800"/>
      <c r="AH9" s="800"/>
      <c r="AI9" s="800"/>
      <c r="AJ9" s="800"/>
      <c r="AK9" s="800"/>
      <c r="AL9" s="800"/>
      <c r="AM9" s="800"/>
      <c r="AN9" s="800"/>
      <c r="AO9" s="800"/>
      <c r="AP9" s="800"/>
    </row>
    <row r="10" spans="1:42" hidden="1">
      <c r="A10" s="800"/>
      <c r="B10" s="800"/>
      <c r="C10" s="800"/>
      <c r="D10" s="800"/>
      <c r="E10" s="800"/>
      <c r="F10" s="800"/>
      <c r="G10" s="800"/>
      <c r="H10" s="800"/>
      <c r="I10" s="800"/>
      <c r="J10" s="800"/>
      <c r="K10" s="800"/>
      <c r="L10" s="801"/>
      <c r="M10" s="802"/>
      <c r="N10" s="800"/>
      <c r="O10" s="800"/>
      <c r="P10" s="800"/>
      <c r="Q10" s="800"/>
      <c r="R10" s="800"/>
      <c r="S10" s="800"/>
      <c r="T10" s="800"/>
      <c r="U10" s="800"/>
      <c r="V10" s="800"/>
      <c r="W10" s="800"/>
      <c r="X10" s="800"/>
      <c r="Y10" s="800"/>
      <c r="Z10" s="800"/>
      <c r="AA10" s="800"/>
      <c r="AB10" s="800"/>
      <c r="AC10" s="800"/>
      <c r="AD10" s="800"/>
      <c r="AE10" s="800"/>
      <c r="AF10" s="800"/>
      <c r="AG10" s="800"/>
      <c r="AH10" s="800"/>
      <c r="AI10" s="800"/>
      <c r="AJ10" s="800"/>
      <c r="AK10" s="800"/>
      <c r="AL10" s="800"/>
      <c r="AM10" s="800"/>
      <c r="AN10" s="800"/>
      <c r="AO10" s="800"/>
      <c r="AP10" s="800"/>
    </row>
    <row r="11" spans="1:42" s="71" customFormat="1" ht="15" hidden="1" customHeight="1">
      <c r="A11" s="803"/>
      <c r="B11" s="803"/>
      <c r="C11" s="803"/>
      <c r="D11" s="803"/>
      <c r="E11" s="803"/>
      <c r="F11" s="803"/>
      <c r="G11" s="803"/>
      <c r="H11" s="803"/>
      <c r="I11" s="803"/>
      <c r="J11" s="803"/>
      <c r="K11" s="804"/>
      <c r="L11" s="805"/>
      <c r="M11" s="806"/>
      <c r="N11" s="807"/>
      <c r="O11" s="808"/>
      <c r="P11" s="803"/>
      <c r="Q11" s="803"/>
      <c r="R11" s="803"/>
      <c r="S11" s="803"/>
      <c r="T11" s="803"/>
      <c r="U11" s="803"/>
      <c r="V11" s="803"/>
      <c r="W11" s="803"/>
      <c r="X11" s="803"/>
      <c r="Y11" s="803"/>
      <c r="Z11" s="803"/>
      <c r="AA11" s="803"/>
      <c r="AB11" s="803"/>
      <c r="AC11" s="803"/>
      <c r="AD11" s="803"/>
      <c r="AE11" s="803"/>
      <c r="AF11" s="803"/>
      <c r="AG11" s="803"/>
      <c r="AH11" s="803"/>
      <c r="AI11" s="803"/>
      <c r="AJ11" s="803"/>
      <c r="AK11" s="803"/>
      <c r="AL11" s="803"/>
      <c r="AM11" s="803"/>
      <c r="AN11" s="803"/>
      <c r="AO11" s="803"/>
      <c r="AP11" s="803"/>
    </row>
    <row r="12" spans="1:42" ht="22.5" customHeight="1">
      <c r="A12" s="800"/>
      <c r="B12" s="800"/>
      <c r="C12" s="800"/>
      <c r="D12" s="800"/>
      <c r="E12" s="800"/>
      <c r="F12" s="800"/>
      <c r="G12" s="800"/>
      <c r="H12" s="800"/>
      <c r="I12" s="800"/>
      <c r="J12" s="800"/>
      <c r="K12" s="800"/>
      <c r="L12" s="480" t="s">
        <v>1277</v>
      </c>
      <c r="M12" s="179"/>
      <c r="N12" s="179"/>
      <c r="O12" s="179"/>
      <c r="P12" s="179"/>
      <c r="Q12" s="179"/>
      <c r="R12" s="179"/>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row>
    <row r="13" spans="1:42" s="73" customFormat="1">
      <c r="A13" s="809"/>
      <c r="B13" s="809"/>
      <c r="C13" s="809"/>
      <c r="D13" s="809"/>
      <c r="E13" s="809"/>
      <c r="F13" s="809"/>
      <c r="G13" s="809"/>
      <c r="H13" s="809"/>
      <c r="I13" s="809"/>
      <c r="J13" s="809"/>
      <c r="K13" s="810"/>
      <c r="L13" s="811"/>
      <c r="M13" s="812"/>
      <c r="N13" s="813"/>
      <c r="O13" s="814"/>
      <c r="P13" s="809"/>
      <c r="Q13" s="809"/>
      <c r="R13" s="809"/>
      <c r="S13" s="809"/>
      <c r="T13" s="809"/>
      <c r="U13" s="809"/>
      <c r="V13" s="809"/>
      <c r="W13" s="809"/>
      <c r="X13" s="809"/>
      <c r="Y13" s="809"/>
      <c r="Z13" s="809"/>
      <c r="AA13" s="809"/>
      <c r="AB13" s="809"/>
      <c r="AC13" s="809"/>
      <c r="AD13" s="809"/>
      <c r="AE13" s="809"/>
      <c r="AF13" s="809"/>
      <c r="AG13" s="809"/>
      <c r="AH13" s="809"/>
      <c r="AI13" s="809"/>
      <c r="AJ13" s="809"/>
      <c r="AK13" s="809"/>
      <c r="AL13" s="809"/>
      <c r="AM13" s="809"/>
      <c r="AN13" s="809"/>
      <c r="AO13" s="809"/>
      <c r="AP13" s="809"/>
    </row>
    <row r="14" spans="1:42" ht="15" customHeight="1">
      <c r="A14" s="800"/>
      <c r="B14" s="800"/>
      <c r="C14" s="800"/>
      <c r="D14" s="800"/>
      <c r="E14" s="800"/>
      <c r="F14" s="800"/>
      <c r="G14" s="800"/>
      <c r="H14" s="800"/>
      <c r="I14" s="800"/>
      <c r="J14" s="800"/>
      <c r="K14" s="800"/>
      <c r="L14" s="815" t="s">
        <v>16</v>
      </c>
      <c r="M14" s="815" t="s">
        <v>303</v>
      </c>
      <c r="N14" s="815" t="s">
        <v>143</v>
      </c>
      <c r="O14" s="816" t="s">
        <v>2567</v>
      </c>
      <c r="P14" s="816" t="s">
        <v>2567</v>
      </c>
      <c r="Q14" s="816" t="s">
        <v>2567</v>
      </c>
      <c r="R14" s="816" t="s">
        <v>2567</v>
      </c>
      <c r="S14" s="816" t="s">
        <v>2568</v>
      </c>
      <c r="T14" s="816" t="s">
        <v>2569</v>
      </c>
      <c r="U14" s="816" t="s">
        <v>2569</v>
      </c>
      <c r="V14" s="816" t="s">
        <v>2569</v>
      </c>
      <c r="W14" s="816" t="s">
        <v>2569</v>
      </c>
      <c r="X14" s="816" t="s">
        <v>2569</v>
      </c>
      <c r="Y14" s="816" t="s">
        <v>2598</v>
      </c>
      <c r="Z14" s="816" t="s">
        <v>2598</v>
      </c>
      <c r="AA14" s="816" t="s">
        <v>2599</v>
      </c>
      <c r="AB14" s="816" t="s">
        <v>2599</v>
      </c>
      <c r="AC14" s="816" t="s">
        <v>2600</v>
      </c>
      <c r="AD14" s="816" t="s">
        <v>2600</v>
      </c>
      <c r="AE14" s="816" t="s">
        <v>2601</v>
      </c>
      <c r="AF14" s="816" t="s">
        <v>2601</v>
      </c>
      <c r="AG14" s="816" t="s">
        <v>2602</v>
      </c>
      <c r="AH14" s="816" t="s">
        <v>2602</v>
      </c>
      <c r="AI14" s="816" t="s">
        <v>2603</v>
      </c>
      <c r="AJ14" s="816" t="s">
        <v>2603</v>
      </c>
      <c r="AK14" s="816" t="s">
        <v>2604</v>
      </c>
      <c r="AL14" s="816" t="s">
        <v>2604</v>
      </c>
      <c r="AM14" s="816" t="s">
        <v>2605</v>
      </c>
      <c r="AN14" s="816" t="s">
        <v>2605</v>
      </c>
      <c r="AO14" s="816" t="s">
        <v>2606</v>
      </c>
      <c r="AP14" s="816" t="s">
        <v>2606</v>
      </c>
    </row>
    <row r="15" spans="1:42" ht="69" customHeight="1">
      <c r="A15" s="800" t="s">
        <v>1155</v>
      </c>
      <c r="B15" s="800"/>
      <c r="C15" s="800"/>
      <c r="D15" s="800"/>
      <c r="E15" s="800"/>
      <c r="F15" s="800"/>
      <c r="G15" s="800"/>
      <c r="H15" s="800"/>
      <c r="I15" s="800"/>
      <c r="J15" s="800"/>
      <c r="K15" s="800"/>
      <c r="L15" s="815"/>
      <c r="M15" s="815"/>
      <c r="N15" s="815"/>
      <c r="O15" s="817" t="s">
        <v>286</v>
      </c>
      <c r="P15" s="818" t="s">
        <v>324</v>
      </c>
      <c r="Q15" s="816" t="s">
        <v>304</v>
      </c>
      <c r="R15" s="816" t="s">
        <v>109</v>
      </c>
      <c r="S15" s="819" t="s">
        <v>286</v>
      </c>
      <c r="T15" s="817" t="s">
        <v>287</v>
      </c>
      <c r="U15" s="816" t="s">
        <v>286</v>
      </c>
      <c r="V15" s="820" t="s">
        <v>305</v>
      </c>
      <c r="W15" s="820" t="s">
        <v>306</v>
      </c>
      <c r="X15" s="816" t="s">
        <v>109</v>
      </c>
      <c r="Y15" s="819" t="s">
        <v>287</v>
      </c>
      <c r="Z15" s="816" t="s">
        <v>286</v>
      </c>
      <c r="AA15" s="819" t="s">
        <v>287</v>
      </c>
      <c r="AB15" s="816" t="s">
        <v>286</v>
      </c>
      <c r="AC15" s="819" t="s">
        <v>287</v>
      </c>
      <c r="AD15" s="816" t="s">
        <v>286</v>
      </c>
      <c r="AE15" s="819" t="s">
        <v>287</v>
      </c>
      <c r="AF15" s="816" t="s">
        <v>286</v>
      </c>
      <c r="AG15" s="819" t="s">
        <v>287</v>
      </c>
      <c r="AH15" s="816" t="s">
        <v>286</v>
      </c>
      <c r="AI15" s="819" t="s">
        <v>287</v>
      </c>
      <c r="AJ15" s="816" t="s">
        <v>286</v>
      </c>
      <c r="AK15" s="819" t="s">
        <v>287</v>
      </c>
      <c r="AL15" s="816" t="s">
        <v>286</v>
      </c>
      <c r="AM15" s="819" t="s">
        <v>287</v>
      </c>
      <c r="AN15" s="816" t="s">
        <v>286</v>
      </c>
      <c r="AO15" s="819" t="s">
        <v>287</v>
      </c>
      <c r="AP15" s="816" t="s">
        <v>286</v>
      </c>
    </row>
    <row r="16" spans="1:42" s="90" customFormat="1">
      <c r="A16" s="772" t="s">
        <v>18</v>
      </c>
      <c r="B16" s="821"/>
      <c r="C16" s="821"/>
      <c r="D16" s="821"/>
      <c r="E16" s="821"/>
      <c r="F16" s="821"/>
      <c r="G16" s="821"/>
      <c r="H16" s="821"/>
      <c r="I16" s="821"/>
      <c r="J16" s="821"/>
      <c r="K16" s="821"/>
      <c r="L16" s="773" t="s">
        <v>2545</v>
      </c>
      <c r="M16" s="755"/>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756"/>
      <c r="AK16" s="756"/>
      <c r="AL16" s="756"/>
      <c r="AM16" s="822"/>
      <c r="AN16" s="822"/>
      <c r="AO16" s="822"/>
      <c r="AP16" s="822"/>
    </row>
    <row r="17" spans="1:42">
      <c r="A17" s="823" t="s">
        <v>18</v>
      </c>
      <c r="B17" s="800" t="s">
        <v>1232</v>
      </c>
      <c r="C17" s="800"/>
      <c r="D17" s="800"/>
      <c r="E17" s="800"/>
      <c r="F17" s="800"/>
      <c r="G17" s="800"/>
      <c r="H17" s="800"/>
      <c r="I17" s="800"/>
      <c r="J17" s="800"/>
      <c r="K17" s="800"/>
      <c r="L17" s="824"/>
      <c r="M17" s="825" t="s">
        <v>161</v>
      </c>
      <c r="N17" s="826"/>
      <c r="O17" s="826"/>
      <c r="P17" s="826"/>
      <c r="Q17" s="826"/>
      <c r="R17" s="826"/>
      <c r="S17" s="827">
        <v>0.99</v>
      </c>
      <c r="T17" s="827">
        <v>1.03653</v>
      </c>
      <c r="U17" s="827">
        <v>1.06128</v>
      </c>
      <c r="V17" s="826"/>
      <c r="W17" s="826"/>
      <c r="X17" s="826"/>
      <c r="Y17" s="827">
        <v>1</v>
      </c>
      <c r="Z17" s="827">
        <v>1</v>
      </c>
      <c r="AA17" s="827">
        <v>1</v>
      </c>
      <c r="AB17" s="827">
        <v>1</v>
      </c>
      <c r="AC17" s="827">
        <v>1</v>
      </c>
      <c r="AD17" s="827">
        <v>1</v>
      </c>
      <c r="AE17" s="827">
        <v>1</v>
      </c>
      <c r="AF17" s="827">
        <v>1</v>
      </c>
      <c r="AG17" s="827">
        <v>1</v>
      </c>
      <c r="AH17" s="827">
        <v>1</v>
      </c>
      <c r="AI17" s="827">
        <v>1</v>
      </c>
      <c r="AJ17" s="827">
        <v>1</v>
      </c>
      <c r="AK17" s="827">
        <v>1</v>
      </c>
      <c r="AL17" s="827">
        <v>1</v>
      </c>
      <c r="AM17" s="827">
        <v>1</v>
      </c>
      <c r="AN17" s="827">
        <v>1</v>
      </c>
      <c r="AO17" s="827">
        <v>1</v>
      </c>
      <c r="AP17" s="827">
        <v>1</v>
      </c>
    </row>
    <row r="18" spans="1:42" ht="22.5">
      <c r="A18" s="823" t="s">
        <v>18</v>
      </c>
      <c r="B18" s="800" t="s">
        <v>1229</v>
      </c>
      <c r="C18" s="800"/>
      <c r="D18" s="800"/>
      <c r="E18" s="800"/>
      <c r="F18" s="800"/>
      <c r="G18" s="800"/>
      <c r="H18" s="800"/>
      <c r="I18" s="800"/>
      <c r="J18" s="800"/>
      <c r="K18" s="800"/>
      <c r="L18" s="828">
        <v>1</v>
      </c>
      <c r="M18" s="829" t="s">
        <v>307</v>
      </c>
      <c r="N18" s="830" t="s">
        <v>145</v>
      </c>
      <c r="O18" s="831">
        <v>1</v>
      </c>
      <c r="P18" s="831">
        <v>1</v>
      </c>
      <c r="Q18" s="831">
        <v>1</v>
      </c>
      <c r="R18" s="832"/>
      <c r="S18" s="831">
        <v>1</v>
      </c>
      <c r="T18" s="831">
        <v>1</v>
      </c>
      <c r="U18" s="831">
        <v>1</v>
      </c>
      <c r="V18" s="373">
        <v>1</v>
      </c>
      <c r="W18" s="368">
        <v>0</v>
      </c>
      <c r="X18" s="832"/>
      <c r="Y18" s="831"/>
      <c r="Z18" s="831"/>
      <c r="AA18" s="831"/>
      <c r="AB18" s="831"/>
      <c r="AC18" s="831"/>
      <c r="AD18" s="831"/>
      <c r="AE18" s="831"/>
      <c r="AF18" s="831"/>
      <c r="AG18" s="831"/>
      <c r="AH18" s="831"/>
      <c r="AI18" s="831"/>
      <c r="AJ18" s="831"/>
      <c r="AK18" s="831"/>
      <c r="AL18" s="831"/>
      <c r="AM18" s="831"/>
      <c r="AN18" s="831"/>
      <c r="AO18" s="831"/>
      <c r="AP18" s="831"/>
    </row>
    <row r="19" spans="1:42">
      <c r="A19" s="823" t="s">
        <v>18</v>
      </c>
      <c r="B19" s="800" t="s">
        <v>1230</v>
      </c>
      <c r="C19" s="800"/>
      <c r="D19" s="800"/>
      <c r="E19" s="800"/>
      <c r="F19" s="800"/>
      <c r="G19" s="800"/>
      <c r="H19" s="800"/>
      <c r="I19" s="800"/>
      <c r="J19" s="800"/>
      <c r="K19" s="800"/>
      <c r="L19" s="828">
        <v>2</v>
      </c>
      <c r="M19" s="833" t="s">
        <v>162</v>
      </c>
      <c r="N19" s="830" t="s">
        <v>145</v>
      </c>
      <c r="O19" s="831"/>
      <c r="P19" s="831"/>
      <c r="Q19" s="831"/>
      <c r="R19" s="832"/>
      <c r="S19" s="831"/>
      <c r="T19" s="831">
        <v>4.7</v>
      </c>
      <c r="U19" s="831">
        <v>7.2</v>
      </c>
      <c r="V19" s="373">
        <v>0</v>
      </c>
      <c r="W19" s="368">
        <v>2.5</v>
      </c>
      <c r="X19" s="832"/>
      <c r="Y19" s="831"/>
      <c r="Z19" s="831"/>
      <c r="AA19" s="831"/>
      <c r="AB19" s="831"/>
      <c r="AC19" s="831"/>
      <c r="AD19" s="831"/>
      <c r="AE19" s="831"/>
      <c r="AF19" s="831"/>
      <c r="AG19" s="831"/>
      <c r="AH19" s="831"/>
      <c r="AI19" s="831"/>
      <c r="AJ19" s="831"/>
      <c r="AK19" s="831"/>
      <c r="AL19" s="831"/>
      <c r="AM19" s="831"/>
      <c r="AN19" s="831"/>
      <c r="AO19" s="831"/>
      <c r="AP19" s="831"/>
    </row>
    <row r="20" spans="1:42">
      <c r="A20" s="823" t="s">
        <v>18</v>
      </c>
      <c r="B20" s="800"/>
      <c r="C20" s="800"/>
      <c r="D20" s="800"/>
      <c r="E20" s="800"/>
      <c r="F20" s="800"/>
      <c r="G20" s="800"/>
      <c r="H20" s="800"/>
      <c r="I20" s="800"/>
      <c r="J20" s="800"/>
      <c r="K20" s="800"/>
      <c r="L20" s="828">
        <v>3</v>
      </c>
      <c r="M20" s="829" t="s">
        <v>308</v>
      </c>
      <c r="N20" s="830" t="s">
        <v>145</v>
      </c>
      <c r="O20" s="831"/>
      <c r="P20" s="831"/>
      <c r="Q20" s="831"/>
      <c r="R20" s="832"/>
      <c r="S20" s="831"/>
      <c r="T20" s="831"/>
      <c r="U20" s="831"/>
      <c r="V20" s="373">
        <v>0</v>
      </c>
      <c r="W20" s="368">
        <v>0</v>
      </c>
      <c r="X20" s="832"/>
      <c r="Y20" s="831"/>
      <c r="Z20" s="831"/>
      <c r="AA20" s="831"/>
      <c r="AB20" s="831"/>
      <c r="AC20" s="831"/>
      <c r="AD20" s="831"/>
      <c r="AE20" s="831"/>
      <c r="AF20" s="831"/>
      <c r="AG20" s="831"/>
      <c r="AH20" s="831"/>
      <c r="AI20" s="831"/>
      <c r="AJ20" s="831"/>
      <c r="AK20" s="831"/>
      <c r="AL20" s="831"/>
      <c r="AM20" s="831"/>
      <c r="AN20" s="831"/>
      <c r="AO20" s="831"/>
      <c r="AP20" s="831"/>
    </row>
    <row r="21" spans="1:42">
      <c r="A21" s="823" t="s">
        <v>18</v>
      </c>
      <c r="B21" s="800" t="s">
        <v>1231</v>
      </c>
      <c r="C21" s="800"/>
      <c r="D21" s="800"/>
      <c r="E21" s="800"/>
      <c r="F21" s="800"/>
      <c r="G21" s="800"/>
      <c r="H21" s="800"/>
      <c r="I21" s="800"/>
      <c r="J21" s="800"/>
      <c r="K21" s="800"/>
      <c r="L21" s="828">
        <v>4</v>
      </c>
      <c r="M21" s="833" t="s">
        <v>309</v>
      </c>
      <c r="N21" s="830" t="s">
        <v>145</v>
      </c>
      <c r="O21" s="831"/>
      <c r="P21" s="834"/>
      <c r="Q21" s="835"/>
      <c r="R21" s="832"/>
      <c r="S21" s="831"/>
      <c r="T21" s="834"/>
      <c r="U21" s="834"/>
      <c r="V21" s="373">
        <v>0</v>
      </c>
      <c r="W21" s="368">
        <v>0</v>
      </c>
      <c r="X21" s="832"/>
      <c r="Y21" s="831"/>
      <c r="Z21" s="831"/>
      <c r="AA21" s="831"/>
      <c r="AB21" s="831"/>
      <c r="AC21" s="831"/>
      <c r="AD21" s="831"/>
      <c r="AE21" s="831"/>
      <c r="AF21" s="831"/>
      <c r="AG21" s="831"/>
      <c r="AH21" s="831"/>
      <c r="AI21" s="831"/>
      <c r="AJ21" s="831"/>
      <c r="AK21" s="831"/>
      <c r="AL21" s="831"/>
      <c r="AM21" s="831"/>
      <c r="AN21" s="831"/>
      <c r="AO21" s="831"/>
      <c r="AP21" s="831"/>
    </row>
    <row r="22" spans="1:42">
      <c r="A22" s="823" t="s">
        <v>18</v>
      </c>
      <c r="B22" s="800"/>
      <c r="C22" s="800"/>
      <c r="D22" s="800"/>
      <c r="E22" s="800"/>
      <c r="F22" s="800"/>
      <c r="G22" s="800"/>
      <c r="H22" s="800"/>
      <c r="I22" s="800"/>
      <c r="J22" s="800"/>
      <c r="K22" s="800"/>
      <c r="L22" s="824"/>
      <c r="M22" s="825" t="s">
        <v>310</v>
      </c>
      <c r="N22" s="826"/>
      <c r="O22" s="836"/>
      <c r="P22" s="836"/>
      <c r="Q22" s="836"/>
      <c r="R22" s="837"/>
      <c r="S22" s="836"/>
      <c r="T22" s="836"/>
      <c r="U22" s="836"/>
      <c r="V22" s="838"/>
      <c r="W22" s="836"/>
      <c r="X22" s="837"/>
      <c r="Y22" s="836"/>
      <c r="Z22" s="836"/>
      <c r="AA22" s="836"/>
      <c r="AB22" s="836"/>
      <c r="AC22" s="836"/>
      <c r="AD22" s="836"/>
      <c r="AE22" s="836"/>
      <c r="AF22" s="836"/>
      <c r="AG22" s="836"/>
      <c r="AH22" s="836"/>
      <c r="AI22" s="836"/>
      <c r="AJ22" s="836"/>
      <c r="AK22" s="836"/>
      <c r="AL22" s="836"/>
      <c r="AM22" s="836"/>
      <c r="AN22" s="836"/>
      <c r="AO22" s="836"/>
      <c r="AP22" s="839"/>
    </row>
    <row r="23" spans="1:42">
      <c r="A23" s="823" t="s">
        <v>18</v>
      </c>
      <c r="B23" s="800" t="s">
        <v>1234</v>
      </c>
      <c r="C23" s="800"/>
      <c r="D23" s="800"/>
      <c r="E23" s="800"/>
      <c r="F23" s="800"/>
      <c r="G23" s="800"/>
      <c r="H23" s="800"/>
      <c r="I23" s="800"/>
      <c r="J23" s="800"/>
      <c r="K23" s="800"/>
      <c r="L23" s="828">
        <v>1</v>
      </c>
      <c r="M23" s="833" t="s">
        <v>311</v>
      </c>
      <c r="N23" s="830" t="s">
        <v>145</v>
      </c>
      <c r="O23" s="834"/>
      <c r="P23" s="831"/>
      <c r="Q23" s="831"/>
      <c r="R23" s="832"/>
      <c r="S23" s="834"/>
      <c r="T23" s="831"/>
      <c r="U23" s="831"/>
      <c r="V23" s="373">
        <v>0</v>
      </c>
      <c r="W23" s="368">
        <v>0</v>
      </c>
      <c r="X23" s="832"/>
      <c r="Y23" s="834"/>
      <c r="Z23" s="834"/>
      <c r="AA23" s="834"/>
      <c r="AB23" s="834"/>
      <c r="AC23" s="834"/>
      <c r="AD23" s="834"/>
      <c r="AE23" s="834"/>
      <c r="AF23" s="834"/>
      <c r="AG23" s="834"/>
      <c r="AH23" s="834"/>
      <c r="AI23" s="834"/>
      <c r="AJ23" s="834"/>
      <c r="AK23" s="834"/>
      <c r="AL23" s="834"/>
      <c r="AM23" s="834"/>
      <c r="AN23" s="834"/>
      <c r="AO23" s="834"/>
      <c r="AP23" s="834"/>
    </row>
    <row r="24" spans="1:42">
      <c r="A24" s="823" t="s">
        <v>18</v>
      </c>
      <c r="B24" s="800"/>
      <c r="C24" s="800"/>
      <c r="D24" s="800"/>
      <c r="E24" s="800"/>
      <c r="F24" s="800"/>
      <c r="G24" s="800"/>
      <c r="H24" s="800"/>
      <c r="I24" s="800"/>
      <c r="J24" s="800"/>
      <c r="K24" s="800"/>
      <c r="L24" s="828">
        <v>2</v>
      </c>
      <c r="M24" s="833" t="s">
        <v>312</v>
      </c>
      <c r="N24" s="830" t="s">
        <v>145</v>
      </c>
      <c r="O24" s="834"/>
      <c r="P24" s="831"/>
      <c r="Q24" s="834"/>
      <c r="R24" s="832"/>
      <c r="S24" s="834"/>
      <c r="T24" s="834"/>
      <c r="U24" s="834"/>
      <c r="V24" s="373">
        <v>0</v>
      </c>
      <c r="W24" s="368">
        <v>0</v>
      </c>
      <c r="X24" s="832"/>
      <c r="Y24" s="834"/>
      <c r="Z24" s="834"/>
      <c r="AA24" s="834"/>
      <c r="AB24" s="834"/>
      <c r="AC24" s="834"/>
      <c r="AD24" s="834"/>
      <c r="AE24" s="834"/>
      <c r="AF24" s="834"/>
      <c r="AG24" s="834"/>
      <c r="AH24" s="834"/>
      <c r="AI24" s="834"/>
      <c r="AJ24" s="834"/>
      <c r="AK24" s="834"/>
      <c r="AL24" s="834"/>
      <c r="AM24" s="834"/>
      <c r="AN24" s="834"/>
      <c r="AO24" s="834"/>
      <c r="AP24" s="834"/>
    </row>
    <row r="25" spans="1:42">
      <c r="A25" s="823" t="s">
        <v>18</v>
      </c>
      <c r="B25" s="800"/>
      <c r="C25" s="800"/>
      <c r="D25" s="800"/>
      <c r="E25" s="800"/>
      <c r="F25" s="800"/>
      <c r="G25" s="800"/>
      <c r="H25" s="800"/>
      <c r="I25" s="800"/>
      <c r="J25" s="800"/>
      <c r="K25" s="800"/>
      <c r="L25" s="175">
        <v>3</v>
      </c>
      <c r="M25" s="176" t="s">
        <v>313</v>
      </c>
      <c r="N25" s="840"/>
      <c r="O25" s="365"/>
      <c r="P25" s="368"/>
      <c r="Q25" s="370"/>
      <c r="R25" s="354"/>
      <c r="S25" s="365"/>
      <c r="T25" s="368"/>
      <c r="U25" s="368"/>
      <c r="V25" s="373"/>
      <c r="W25" s="368"/>
      <c r="X25" s="354"/>
      <c r="Y25" s="365"/>
      <c r="Z25" s="365"/>
      <c r="AA25" s="365"/>
      <c r="AB25" s="365"/>
      <c r="AC25" s="365"/>
      <c r="AD25" s="365"/>
      <c r="AE25" s="365"/>
      <c r="AF25" s="365"/>
      <c r="AG25" s="365"/>
      <c r="AH25" s="365"/>
      <c r="AI25" s="365"/>
      <c r="AJ25" s="365"/>
      <c r="AK25" s="365"/>
      <c r="AL25" s="365"/>
      <c r="AM25" s="365"/>
      <c r="AN25" s="365"/>
      <c r="AO25" s="365"/>
      <c r="AP25" s="365"/>
    </row>
    <row r="26" spans="1:42" ht="22.5">
      <c r="A26" s="823" t="s">
        <v>18</v>
      </c>
      <c r="B26" s="800"/>
      <c r="C26" s="800"/>
      <c r="D26" s="800"/>
      <c r="E26" s="800"/>
      <c r="F26" s="800"/>
      <c r="G26" s="800"/>
      <c r="H26" s="800"/>
      <c r="I26" s="800"/>
      <c r="J26" s="800"/>
      <c r="K26" s="800"/>
      <c r="L26" s="841" t="s">
        <v>1045</v>
      </c>
      <c r="M26" s="842" t="s">
        <v>314</v>
      </c>
      <c r="N26" s="840" t="s">
        <v>315</v>
      </c>
      <c r="O26" s="831"/>
      <c r="P26" s="834"/>
      <c r="Q26" s="835"/>
      <c r="R26" s="832"/>
      <c r="S26" s="831"/>
      <c r="T26" s="834"/>
      <c r="U26" s="834"/>
      <c r="V26" s="373">
        <v>0</v>
      </c>
      <c r="W26" s="368">
        <v>0</v>
      </c>
      <c r="X26" s="832"/>
      <c r="Y26" s="831"/>
      <c r="Z26" s="831"/>
      <c r="AA26" s="831"/>
      <c r="AB26" s="831"/>
      <c r="AC26" s="831"/>
      <c r="AD26" s="831"/>
      <c r="AE26" s="831"/>
      <c r="AF26" s="831"/>
      <c r="AG26" s="831"/>
      <c r="AH26" s="831"/>
      <c r="AI26" s="831"/>
      <c r="AJ26" s="831"/>
      <c r="AK26" s="831"/>
      <c r="AL26" s="831"/>
      <c r="AM26" s="831"/>
      <c r="AN26" s="831"/>
      <c r="AO26" s="831"/>
      <c r="AP26" s="831"/>
    </row>
    <row r="27" spans="1:42" ht="22.5">
      <c r="A27" s="823" t="s">
        <v>18</v>
      </c>
      <c r="B27" s="800"/>
      <c r="C27" s="800"/>
      <c r="D27" s="800"/>
      <c r="E27" s="800"/>
      <c r="F27" s="800"/>
      <c r="G27" s="800"/>
      <c r="H27" s="800"/>
      <c r="I27" s="800"/>
      <c r="J27" s="800"/>
      <c r="K27" s="800"/>
      <c r="L27" s="841" t="s">
        <v>1046</v>
      </c>
      <c r="M27" s="842" t="s">
        <v>316</v>
      </c>
      <c r="N27" s="840" t="s">
        <v>315</v>
      </c>
      <c r="O27" s="831"/>
      <c r="P27" s="834"/>
      <c r="Q27" s="835"/>
      <c r="R27" s="832"/>
      <c r="S27" s="831"/>
      <c r="T27" s="834"/>
      <c r="U27" s="834"/>
      <c r="V27" s="373">
        <v>0</v>
      </c>
      <c r="W27" s="368">
        <v>0</v>
      </c>
      <c r="X27" s="832"/>
      <c r="Y27" s="831"/>
      <c r="Z27" s="831"/>
      <c r="AA27" s="831"/>
      <c r="AB27" s="831"/>
      <c r="AC27" s="831"/>
      <c r="AD27" s="831"/>
      <c r="AE27" s="831"/>
      <c r="AF27" s="831"/>
      <c r="AG27" s="831"/>
      <c r="AH27" s="831"/>
      <c r="AI27" s="831"/>
      <c r="AJ27" s="831"/>
      <c r="AK27" s="831"/>
      <c r="AL27" s="831"/>
      <c r="AM27" s="831"/>
      <c r="AN27" s="831"/>
      <c r="AO27" s="831"/>
      <c r="AP27" s="831"/>
    </row>
    <row r="28" spans="1:42" ht="22.5">
      <c r="A28" s="823" t="s">
        <v>18</v>
      </c>
      <c r="B28" s="800"/>
      <c r="C28" s="800"/>
      <c r="D28" s="800"/>
      <c r="E28" s="800"/>
      <c r="F28" s="800"/>
      <c r="G28" s="800"/>
      <c r="H28" s="800"/>
      <c r="I28" s="800"/>
      <c r="J28" s="800"/>
      <c r="K28" s="800"/>
      <c r="L28" s="841" t="s">
        <v>1047</v>
      </c>
      <c r="M28" s="842" t="s">
        <v>317</v>
      </c>
      <c r="N28" s="840" t="s">
        <v>315</v>
      </c>
      <c r="O28" s="831"/>
      <c r="P28" s="834"/>
      <c r="Q28" s="835"/>
      <c r="R28" s="832"/>
      <c r="S28" s="831"/>
      <c r="T28" s="834"/>
      <c r="U28" s="834"/>
      <c r="V28" s="373">
        <v>0</v>
      </c>
      <c r="W28" s="368">
        <v>0</v>
      </c>
      <c r="X28" s="832"/>
      <c r="Y28" s="831"/>
      <c r="Z28" s="831"/>
      <c r="AA28" s="831"/>
      <c r="AB28" s="831"/>
      <c r="AC28" s="831"/>
      <c r="AD28" s="831"/>
      <c r="AE28" s="831"/>
      <c r="AF28" s="831"/>
      <c r="AG28" s="831"/>
      <c r="AH28" s="831"/>
      <c r="AI28" s="831"/>
      <c r="AJ28" s="831"/>
      <c r="AK28" s="831"/>
      <c r="AL28" s="831"/>
      <c r="AM28" s="831"/>
      <c r="AN28" s="831"/>
      <c r="AO28" s="831"/>
      <c r="AP28" s="831"/>
    </row>
    <row r="29" spans="1:42" ht="22.5">
      <c r="A29" s="823" t="s">
        <v>18</v>
      </c>
      <c r="B29" s="800"/>
      <c r="C29" s="800"/>
      <c r="D29" s="800"/>
      <c r="E29" s="800"/>
      <c r="F29" s="800"/>
      <c r="G29" s="800"/>
      <c r="H29" s="800"/>
      <c r="I29" s="800"/>
      <c r="J29" s="800"/>
      <c r="K29" s="800"/>
      <c r="L29" s="841" t="s">
        <v>1048</v>
      </c>
      <c r="M29" s="842" t="s">
        <v>318</v>
      </c>
      <c r="N29" s="840" t="s">
        <v>315</v>
      </c>
      <c r="O29" s="831"/>
      <c r="P29" s="834"/>
      <c r="Q29" s="835"/>
      <c r="R29" s="832"/>
      <c r="S29" s="831"/>
      <c r="T29" s="834"/>
      <c r="U29" s="834"/>
      <c r="V29" s="373">
        <v>0</v>
      </c>
      <c r="W29" s="368">
        <v>0</v>
      </c>
      <c r="X29" s="832"/>
      <c r="Y29" s="831"/>
      <c r="Z29" s="831"/>
      <c r="AA29" s="831"/>
      <c r="AB29" s="831"/>
      <c r="AC29" s="831"/>
      <c r="AD29" s="831"/>
      <c r="AE29" s="831"/>
      <c r="AF29" s="831"/>
      <c r="AG29" s="831"/>
      <c r="AH29" s="831"/>
      <c r="AI29" s="831"/>
      <c r="AJ29" s="831"/>
      <c r="AK29" s="831"/>
      <c r="AL29" s="831"/>
      <c r="AM29" s="831"/>
      <c r="AN29" s="831"/>
      <c r="AO29" s="831"/>
      <c r="AP29" s="831"/>
    </row>
    <row r="30" spans="1:42">
      <c r="A30" s="823" t="s">
        <v>18</v>
      </c>
      <c r="B30" s="800"/>
      <c r="C30" s="800"/>
      <c r="D30" s="800"/>
      <c r="E30" s="800"/>
      <c r="F30" s="800"/>
      <c r="G30" s="800"/>
      <c r="H30" s="800"/>
      <c r="I30" s="800"/>
      <c r="J30" s="800"/>
      <c r="K30" s="800"/>
      <c r="L30" s="828">
        <v>4</v>
      </c>
      <c r="M30" s="843" t="s">
        <v>319</v>
      </c>
      <c r="N30" s="830" t="s">
        <v>145</v>
      </c>
      <c r="O30" s="831"/>
      <c r="P30" s="834"/>
      <c r="Q30" s="835"/>
      <c r="R30" s="832"/>
      <c r="S30" s="831"/>
      <c r="T30" s="834"/>
      <c r="U30" s="834"/>
      <c r="V30" s="373">
        <v>0</v>
      </c>
      <c r="W30" s="368">
        <v>0</v>
      </c>
      <c r="X30" s="832"/>
      <c r="Y30" s="831"/>
      <c r="Z30" s="831"/>
      <c r="AA30" s="831"/>
      <c r="AB30" s="831"/>
      <c r="AC30" s="831"/>
      <c r="AD30" s="831"/>
      <c r="AE30" s="831"/>
      <c r="AF30" s="831"/>
      <c r="AG30" s="831"/>
      <c r="AH30" s="831"/>
      <c r="AI30" s="831"/>
      <c r="AJ30" s="831"/>
      <c r="AK30" s="831"/>
      <c r="AL30" s="831"/>
      <c r="AM30" s="831"/>
      <c r="AN30" s="831"/>
      <c r="AO30" s="831"/>
      <c r="AP30" s="831"/>
    </row>
    <row r="31" spans="1:42">
      <c r="A31" s="823" t="s">
        <v>18</v>
      </c>
      <c r="B31" s="800"/>
      <c r="C31" s="800"/>
      <c r="D31" s="800"/>
      <c r="E31" s="800"/>
      <c r="F31" s="800"/>
      <c r="G31" s="800"/>
      <c r="H31" s="800"/>
      <c r="I31" s="800"/>
      <c r="J31" s="800"/>
      <c r="K31" s="800"/>
      <c r="L31" s="828">
        <v>5</v>
      </c>
      <c r="M31" s="843" t="s">
        <v>320</v>
      </c>
      <c r="N31" s="830" t="s">
        <v>145</v>
      </c>
      <c r="O31" s="831"/>
      <c r="P31" s="834"/>
      <c r="Q31" s="835"/>
      <c r="R31" s="832"/>
      <c r="S31" s="831"/>
      <c r="T31" s="834"/>
      <c r="U31" s="834"/>
      <c r="V31" s="373">
        <v>0</v>
      </c>
      <c r="W31" s="368">
        <v>0</v>
      </c>
      <c r="X31" s="832"/>
      <c r="Y31" s="831"/>
      <c r="Z31" s="831"/>
      <c r="AA31" s="831"/>
      <c r="AB31" s="831"/>
      <c r="AC31" s="831"/>
      <c r="AD31" s="831"/>
      <c r="AE31" s="831"/>
      <c r="AF31" s="831"/>
      <c r="AG31" s="831"/>
      <c r="AH31" s="831"/>
      <c r="AI31" s="831"/>
      <c r="AJ31" s="831"/>
      <c r="AK31" s="831"/>
      <c r="AL31" s="831"/>
      <c r="AM31" s="831"/>
      <c r="AN31" s="831"/>
      <c r="AO31" s="831"/>
      <c r="AP31" s="831"/>
    </row>
    <row r="32" spans="1:42" s="82" customFormat="1">
      <c r="A32" s="823" t="s">
        <v>18</v>
      </c>
      <c r="B32" s="844"/>
      <c r="C32" s="844"/>
      <c r="D32" s="844"/>
      <c r="E32" s="844"/>
      <c r="F32" s="844"/>
      <c r="G32" s="844"/>
      <c r="H32" s="844"/>
      <c r="I32" s="844"/>
      <c r="J32" s="844"/>
      <c r="K32" s="844"/>
      <c r="L32" s="845" t="s">
        <v>124</v>
      </c>
      <c r="M32" s="846" t="s">
        <v>321</v>
      </c>
      <c r="N32" s="830"/>
      <c r="O32" s="847"/>
      <c r="P32" s="847"/>
      <c r="Q32" s="847"/>
      <c r="R32" s="848"/>
      <c r="S32" s="847"/>
      <c r="T32" s="847"/>
      <c r="U32" s="847"/>
      <c r="V32" s="373">
        <v>0</v>
      </c>
      <c r="W32" s="368">
        <v>0</v>
      </c>
      <c r="X32" s="848"/>
      <c r="Y32" s="847"/>
      <c r="Z32" s="847"/>
      <c r="AA32" s="847"/>
      <c r="AB32" s="847"/>
      <c r="AC32" s="847"/>
      <c r="AD32" s="847"/>
      <c r="AE32" s="847"/>
      <c r="AF32" s="847"/>
      <c r="AG32" s="847"/>
      <c r="AH32" s="847"/>
      <c r="AI32" s="847"/>
      <c r="AJ32" s="847"/>
      <c r="AK32" s="847"/>
      <c r="AL32" s="847"/>
      <c r="AM32" s="847"/>
      <c r="AN32" s="847"/>
      <c r="AO32" s="847"/>
      <c r="AP32" s="847"/>
    </row>
    <row r="33" spans="1:42" s="82" customFormat="1">
      <c r="A33" s="823" t="s">
        <v>18</v>
      </c>
      <c r="B33" s="844"/>
      <c r="C33" s="844"/>
      <c r="D33" s="844"/>
      <c r="E33" s="844"/>
      <c r="F33" s="844"/>
      <c r="G33" s="844"/>
      <c r="H33" s="844"/>
      <c r="I33" s="844"/>
      <c r="J33" s="844"/>
      <c r="K33" s="844"/>
      <c r="L33" s="845" t="s">
        <v>125</v>
      </c>
      <c r="M33" s="829" t="s">
        <v>322</v>
      </c>
      <c r="N33" s="830"/>
      <c r="O33" s="847"/>
      <c r="P33" s="847"/>
      <c r="Q33" s="847"/>
      <c r="R33" s="848"/>
      <c r="S33" s="847"/>
      <c r="T33" s="847"/>
      <c r="U33" s="847"/>
      <c r="V33" s="373">
        <v>0</v>
      </c>
      <c r="W33" s="368">
        <v>0</v>
      </c>
      <c r="X33" s="848"/>
      <c r="Y33" s="847"/>
      <c r="Z33" s="847"/>
      <c r="AA33" s="847"/>
      <c r="AB33" s="847"/>
      <c r="AC33" s="847"/>
      <c r="AD33" s="847"/>
      <c r="AE33" s="847"/>
      <c r="AF33" s="847"/>
      <c r="AG33" s="847"/>
      <c r="AH33" s="847"/>
      <c r="AI33" s="847"/>
      <c r="AJ33" s="847"/>
      <c r="AK33" s="847"/>
      <c r="AL33" s="847"/>
      <c r="AM33" s="847"/>
      <c r="AN33" s="847"/>
      <c r="AO33" s="847"/>
      <c r="AP33" s="847"/>
    </row>
    <row r="34" spans="1:42" hidden="1">
      <c r="A34" s="800" t="s">
        <v>1155</v>
      </c>
      <c r="B34" s="800"/>
      <c r="C34" s="800"/>
      <c r="D34" s="800"/>
      <c r="E34" s="800"/>
      <c r="F34" s="800"/>
      <c r="G34" s="800"/>
      <c r="H34" s="800"/>
      <c r="I34" s="800"/>
      <c r="J34" s="800"/>
      <c r="K34" s="800"/>
      <c r="L34" s="849"/>
      <c r="M34" s="850"/>
      <c r="N34" s="850"/>
      <c r="O34" s="850"/>
      <c r="P34" s="850"/>
      <c r="Q34" s="850"/>
      <c r="R34" s="850"/>
      <c r="S34" s="850"/>
      <c r="T34" s="850"/>
      <c r="U34" s="850"/>
      <c r="V34" s="850"/>
      <c r="W34" s="850"/>
      <c r="X34" s="850"/>
      <c r="Y34" s="850"/>
      <c r="Z34" s="850"/>
      <c r="AA34" s="850"/>
      <c r="AB34" s="850"/>
      <c r="AC34" s="850"/>
      <c r="AD34" s="850"/>
      <c r="AE34" s="850"/>
      <c r="AF34" s="850"/>
      <c r="AG34" s="850"/>
      <c r="AH34" s="850"/>
      <c r="AI34" s="850"/>
      <c r="AJ34" s="850"/>
      <c r="AK34" s="850"/>
      <c r="AL34" s="850"/>
      <c r="AM34" s="850"/>
      <c r="AN34" s="850"/>
      <c r="AO34" s="850"/>
      <c r="AP34" s="850"/>
    </row>
    <row r="35" spans="1:42">
      <c r="A35" s="800"/>
      <c r="B35" s="800"/>
      <c r="C35" s="800"/>
      <c r="D35" s="800"/>
      <c r="E35" s="800"/>
      <c r="F35" s="800"/>
      <c r="G35" s="800"/>
      <c r="H35" s="800"/>
      <c r="I35" s="800"/>
      <c r="J35" s="800"/>
      <c r="K35" s="800"/>
      <c r="L35" s="801"/>
      <c r="M35" s="800"/>
      <c r="N35" s="800"/>
      <c r="O35" s="800"/>
      <c r="P35" s="800"/>
      <c r="Q35" s="800"/>
      <c r="R35" s="800"/>
      <c r="S35" s="800"/>
      <c r="T35" s="800"/>
      <c r="U35" s="800"/>
      <c r="V35" s="800"/>
      <c r="W35" s="800"/>
      <c r="X35" s="800"/>
      <c r="Y35" s="800"/>
      <c r="Z35" s="800"/>
      <c r="AA35" s="800"/>
      <c r="AB35" s="800"/>
      <c r="AC35" s="800"/>
      <c r="AD35" s="800"/>
      <c r="AE35" s="800"/>
      <c r="AF35" s="800"/>
      <c r="AG35" s="800"/>
      <c r="AH35" s="800"/>
      <c r="AI35" s="800"/>
      <c r="AJ35" s="800"/>
      <c r="AK35" s="800"/>
      <c r="AL35" s="800"/>
      <c r="AM35" s="800"/>
      <c r="AN35" s="800"/>
      <c r="AO35" s="800"/>
      <c r="AP35" s="800"/>
    </row>
    <row r="36" spans="1:42">
      <c r="A36" s="800"/>
      <c r="B36" s="800"/>
      <c r="C36" s="800"/>
      <c r="D36" s="800"/>
      <c r="E36" s="800"/>
      <c r="F36" s="800"/>
      <c r="G36" s="800"/>
      <c r="H36" s="800"/>
      <c r="I36" s="800"/>
      <c r="J36" s="800"/>
      <c r="K36" s="800"/>
      <c r="L36" s="801"/>
      <c r="M36" s="800"/>
      <c r="N36" s="800"/>
      <c r="O36" s="800"/>
      <c r="P36" s="800"/>
      <c r="Q36" s="800"/>
      <c r="R36" s="800"/>
      <c r="S36" s="800"/>
      <c r="T36" s="800"/>
      <c r="U36" s="800"/>
      <c r="V36" s="800"/>
      <c r="W36" s="800"/>
      <c r="X36" s="800"/>
      <c r="Y36" s="800"/>
      <c r="Z36" s="800"/>
      <c r="AA36" s="800"/>
      <c r="AB36" s="800"/>
      <c r="AC36" s="800"/>
      <c r="AD36" s="800"/>
      <c r="AE36" s="800"/>
      <c r="AF36" s="800"/>
      <c r="AG36" s="800"/>
      <c r="AH36" s="800"/>
      <c r="AI36" s="800"/>
      <c r="AJ36" s="800"/>
      <c r="AK36" s="800"/>
      <c r="AL36" s="800"/>
      <c r="AM36" s="800"/>
      <c r="AN36" s="800"/>
      <c r="AO36" s="800"/>
      <c r="AP36" s="800"/>
    </row>
    <row r="37" spans="1:42">
      <c r="A37" s="800"/>
      <c r="B37" s="800"/>
      <c r="C37" s="800"/>
      <c r="D37" s="800"/>
      <c r="E37" s="800"/>
      <c r="F37" s="800"/>
      <c r="G37" s="800"/>
      <c r="H37" s="800"/>
      <c r="I37" s="800"/>
      <c r="J37" s="800"/>
      <c r="K37" s="800"/>
      <c r="L37" s="801"/>
      <c r="M37" s="800"/>
      <c r="N37" s="800"/>
      <c r="O37" s="800"/>
      <c r="P37" s="800"/>
      <c r="Q37" s="800"/>
      <c r="R37" s="800"/>
      <c r="S37" s="800"/>
      <c r="T37" s="800"/>
      <c r="U37" s="800"/>
      <c r="V37" s="800"/>
      <c r="W37" s="800"/>
      <c r="X37" s="800"/>
      <c r="Y37" s="800"/>
      <c r="Z37" s="800"/>
      <c r="AA37" s="800"/>
      <c r="AB37" s="800"/>
      <c r="AC37" s="800"/>
      <c r="AD37" s="800"/>
      <c r="AE37" s="800"/>
      <c r="AF37" s="800"/>
      <c r="AG37" s="800"/>
      <c r="AH37" s="800"/>
      <c r="AI37" s="800"/>
      <c r="AJ37" s="800"/>
      <c r="AK37" s="800"/>
      <c r="AL37" s="800"/>
      <c r="AM37" s="800"/>
      <c r="AN37" s="800"/>
      <c r="AO37" s="800"/>
      <c r="AP37" s="800"/>
    </row>
    <row r="38" spans="1:42">
      <c r="A38" s="800"/>
      <c r="B38" s="800"/>
      <c r="C38" s="800"/>
      <c r="D38" s="800"/>
      <c r="E38" s="800"/>
      <c r="F38" s="800"/>
      <c r="G38" s="800"/>
      <c r="H38" s="800"/>
      <c r="I38" s="800"/>
      <c r="J38" s="800"/>
      <c r="K38" s="800"/>
      <c r="L38" s="801"/>
      <c r="M38" s="800"/>
      <c r="N38" s="800"/>
      <c r="O38" s="800"/>
      <c r="P38" s="800"/>
      <c r="Q38" s="800"/>
      <c r="R38" s="800"/>
      <c r="S38" s="800"/>
      <c r="T38" s="800"/>
      <c r="U38" s="800"/>
      <c r="V38" s="800"/>
      <c r="W38" s="800"/>
      <c r="X38" s="800"/>
      <c r="Y38" s="800"/>
      <c r="Z38" s="800"/>
      <c r="AA38" s="800"/>
      <c r="AB38" s="800"/>
      <c r="AC38" s="800"/>
      <c r="AD38" s="800"/>
      <c r="AE38" s="800"/>
      <c r="AF38" s="800"/>
      <c r="AG38" s="800"/>
      <c r="AH38" s="800"/>
      <c r="AI38" s="800"/>
      <c r="AJ38" s="800"/>
      <c r="AK38" s="800"/>
      <c r="AL38" s="800"/>
      <c r="AM38" s="800"/>
      <c r="AN38" s="800"/>
      <c r="AO38" s="800"/>
      <c r="AP38" s="800"/>
    </row>
    <row r="39" spans="1:42">
      <c r="A39" s="800"/>
      <c r="B39" s="800"/>
      <c r="C39" s="800"/>
      <c r="D39" s="800"/>
      <c r="E39" s="800"/>
      <c r="F39" s="800"/>
      <c r="G39" s="800"/>
      <c r="H39" s="800"/>
      <c r="I39" s="800"/>
      <c r="J39" s="800"/>
      <c r="K39" s="800"/>
      <c r="L39" s="801"/>
      <c r="M39" s="800"/>
      <c r="N39" s="800"/>
      <c r="O39" s="800"/>
      <c r="P39" s="800"/>
      <c r="Q39" s="800"/>
      <c r="R39" s="800"/>
      <c r="S39" s="800"/>
      <c r="T39" s="800"/>
      <c r="U39" s="800"/>
      <c r="V39" s="800"/>
      <c r="W39" s="800"/>
      <c r="X39" s="800"/>
      <c r="Y39" s="800"/>
      <c r="Z39" s="800"/>
      <c r="AA39" s="800"/>
      <c r="AB39" s="800"/>
      <c r="AC39" s="800"/>
      <c r="AD39" s="800"/>
      <c r="AE39" s="800"/>
      <c r="AF39" s="800"/>
      <c r="AG39" s="800"/>
      <c r="AH39" s="800"/>
      <c r="AI39" s="800"/>
      <c r="AJ39" s="800"/>
      <c r="AK39" s="800"/>
      <c r="AL39" s="800"/>
      <c r="AM39" s="800"/>
      <c r="AN39" s="800"/>
      <c r="AO39" s="800"/>
      <c r="AP39" s="800"/>
    </row>
  </sheetData>
  <sheetProtection formatColumns="0" formatRows="0" autoFilter="0"/>
  <mergeCells count="3">
    <mergeCell ref="L14:L15"/>
    <mergeCell ref="M14:M15"/>
    <mergeCell ref="N14:N15"/>
  </mergeCells>
  <phoneticPr fontId="12" type="noConversion"/>
  <dataValidations count="4">
    <dataValidation type="decimal" operator="greaterThanOrEqual" allowBlank="1" sqref="O34:Q34 S34:U34 Y34:AP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X18:X20 R26:R33 X26:X33 R23:R24 X23:X24 R18:R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69"/>
  <sheetViews>
    <sheetView showGridLines="0" view="pageBreakPreview" topLeftCell="K17" zoomScale="59" zoomScaleNormal="100" zoomScaleSheetLayoutView="59" workbookViewId="0">
      <selection activeCell="L69" sqref="L69:AM69"/>
    </sheetView>
  </sheetViews>
  <sheetFormatPr defaultColWidth="9.140625" defaultRowHeight="11.25"/>
  <cols>
    <col min="1" max="6" width="2.7109375" style="88" hidden="1" customWidth="1"/>
    <col min="7" max="7" width="8" style="88" hidden="1" customWidth="1"/>
    <col min="8" max="10" width="2.7109375" style="88" hidden="1" customWidth="1"/>
    <col min="11" max="11" width="3.7109375" style="88" hidden="1" customWidth="1"/>
    <col min="12" max="12" width="9.7109375" style="90" customWidth="1"/>
    <col min="13" max="13" width="50.7109375" style="90" customWidth="1"/>
    <col min="14" max="14" width="11" style="90" customWidth="1"/>
    <col min="15" max="15" width="8.7109375" style="88" customWidth="1"/>
    <col min="16" max="16" width="10" style="88" customWidth="1"/>
    <col min="17" max="17" width="11" style="88" customWidth="1"/>
    <col min="18" max="18" width="11.140625" style="88" customWidth="1"/>
    <col min="19" max="19" width="11.28515625" style="88" customWidth="1"/>
    <col min="20" max="28" width="8.7109375" style="88" hidden="1" customWidth="1"/>
    <col min="29" max="29" width="11" style="88" customWidth="1"/>
    <col min="30" max="38" width="8.7109375" style="88" hidden="1" customWidth="1"/>
    <col min="39" max="39" width="20.7109375" style="90" customWidth="1"/>
    <col min="40" max="16384" width="9.140625" style="88"/>
  </cols>
  <sheetData>
    <row r="1" spans="1:39" hidden="1">
      <c r="A1" s="851"/>
      <c r="B1" s="851"/>
      <c r="C1" s="851"/>
      <c r="D1" s="851"/>
      <c r="E1" s="851"/>
      <c r="F1" s="851"/>
      <c r="G1" s="851"/>
      <c r="H1" s="851"/>
      <c r="I1" s="851"/>
      <c r="J1" s="851"/>
      <c r="K1" s="851"/>
      <c r="L1" s="821"/>
      <c r="M1" s="821"/>
      <c r="N1" s="821"/>
      <c r="O1" s="851"/>
      <c r="P1" s="851"/>
      <c r="Q1" s="851"/>
      <c r="R1" s="851"/>
      <c r="S1" s="851">
        <v>2024</v>
      </c>
      <c r="T1" s="851">
        <v>2025</v>
      </c>
      <c r="U1" s="851">
        <v>2026</v>
      </c>
      <c r="V1" s="851">
        <v>2027</v>
      </c>
      <c r="W1" s="851">
        <v>2028</v>
      </c>
      <c r="X1" s="851">
        <v>2029</v>
      </c>
      <c r="Y1" s="851">
        <v>2030</v>
      </c>
      <c r="Z1" s="851">
        <v>2031</v>
      </c>
      <c r="AA1" s="851">
        <v>2032</v>
      </c>
      <c r="AB1" s="851">
        <v>2033</v>
      </c>
      <c r="AC1" s="851">
        <v>2024</v>
      </c>
      <c r="AD1" s="851">
        <v>2025</v>
      </c>
      <c r="AE1" s="851">
        <v>2026</v>
      </c>
      <c r="AF1" s="851">
        <v>2027</v>
      </c>
      <c r="AG1" s="851">
        <v>2028</v>
      </c>
      <c r="AH1" s="851">
        <v>2029</v>
      </c>
      <c r="AI1" s="851">
        <v>2030</v>
      </c>
      <c r="AJ1" s="851">
        <v>2031</v>
      </c>
      <c r="AK1" s="851">
        <v>2032</v>
      </c>
      <c r="AL1" s="851">
        <v>2033</v>
      </c>
      <c r="AM1" s="821"/>
    </row>
    <row r="2" spans="1:39" hidden="1">
      <c r="A2" s="851"/>
      <c r="B2" s="851"/>
      <c r="C2" s="851"/>
      <c r="D2" s="851"/>
      <c r="E2" s="851"/>
      <c r="F2" s="851"/>
      <c r="G2" s="851"/>
      <c r="H2" s="851"/>
      <c r="I2" s="851"/>
      <c r="J2" s="851"/>
      <c r="K2" s="851"/>
      <c r="L2" s="821"/>
      <c r="M2" s="821"/>
      <c r="N2" s="821"/>
      <c r="O2" s="851"/>
      <c r="P2" s="851"/>
      <c r="Q2" s="851"/>
      <c r="R2" s="851"/>
      <c r="S2" s="851" t="s">
        <v>287</v>
      </c>
      <c r="T2" s="851" t="s">
        <v>287</v>
      </c>
      <c r="U2" s="851" t="s">
        <v>287</v>
      </c>
      <c r="V2" s="851" t="s">
        <v>287</v>
      </c>
      <c r="W2" s="851" t="s">
        <v>287</v>
      </c>
      <c r="X2" s="851" t="s">
        <v>287</v>
      </c>
      <c r="Y2" s="851" t="s">
        <v>287</v>
      </c>
      <c r="Z2" s="851" t="s">
        <v>287</v>
      </c>
      <c r="AA2" s="851" t="s">
        <v>287</v>
      </c>
      <c r="AB2" s="851" t="s">
        <v>287</v>
      </c>
      <c r="AC2" s="851" t="s">
        <v>286</v>
      </c>
      <c r="AD2" s="851" t="s">
        <v>286</v>
      </c>
      <c r="AE2" s="851" t="s">
        <v>286</v>
      </c>
      <c r="AF2" s="851" t="s">
        <v>286</v>
      </c>
      <c r="AG2" s="851" t="s">
        <v>286</v>
      </c>
      <c r="AH2" s="851" t="s">
        <v>286</v>
      </c>
      <c r="AI2" s="851" t="s">
        <v>286</v>
      </c>
      <c r="AJ2" s="851" t="s">
        <v>286</v>
      </c>
      <c r="AK2" s="851" t="s">
        <v>286</v>
      </c>
      <c r="AL2" s="851" t="s">
        <v>286</v>
      </c>
      <c r="AM2" s="821"/>
    </row>
    <row r="3" spans="1:39" hidden="1">
      <c r="A3" s="851"/>
      <c r="B3" s="851"/>
      <c r="C3" s="851"/>
      <c r="D3" s="851"/>
      <c r="E3" s="851"/>
      <c r="F3" s="851"/>
      <c r="G3" s="851"/>
      <c r="H3" s="851"/>
      <c r="I3" s="851"/>
      <c r="J3" s="851"/>
      <c r="K3" s="851"/>
      <c r="L3" s="821"/>
      <c r="M3" s="821"/>
      <c r="N3" s="821"/>
      <c r="O3" s="851"/>
      <c r="P3" s="851"/>
      <c r="Q3" s="851"/>
      <c r="R3" s="851"/>
      <c r="S3" s="851" t="s">
        <v>2575</v>
      </c>
      <c r="T3" s="851" t="s">
        <v>2580</v>
      </c>
      <c r="U3" s="851" t="s">
        <v>2582</v>
      </c>
      <c r="V3" s="851" t="s">
        <v>2584</v>
      </c>
      <c r="W3" s="851" t="s">
        <v>2586</v>
      </c>
      <c r="X3" s="851" t="s">
        <v>2588</v>
      </c>
      <c r="Y3" s="851" t="s">
        <v>2590</v>
      </c>
      <c r="Z3" s="851" t="s">
        <v>2592</v>
      </c>
      <c r="AA3" s="851" t="s">
        <v>2594</v>
      </c>
      <c r="AB3" s="851" t="s">
        <v>2596</v>
      </c>
      <c r="AC3" s="851" t="s">
        <v>2576</v>
      </c>
      <c r="AD3" s="851" t="s">
        <v>2581</v>
      </c>
      <c r="AE3" s="851" t="s">
        <v>2583</v>
      </c>
      <c r="AF3" s="851" t="s">
        <v>2585</v>
      </c>
      <c r="AG3" s="851" t="s">
        <v>2587</v>
      </c>
      <c r="AH3" s="851" t="s">
        <v>2589</v>
      </c>
      <c r="AI3" s="851" t="s">
        <v>2591</v>
      </c>
      <c r="AJ3" s="851" t="s">
        <v>2593</v>
      </c>
      <c r="AK3" s="851" t="s">
        <v>2595</v>
      </c>
      <c r="AL3" s="851" t="s">
        <v>2597</v>
      </c>
      <c r="AM3" s="821"/>
    </row>
    <row r="4" spans="1:39" hidden="1">
      <c r="A4" s="851"/>
      <c r="B4" s="851"/>
      <c r="C4" s="851"/>
      <c r="D4" s="851"/>
      <c r="E4" s="851"/>
      <c r="F4" s="851"/>
      <c r="G4" s="851"/>
      <c r="H4" s="851"/>
      <c r="I4" s="851"/>
      <c r="J4" s="851"/>
      <c r="K4" s="851"/>
      <c r="L4" s="821"/>
      <c r="M4" s="821"/>
      <c r="N4" s="82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21"/>
    </row>
    <row r="5" spans="1:39" hidden="1">
      <c r="A5" s="851"/>
      <c r="B5" s="851"/>
      <c r="C5" s="851"/>
      <c r="D5" s="851"/>
      <c r="E5" s="851"/>
      <c r="F5" s="851"/>
      <c r="G5" s="851"/>
      <c r="H5" s="851"/>
      <c r="I5" s="851"/>
      <c r="J5" s="851"/>
      <c r="K5" s="851"/>
      <c r="L5" s="821"/>
      <c r="M5" s="821"/>
      <c r="N5" s="821"/>
      <c r="O5" s="851"/>
      <c r="P5" s="851"/>
      <c r="Q5" s="851"/>
      <c r="R5" s="851"/>
      <c r="S5" s="851"/>
      <c r="T5" s="851"/>
      <c r="U5" s="851"/>
      <c r="V5" s="851"/>
      <c r="W5" s="851"/>
      <c r="X5" s="851"/>
      <c r="Y5" s="851"/>
      <c r="Z5" s="851"/>
      <c r="AA5" s="851"/>
      <c r="AB5" s="851"/>
      <c r="AC5" s="851"/>
      <c r="AD5" s="851"/>
      <c r="AE5" s="851"/>
      <c r="AF5" s="851"/>
      <c r="AG5" s="851"/>
      <c r="AH5" s="851"/>
      <c r="AI5" s="851"/>
      <c r="AJ5" s="851"/>
      <c r="AK5" s="851"/>
      <c r="AL5" s="851"/>
      <c r="AM5" s="821"/>
    </row>
    <row r="6" spans="1:39" hidden="1">
      <c r="A6" s="851"/>
      <c r="B6" s="851"/>
      <c r="C6" s="851"/>
      <c r="D6" s="851"/>
      <c r="E6" s="851"/>
      <c r="F6" s="851"/>
      <c r="G6" s="851"/>
      <c r="H6" s="851"/>
      <c r="I6" s="851"/>
      <c r="J6" s="851"/>
      <c r="K6" s="851"/>
      <c r="L6" s="821"/>
      <c r="M6" s="821"/>
      <c r="N6" s="82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21"/>
    </row>
    <row r="7" spans="1:39" hidden="1">
      <c r="A7" s="851"/>
      <c r="B7" s="851"/>
      <c r="C7" s="851"/>
      <c r="D7" s="851"/>
      <c r="E7" s="851"/>
      <c r="F7" s="851"/>
      <c r="G7" s="851"/>
      <c r="H7" s="851"/>
      <c r="I7" s="851"/>
      <c r="J7" s="851"/>
      <c r="K7" s="851"/>
      <c r="L7" s="821"/>
      <c r="M7" s="821"/>
      <c r="N7" s="821"/>
      <c r="O7" s="851"/>
      <c r="P7" s="851"/>
      <c r="Q7" s="851"/>
      <c r="R7" s="851"/>
      <c r="S7" s="800" t="b">
        <v>1</v>
      </c>
      <c r="T7" s="800" t="b">
        <v>0</v>
      </c>
      <c r="U7" s="800" t="b">
        <v>0</v>
      </c>
      <c r="V7" s="800" t="b">
        <v>0</v>
      </c>
      <c r="W7" s="800" t="b">
        <v>0</v>
      </c>
      <c r="X7" s="800" t="b">
        <v>0</v>
      </c>
      <c r="Y7" s="800" t="b">
        <v>0</v>
      </c>
      <c r="Z7" s="800" t="b">
        <v>0</v>
      </c>
      <c r="AA7" s="800" t="b">
        <v>0</v>
      </c>
      <c r="AB7" s="800" t="b">
        <v>0</v>
      </c>
      <c r="AC7" s="800" t="b">
        <v>1</v>
      </c>
      <c r="AD7" s="800" t="b">
        <v>0</v>
      </c>
      <c r="AE7" s="800" t="b">
        <v>0</v>
      </c>
      <c r="AF7" s="800" t="b">
        <v>0</v>
      </c>
      <c r="AG7" s="800" t="b">
        <v>0</v>
      </c>
      <c r="AH7" s="800" t="b">
        <v>0</v>
      </c>
      <c r="AI7" s="800" t="b">
        <v>0</v>
      </c>
      <c r="AJ7" s="800" t="b">
        <v>0</v>
      </c>
      <c r="AK7" s="800" t="b">
        <v>0</v>
      </c>
      <c r="AL7" s="800" t="b">
        <v>0</v>
      </c>
      <c r="AM7" s="821"/>
    </row>
    <row r="8" spans="1:39" hidden="1">
      <c r="A8" s="851"/>
      <c r="B8" s="851"/>
      <c r="C8" s="851"/>
      <c r="D8" s="851"/>
      <c r="E8" s="851"/>
      <c r="F8" s="851"/>
      <c r="G8" s="851"/>
      <c r="H8" s="851"/>
      <c r="I8" s="851"/>
      <c r="J8" s="851"/>
      <c r="K8" s="851"/>
      <c r="L8" s="821"/>
      <c r="M8" s="821"/>
      <c r="N8" s="821"/>
      <c r="O8" s="851"/>
      <c r="P8" s="851"/>
      <c r="Q8" s="851"/>
      <c r="R8" s="851"/>
      <c r="S8" s="851"/>
      <c r="T8" s="851"/>
      <c r="U8" s="851"/>
      <c r="V8" s="851"/>
      <c r="W8" s="851"/>
      <c r="X8" s="851"/>
      <c r="Y8" s="851"/>
      <c r="Z8" s="851"/>
      <c r="AA8" s="851"/>
      <c r="AB8" s="851"/>
      <c r="AC8" s="851"/>
      <c r="AD8" s="851"/>
      <c r="AE8" s="851"/>
      <c r="AF8" s="851"/>
      <c r="AG8" s="851"/>
      <c r="AH8" s="851"/>
      <c r="AI8" s="851"/>
      <c r="AJ8" s="851"/>
      <c r="AK8" s="851"/>
      <c r="AL8" s="851"/>
      <c r="AM8" s="821"/>
    </row>
    <row r="9" spans="1:39" hidden="1">
      <c r="A9" s="851"/>
      <c r="B9" s="851"/>
      <c r="C9" s="851"/>
      <c r="D9" s="851"/>
      <c r="E9" s="851"/>
      <c r="F9" s="851"/>
      <c r="G9" s="851"/>
      <c r="H9" s="851"/>
      <c r="I9" s="851"/>
      <c r="J9" s="851"/>
      <c r="K9" s="851"/>
      <c r="L9" s="821"/>
      <c r="M9" s="821"/>
      <c r="N9" s="82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21"/>
    </row>
    <row r="10" spans="1:39" hidden="1">
      <c r="A10" s="851"/>
      <c r="B10" s="851"/>
      <c r="C10" s="851"/>
      <c r="D10" s="851"/>
      <c r="E10" s="851"/>
      <c r="F10" s="851"/>
      <c r="G10" s="851"/>
      <c r="H10" s="851"/>
      <c r="I10" s="851"/>
      <c r="J10" s="851"/>
      <c r="K10" s="851"/>
      <c r="L10" s="821"/>
      <c r="M10" s="821"/>
      <c r="N10" s="821"/>
      <c r="O10" s="851"/>
      <c r="P10" s="851"/>
      <c r="Q10" s="851"/>
      <c r="R10" s="851"/>
      <c r="S10" s="851"/>
      <c r="T10" s="851"/>
      <c r="U10" s="851"/>
      <c r="V10" s="851"/>
      <c r="W10" s="851"/>
      <c r="X10" s="851"/>
      <c r="Y10" s="851"/>
      <c r="Z10" s="851"/>
      <c r="AA10" s="851"/>
      <c r="AB10" s="851"/>
      <c r="AC10" s="851"/>
      <c r="AD10" s="851"/>
      <c r="AE10" s="851"/>
      <c r="AF10" s="851"/>
      <c r="AG10" s="851"/>
      <c r="AH10" s="851"/>
      <c r="AI10" s="851"/>
      <c r="AJ10" s="851"/>
      <c r="AK10" s="851"/>
      <c r="AL10" s="851"/>
      <c r="AM10" s="821"/>
    </row>
    <row r="11" spans="1:39" ht="15" hidden="1" customHeight="1">
      <c r="A11" s="851"/>
      <c r="B11" s="851"/>
      <c r="C11" s="851"/>
      <c r="D11" s="851"/>
      <c r="E11" s="851"/>
      <c r="F11" s="851"/>
      <c r="G11" s="851"/>
      <c r="H11" s="851"/>
      <c r="I11" s="851"/>
      <c r="J11" s="851"/>
      <c r="K11" s="851"/>
      <c r="L11" s="821"/>
      <c r="M11" s="806"/>
      <c r="N11" s="821"/>
      <c r="O11" s="851"/>
      <c r="P11" s="851"/>
      <c r="Q11" s="851"/>
      <c r="R11" s="851"/>
      <c r="S11" s="851"/>
      <c r="T11" s="851"/>
      <c r="U11" s="851"/>
      <c r="V11" s="851"/>
      <c r="W11" s="851"/>
      <c r="X11" s="851"/>
      <c r="Y11" s="851"/>
      <c r="Z11" s="851"/>
      <c r="AA11" s="851"/>
      <c r="AB11" s="851"/>
      <c r="AC11" s="851"/>
      <c r="AD11" s="851"/>
      <c r="AE11" s="851"/>
      <c r="AF11" s="851"/>
      <c r="AG11" s="851"/>
      <c r="AH11" s="851"/>
      <c r="AI11" s="851"/>
      <c r="AJ11" s="851"/>
      <c r="AK11" s="851"/>
      <c r="AL11" s="851"/>
      <c r="AM11" s="821"/>
    </row>
    <row r="12" spans="1:39" s="89" customFormat="1" ht="20.100000000000001" customHeight="1">
      <c r="A12" s="852"/>
      <c r="B12" s="852"/>
      <c r="C12" s="852"/>
      <c r="D12" s="852"/>
      <c r="E12" s="852"/>
      <c r="F12" s="852"/>
      <c r="G12" s="852"/>
      <c r="H12" s="852"/>
      <c r="I12" s="852"/>
      <c r="J12" s="852"/>
      <c r="K12" s="852"/>
      <c r="L12" s="481" t="s">
        <v>1278</v>
      </c>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row>
    <row r="13" spans="1:39" ht="11.25" customHeight="1">
      <c r="A13" s="851"/>
      <c r="B13" s="851"/>
      <c r="C13" s="851"/>
      <c r="D13" s="851"/>
      <c r="E13" s="851"/>
      <c r="F13" s="851"/>
      <c r="G13" s="851"/>
      <c r="H13" s="851"/>
      <c r="I13" s="851"/>
      <c r="J13" s="851"/>
      <c r="K13" s="851"/>
      <c r="L13" s="821"/>
      <c r="M13" s="821"/>
      <c r="N13" s="821"/>
      <c r="O13" s="851"/>
      <c r="P13" s="851"/>
      <c r="Q13" s="851"/>
      <c r="R13" s="851"/>
      <c r="S13" s="851"/>
      <c r="T13" s="851"/>
      <c r="U13" s="851"/>
      <c r="V13" s="851"/>
      <c r="W13" s="851"/>
      <c r="X13" s="851"/>
      <c r="Y13" s="851"/>
      <c r="Z13" s="851"/>
      <c r="AA13" s="851"/>
      <c r="AB13" s="851"/>
      <c r="AC13" s="851"/>
      <c r="AD13" s="851"/>
      <c r="AE13" s="851"/>
      <c r="AF13" s="851"/>
      <c r="AG13" s="851"/>
      <c r="AH13" s="851"/>
      <c r="AI13" s="851"/>
      <c r="AJ13" s="851"/>
      <c r="AK13" s="851"/>
      <c r="AL13" s="851"/>
      <c r="AM13" s="821"/>
    </row>
    <row r="14" spans="1:39" s="89" customFormat="1" ht="15" customHeight="1">
      <c r="A14" s="852"/>
      <c r="B14" s="852"/>
      <c r="C14" s="852"/>
      <c r="D14" s="852"/>
      <c r="E14" s="852"/>
      <c r="F14" s="852"/>
      <c r="G14" s="852" t="b">
        <v>1</v>
      </c>
      <c r="H14" s="852"/>
      <c r="I14" s="852"/>
      <c r="J14" s="852"/>
      <c r="K14" s="852"/>
      <c r="L14" s="853" t="s">
        <v>1296</v>
      </c>
      <c r="M14" s="853"/>
      <c r="N14" s="853"/>
      <c r="O14" s="853"/>
      <c r="P14" s="853"/>
      <c r="Q14" s="853"/>
      <c r="R14" s="853"/>
      <c r="S14" s="853"/>
      <c r="T14" s="853"/>
      <c r="U14" s="853"/>
      <c r="V14" s="853"/>
      <c r="W14" s="853"/>
      <c r="X14" s="853"/>
      <c r="Y14" s="853"/>
      <c r="Z14" s="853"/>
      <c r="AA14" s="853"/>
      <c r="AB14" s="853"/>
      <c r="AC14" s="853"/>
      <c r="AD14" s="853"/>
      <c r="AE14" s="853"/>
      <c r="AF14" s="853"/>
      <c r="AG14" s="853"/>
      <c r="AH14" s="853"/>
      <c r="AI14" s="853"/>
      <c r="AJ14" s="853"/>
      <c r="AK14" s="853"/>
      <c r="AL14" s="853"/>
      <c r="AM14" s="853"/>
    </row>
    <row r="15" spans="1:39" s="90" customFormat="1" ht="15" customHeight="1">
      <c r="A15" s="821"/>
      <c r="B15" s="821"/>
      <c r="C15" s="821"/>
      <c r="D15" s="821"/>
      <c r="E15" s="821"/>
      <c r="F15" s="821"/>
      <c r="G15" s="852" t="b">
        <v>1</v>
      </c>
      <c r="H15" s="821"/>
      <c r="I15" s="821"/>
      <c r="J15" s="821"/>
      <c r="K15" s="821"/>
      <c r="L15" s="854" t="s">
        <v>16</v>
      </c>
      <c r="M15" s="855" t="s">
        <v>121</v>
      </c>
      <c r="N15" s="815" t="s">
        <v>143</v>
      </c>
      <c r="O15" s="856" t="s">
        <v>2567</v>
      </c>
      <c r="P15" s="856" t="s">
        <v>2567</v>
      </c>
      <c r="Q15" s="856" t="s">
        <v>2567</v>
      </c>
      <c r="R15" s="857" t="s">
        <v>2568</v>
      </c>
      <c r="S15" s="817" t="s">
        <v>2569</v>
      </c>
      <c r="T15" s="817" t="s">
        <v>2598</v>
      </c>
      <c r="U15" s="817" t="s">
        <v>2599</v>
      </c>
      <c r="V15" s="817" t="s">
        <v>2600</v>
      </c>
      <c r="W15" s="817" t="s">
        <v>2601</v>
      </c>
      <c r="X15" s="817" t="s">
        <v>2602</v>
      </c>
      <c r="Y15" s="817" t="s">
        <v>2603</v>
      </c>
      <c r="Z15" s="817" t="s">
        <v>2604</v>
      </c>
      <c r="AA15" s="817" t="s">
        <v>2605</v>
      </c>
      <c r="AB15" s="817" t="s">
        <v>2606</v>
      </c>
      <c r="AC15" s="817" t="s">
        <v>2569</v>
      </c>
      <c r="AD15" s="817" t="s">
        <v>2598</v>
      </c>
      <c r="AE15" s="817" t="s">
        <v>2599</v>
      </c>
      <c r="AF15" s="817" t="s">
        <v>2600</v>
      </c>
      <c r="AG15" s="817" t="s">
        <v>2601</v>
      </c>
      <c r="AH15" s="817" t="s">
        <v>2602</v>
      </c>
      <c r="AI15" s="817" t="s">
        <v>2603</v>
      </c>
      <c r="AJ15" s="817" t="s">
        <v>2604</v>
      </c>
      <c r="AK15" s="817" t="s">
        <v>2605</v>
      </c>
      <c r="AL15" s="817" t="s">
        <v>2606</v>
      </c>
      <c r="AM15" s="858" t="s">
        <v>323</v>
      </c>
    </row>
    <row r="16" spans="1:39" s="90" customFormat="1" ht="69.95" customHeight="1">
      <c r="A16" s="821"/>
      <c r="B16" s="821"/>
      <c r="C16" s="821"/>
      <c r="D16" s="821"/>
      <c r="E16" s="821"/>
      <c r="F16" s="821"/>
      <c r="G16" s="852" t="b">
        <v>1</v>
      </c>
      <c r="H16" s="821"/>
      <c r="I16" s="821"/>
      <c r="J16" s="821"/>
      <c r="K16" s="821"/>
      <c r="L16" s="854"/>
      <c r="M16" s="859"/>
      <c r="N16" s="815"/>
      <c r="O16" s="817" t="s">
        <v>286</v>
      </c>
      <c r="P16" s="817" t="s">
        <v>324</v>
      </c>
      <c r="Q16" s="817" t="s">
        <v>304</v>
      </c>
      <c r="R16" s="817" t="s">
        <v>286</v>
      </c>
      <c r="S16" s="860" t="s">
        <v>287</v>
      </c>
      <c r="T16" s="860" t="s">
        <v>287</v>
      </c>
      <c r="U16" s="860" t="s">
        <v>287</v>
      </c>
      <c r="V16" s="860" t="s">
        <v>287</v>
      </c>
      <c r="W16" s="860" t="s">
        <v>287</v>
      </c>
      <c r="X16" s="860" t="s">
        <v>287</v>
      </c>
      <c r="Y16" s="860" t="s">
        <v>287</v>
      </c>
      <c r="Z16" s="860" t="s">
        <v>287</v>
      </c>
      <c r="AA16" s="860" t="s">
        <v>287</v>
      </c>
      <c r="AB16" s="860" t="s">
        <v>287</v>
      </c>
      <c r="AC16" s="860" t="s">
        <v>286</v>
      </c>
      <c r="AD16" s="860" t="s">
        <v>286</v>
      </c>
      <c r="AE16" s="860" t="s">
        <v>286</v>
      </c>
      <c r="AF16" s="860" t="s">
        <v>286</v>
      </c>
      <c r="AG16" s="860" t="s">
        <v>286</v>
      </c>
      <c r="AH16" s="860" t="s">
        <v>286</v>
      </c>
      <c r="AI16" s="860" t="s">
        <v>286</v>
      </c>
      <c r="AJ16" s="860" t="s">
        <v>286</v>
      </c>
      <c r="AK16" s="860" t="s">
        <v>286</v>
      </c>
      <c r="AL16" s="860" t="s">
        <v>286</v>
      </c>
      <c r="AM16" s="858"/>
    </row>
    <row r="17" spans="1:39">
      <c r="A17" s="861" t="s">
        <v>18</v>
      </c>
      <c r="B17" s="851"/>
      <c r="C17" s="851"/>
      <c r="D17" s="851"/>
      <c r="E17" s="851"/>
      <c r="F17" s="851"/>
      <c r="G17" s="851"/>
      <c r="H17" s="851"/>
      <c r="I17" s="851"/>
      <c r="J17" s="851"/>
      <c r="K17" s="851"/>
      <c r="L17" s="862" t="s">
        <v>2545</v>
      </c>
      <c r="M17" s="755"/>
      <c r="N17" s="755"/>
      <c r="O17" s="755"/>
      <c r="P17" s="755"/>
      <c r="Q17" s="755"/>
      <c r="R17" s="755"/>
      <c r="S17" s="755"/>
      <c r="T17" s="755"/>
      <c r="U17" s="755"/>
      <c r="V17" s="755"/>
      <c r="W17" s="755"/>
      <c r="X17" s="755"/>
      <c r="Y17" s="755"/>
      <c r="Z17" s="755"/>
      <c r="AA17" s="755"/>
      <c r="AB17" s="755"/>
      <c r="AC17" s="755"/>
      <c r="AD17" s="755"/>
      <c r="AE17" s="755"/>
      <c r="AF17" s="755"/>
      <c r="AG17" s="755"/>
      <c r="AH17" s="755"/>
      <c r="AI17" s="755"/>
      <c r="AJ17" s="755"/>
      <c r="AK17" s="755"/>
      <c r="AL17" s="755"/>
      <c r="AM17" s="755"/>
    </row>
    <row r="18" spans="1:39">
      <c r="A18" s="861" t="s">
        <v>18</v>
      </c>
      <c r="B18" s="851"/>
      <c r="C18" s="851"/>
      <c r="D18" s="851"/>
      <c r="E18" s="851"/>
      <c r="F18" s="851"/>
      <c r="G18" s="851"/>
      <c r="H18" s="851"/>
      <c r="I18" s="851"/>
      <c r="J18" s="851"/>
      <c r="K18" s="851"/>
      <c r="L18" s="863" t="s">
        <v>18</v>
      </c>
      <c r="M18" s="864" t="s">
        <v>328</v>
      </c>
      <c r="N18" s="817"/>
      <c r="O18" s="865" t="s">
        <v>1029</v>
      </c>
      <c r="P18" s="866"/>
      <c r="Q18" s="866"/>
      <c r="R18" s="866"/>
      <c r="S18" s="866"/>
      <c r="T18" s="866"/>
      <c r="U18" s="866"/>
      <c r="V18" s="866"/>
      <c r="W18" s="866"/>
      <c r="X18" s="866"/>
      <c r="Y18" s="866"/>
      <c r="Z18" s="866"/>
      <c r="AA18" s="866"/>
      <c r="AB18" s="866"/>
      <c r="AC18" s="866"/>
      <c r="AD18" s="866"/>
      <c r="AE18" s="866"/>
      <c r="AF18" s="866"/>
      <c r="AG18" s="866"/>
      <c r="AH18" s="866"/>
      <c r="AI18" s="866"/>
      <c r="AJ18" s="866"/>
      <c r="AK18" s="866"/>
      <c r="AL18" s="867"/>
      <c r="AM18" s="868"/>
    </row>
    <row r="19" spans="1:39">
      <c r="A19" s="861" t="s">
        <v>18</v>
      </c>
      <c r="B19" s="851"/>
      <c r="C19" s="851"/>
      <c r="D19" s="851"/>
      <c r="E19" s="851"/>
      <c r="F19" s="851"/>
      <c r="G19" s="851"/>
      <c r="H19" s="851"/>
      <c r="I19" s="851"/>
      <c r="J19" s="851"/>
      <c r="K19" s="851"/>
      <c r="L19" s="863" t="s">
        <v>102</v>
      </c>
      <c r="M19" s="869" t="s">
        <v>325</v>
      </c>
      <c r="N19" s="817" t="s">
        <v>326</v>
      </c>
      <c r="O19" s="870"/>
      <c r="P19" s="870">
        <v>10000</v>
      </c>
      <c r="Q19" s="870">
        <v>10000</v>
      </c>
      <c r="R19" s="870">
        <v>10000</v>
      </c>
      <c r="S19" s="870">
        <v>10000</v>
      </c>
      <c r="T19" s="870"/>
      <c r="U19" s="870"/>
      <c r="V19" s="870"/>
      <c r="W19" s="870"/>
      <c r="X19" s="870"/>
      <c r="Y19" s="870"/>
      <c r="Z19" s="870"/>
      <c r="AA19" s="870"/>
      <c r="AB19" s="870"/>
      <c r="AC19" s="870">
        <v>10000</v>
      </c>
      <c r="AD19" s="870"/>
      <c r="AE19" s="870"/>
      <c r="AF19" s="870"/>
      <c r="AG19" s="870"/>
      <c r="AH19" s="870"/>
      <c r="AI19" s="870"/>
      <c r="AJ19" s="870"/>
      <c r="AK19" s="870"/>
      <c r="AL19" s="870"/>
      <c r="AM19" s="868"/>
    </row>
    <row r="20" spans="1:39">
      <c r="A20" s="861" t="s">
        <v>18</v>
      </c>
      <c r="B20" s="851"/>
      <c r="C20" s="851"/>
      <c r="D20" s="851"/>
      <c r="E20" s="851"/>
      <c r="F20" s="851"/>
      <c r="G20" s="851"/>
      <c r="H20" s="851"/>
      <c r="I20" s="851"/>
      <c r="J20" s="851"/>
      <c r="K20" s="851"/>
      <c r="L20" s="863" t="s">
        <v>103</v>
      </c>
      <c r="M20" s="869" t="s">
        <v>327</v>
      </c>
      <c r="N20" s="817" t="s">
        <v>326</v>
      </c>
      <c r="O20" s="870"/>
      <c r="P20" s="870"/>
      <c r="Q20" s="870"/>
      <c r="R20" s="870"/>
      <c r="S20" s="870"/>
      <c r="T20" s="870"/>
      <c r="U20" s="870"/>
      <c r="V20" s="870"/>
      <c r="W20" s="870"/>
      <c r="X20" s="870"/>
      <c r="Y20" s="870"/>
      <c r="Z20" s="870"/>
      <c r="AA20" s="870"/>
      <c r="AB20" s="870"/>
      <c r="AC20" s="870"/>
      <c r="AD20" s="870"/>
      <c r="AE20" s="870"/>
      <c r="AF20" s="870"/>
      <c r="AG20" s="870"/>
      <c r="AH20" s="870"/>
      <c r="AI20" s="870"/>
      <c r="AJ20" s="870"/>
      <c r="AK20" s="870"/>
      <c r="AL20" s="870"/>
      <c r="AM20" s="868"/>
    </row>
    <row r="21" spans="1:39">
      <c r="A21" s="861" t="s">
        <v>18</v>
      </c>
      <c r="B21" s="851"/>
      <c r="C21" s="851"/>
      <c r="D21" s="851"/>
      <c r="E21" s="851"/>
      <c r="F21" s="851"/>
      <c r="G21" s="851"/>
      <c r="H21" s="851"/>
      <c r="I21" s="851"/>
      <c r="J21" s="851"/>
      <c r="K21" s="851"/>
      <c r="L21" s="863">
        <v>4</v>
      </c>
      <c r="M21" s="871" t="s">
        <v>1171</v>
      </c>
      <c r="N21" s="816" t="s">
        <v>329</v>
      </c>
      <c r="O21" s="872">
        <v>0</v>
      </c>
      <c r="P21" s="872">
        <v>2139.91</v>
      </c>
      <c r="Q21" s="872">
        <v>2139.91</v>
      </c>
      <c r="R21" s="872">
        <v>2311.29</v>
      </c>
      <c r="S21" s="872">
        <v>2139.91</v>
      </c>
      <c r="T21" s="872">
        <v>0</v>
      </c>
      <c r="U21" s="872">
        <v>0</v>
      </c>
      <c r="V21" s="872">
        <v>0</v>
      </c>
      <c r="W21" s="872">
        <v>0</v>
      </c>
      <c r="X21" s="872">
        <v>0</v>
      </c>
      <c r="Y21" s="872">
        <v>0</v>
      </c>
      <c r="Z21" s="872">
        <v>0</v>
      </c>
      <c r="AA21" s="872">
        <v>0</v>
      </c>
      <c r="AB21" s="872">
        <v>0</v>
      </c>
      <c r="AC21" s="872">
        <v>2139.91</v>
      </c>
      <c r="AD21" s="872">
        <v>0</v>
      </c>
      <c r="AE21" s="872">
        <v>0</v>
      </c>
      <c r="AF21" s="872">
        <v>0</v>
      </c>
      <c r="AG21" s="872">
        <v>0</v>
      </c>
      <c r="AH21" s="872">
        <v>0</v>
      </c>
      <c r="AI21" s="872">
        <v>0</v>
      </c>
      <c r="AJ21" s="872">
        <v>0</v>
      </c>
      <c r="AK21" s="872">
        <v>0</v>
      </c>
      <c r="AL21" s="872">
        <v>0</v>
      </c>
      <c r="AM21" s="868"/>
    </row>
    <row r="22" spans="1:39">
      <c r="A22" s="861" t="s">
        <v>18</v>
      </c>
      <c r="B22" s="851"/>
      <c r="C22" s="851"/>
      <c r="D22" s="851"/>
      <c r="E22" s="851"/>
      <c r="F22" s="851"/>
      <c r="G22" s="851"/>
      <c r="H22" s="851"/>
      <c r="I22" s="851"/>
      <c r="J22" s="851"/>
      <c r="K22" s="851"/>
      <c r="L22" s="863" t="s">
        <v>148</v>
      </c>
      <c r="M22" s="842" t="s">
        <v>330</v>
      </c>
      <c r="N22" s="816" t="s">
        <v>329</v>
      </c>
      <c r="O22" s="847"/>
      <c r="P22" s="847">
        <v>2139.91</v>
      </c>
      <c r="Q22" s="847">
        <v>2139.91</v>
      </c>
      <c r="R22" s="847">
        <v>2311.29</v>
      </c>
      <c r="S22" s="847">
        <v>2139.91</v>
      </c>
      <c r="T22" s="847"/>
      <c r="U22" s="847"/>
      <c r="V22" s="847"/>
      <c r="W22" s="847"/>
      <c r="X22" s="847"/>
      <c r="Y22" s="847"/>
      <c r="Z22" s="847"/>
      <c r="AA22" s="847"/>
      <c r="AB22" s="847"/>
      <c r="AC22" s="847">
        <v>2139.91</v>
      </c>
      <c r="AD22" s="847"/>
      <c r="AE22" s="847"/>
      <c r="AF22" s="847"/>
      <c r="AG22" s="847"/>
      <c r="AH22" s="847"/>
      <c r="AI22" s="847"/>
      <c r="AJ22" s="847"/>
      <c r="AK22" s="847"/>
      <c r="AL22" s="847"/>
      <c r="AM22" s="848"/>
    </row>
    <row r="23" spans="1:39">
      <c r="A23" s="861" t="s">
        <v>18</v>
      </c>
      <c r="B23" s="851"/>
      <c r="C23" s="851"/>
      <c r="D23" s="851"/>
      <c r="E23" s="851"/>
      <c r="F23" s="851"/>
      <c r="G23" s="851"/>
      <c r="H23" s="851"/>
      <c r="I23" s="851"/>
      <c r="J23" s="851"/>
      <c r="K23" s="851"/>
      <c r="L23" s="863" t="s">
        <v>391</v>
      </c>
      <c r="M23" s="842" t="s">
        <v>331</v>
      </c>
      <c r="N23" s="816" t="s">
        <v>329</v>
      </c>
      <c r="O23" s="847"/>
      <c r="P23" s="847"/>
      <c r="Q23" s="847"/>
      <c r="R23" s="847"/>
      <c r="S23" s="847"/>
      <c r="T23" s="847"/>
      <c r="U23" s="847"/>
      <c r="V23" s="847"/>
      <c r="W23" s="847"/>
      <c r="X23" s="847"/>
      <c r="Y23" s="847"/>
      <c r="Z23" s="847"/>
      <c r="AA23" s="847"/>
      <c r="AB23" s="847"/>
      <c r="AC23" s="847"/>
      <c r="AD23" s="847"/>
      <c r="AE23" s="847"/>
      <c r="AF23" s="847"/>
      <c r="AG23" s="847"/>
      <c r="AH23" s="847"/>
      <c r="AI23" s="847"/>
      <c r="AJ23" s="847"/>
      <c r="AK23" s="847"/>
      <c r="AL23" s="847"/>
      <c r="AM23" s="848"/>
    </row>
    <row r="24" spans="1:39" ht="22.5">
      <c r="A24" s="861" t="s">
        <v>18</v>
      </c>
      <c r="B24" s="851"/>
      <c r="C24" s="851"/>
      <c r="D24" s="851"/>
      <c r="E24" s="851"/>
      <c r="F24" s="851"/>
      <c r="G24" s="851"/>
      <c r="H24" s="851"/>
      <c r="I24" s="851"/>
      <c r="J24" s="851"/>
      <c r="K24" s="851"/>
      <c r="L24" s="863" t="s">
        <v>392</v>
      </c>
      <c r="M24" s="871" t="s">
        <v>1167</v>
      </c>
      <c r="N24" s="816" t="s">
        <v>329</v>
      </c>
      <c r="O24" s="847"/>
      <c r="P24" s="847"/>
      <c r="Q24" s="847"/>
      <c r="R24" s="847"/>
      <c r="S24" s="847"/>
      <c r="T24" s="847"/>
      <c r="U24" s="847"/>
      <c r="V24" s="847"/>
      <c r="W24" s="847"/>
      <c r="X24" s="847"/>
      <c r="Y24" s="847"/>
      <c r="Z24" s="847"/>
      <c r="AA24" s="847"/>
      <c r="AB24" s="847"/>
      <c r="AC24" s="847"/>
      <c r="AD24" s="847"/>
      <c r="AE24" s="847"/>
      <c r="AF24" s="847"/>
      <c r="AG24" s="847"/>
      <c r="AH24" s="847"/>
      <c r="AI24" s="847"/>
      <c r="AJ24" s="847"/>
      <c r="AK24" s="847"/>
      <c r="AL24" s="847"/>
      <c r="AM24" s="848"/>
    </row>
    <row r="25" spans="1:39">
      <c r="A25" s="861" t="s">
        <v>18</v>
      </c>
      <c r="B25" s="851"/>
      <c r="C25" s="851"/>
      <c r="D25" s="851"/>
      <c r="E25" s="851"/>
      <c r="F25" s="851"/>
      <c r="G25" s="851"/>
      <c r="H25" s="851"/>
      <c r="I25" s="851"/>
      <c r="J25" s="851"/>
      <c r="K25" s="851"/>
      <c r="L25" s="863" t="s">
        <v>120</v>
      </c>
      <c r="M25" s="871" t="s">
        <v>332</v>
      </c>
      <c r="N25" s="816" t="s">
        <v>329</v>
      </c>
      <c r="O25" s="872">
        <v>0</v>
      </c>
      <c r="P25" s="872">
        <v>0</v>
      </c>
      <c r="Q25" s="872">
        <v>0</v>
      </c>
      <c r="R25" s="872">
        <v>0</v>
      </c>
      <c r="S25" s="872">
        <v>0</v>
      </c>
      <c r="T25" s="872">
        <v>0</v>
      </c>
      <c r="U25" s="872">
        <v>0</v>
      </c>
      <c r="V25" s="872">
        <v>0</v>
      </c>
      <c r="W25" s="872">
        <v>0</v>
      </c>
      <c r="X25" s="872">
        <v>0</v>
      </c>
      <c r="Y25" s="872">
        <v>0</v>
      </c>
      <c r="Z25" s="872">
        <v>0</v>
      </c>
      <c r="AA25" s="872">
        <v>0</v>
      </c>
      <c r="AB25" s="872">
        <v>0</v>
      </c>
      <c r="AC25" s="872">
        <v>0</v>
      </c>
      <c r="AD25" s="872">
        <v>0</v>
      </c>
      <c r="AE25" s="872">
        <v>0</v>
      </c>
      <c r="AF25" s="872">
        <v>0</v>
      </c>
      <c r="AG25" s="872">
        <v>0</v>
      </c>
      <c r="AH25" s="872">
        <v>0</v>
      </c>
      <c r="AI25" s="872">
        <v>0</v>
      </c>
      <c r="AJ25" s="872">
        <v>0</v>
      </c>
      <c r="AK25" s="872">
        <v>0</v>
      </c>
      <c r="AL25" s="872">
        <v>0</v>
      </c>
      <c r="AM25" s="848"/>
    </row>
    <row r="26" spans="1:39">
      <c r="A26" s="861" t="s">
        <v>18</v>
      </c>
      <c r="B26" s="851"/>
      <c r="C26" s="851"/>
      <c r="D26" s="851"/>
      <c r="E26" s="851"/>
      <c r="F26" s="851"/>
      <c r="G26" s="851"/>
      <c r="H26" s="851"/>
      <c r="I26" s="851"/>
      <c r="J26" s="851"/>
      <c r="K26" s="851"/>
      <c r="L26" s="863" t="s">
        <v>122</v>
      </c>
      <c r="M26" s="842" t="s">
        <v>1123</v>
      </c>
      <c r="N26" s="816" t="s">
        <v>329</v>
      </c>
      <c r="O26" s="847"/>
      <c r="P26" s="847"/>
      <c r="Q26" s="847"/>
      <c r="R26" s="847"/>
      <c r="S26" s="847"/>
      <c r="T26" s="847"/>
      <c r="U26" s="847"/>
      <c r="V26" s="847"/>
      <c r="W26" s="847"/>
      <c r="X26" s="847"/>
      <c r="Y26" s="847"/>
      <c r="Z26" s="847"/>
      <c r="AA26" s="847"/>
      <c r="AB26" s="847"/>
      <c r="AC26" s="847"/>
      <c r="AD26" s="847"/>
      <c r="AE26" s="847"/>
      <c r="AF26" s="847"/>
      <c r="AG26" s="847"/>
      <c r="AH26" s="847"/>
      <c r="AI26" s="847"/>
      <c r="AJ26" s="847"/>
      <c r="AK26" s="847"/>
      <c r="AL26" s="847"/>
      <c r="AM26" s="848"/>
    </row>
    <row r="27" spans="1:39">
      <c r="A27" s="861" t="s">
        <v>18</v>
      </c>
      <c r="B27" s="851"/>
      <c r="C27" s="851"/>
      <c r="D27" s="851"/>
      <c r="E27" s="851"/>
      <c r="F27" s="851"/>
      <c r="G27" s="851"/>
      <c r="H27" s="851"/>
      <c r="I27" s="851"/>
      <c r="J27" s="851"/>
      <c r="K27" s="851"/>
      <c r="L27" s="863" t="s">
        <v>123</v>
      </c>
      <c r="M27" s="842" t="s">
        <v>333</v>
      </c>
      <c r="N27" s="816" t="s">
        <v>329</v>
      </c>
      <c r="O27" s="847"/>
      <c r="P27" s="847"/>
      <c r="Q27" s="847"/>
      <c r="R27" s="847"/>
      <c r="S27" s="847"/>
      <c r="T27" s="847"/>
      <c r="U27" s="847"/>
      <c r="V27" s="847"/>
      <c r="W27" s="847"/>
      <c r="X27" s="847"/>
      <c r="Y27" s="847"/>
      <c r="Z27" s="847"/>
      <c r="AA27" s="847"/>
      <c r="AB27" s="847"/>
      <c r="AC27" s="847"/>
      <c r="AD27" s="847"/>
      <c r="AE27" s="847"/>
      <c r="AF27" s="847"/>
      <c r="AG27" s="847"/>
      <c r="AH27" s="847"/>
      <c r="AI27" s="847"/>
      <c r="AJ27" s="847"/>
      <c r="AK27" s="847"/>
      <c r="AL27" s="847"/>
      <c r="AM27" s="848"/>
    </row>
    <row r="28" spans="1:39">
      <c r="A28" s="861" t="s">
        <v>18</v>
      </c>
      <c r="B28" s="851"/>
      <c r="C28" s="851"/>
      <c r="D28" s="851"/>
      <c r="E28" s="851"/>
      <c r="F28" s="851"/>
      <c r="G28" s="851"/>
      <c r="H28" s="851"/>
      <c r="I28" s="851"/>
      <c r="J28" s="851"/>
      <c r="K28" s="851"/>
      <c r="L28" s="863" t="s">
        <v>124</v>
      </c>
      <c r="M28" s="864" t="s">
        <v>334</v>
      </c>
      <c r="N28" s="816" t="s">
        <v>329</v>
      </c>
      <c r="O28" s="870"/>
      <c r="P28" s="870"/>
      <c r="Q28" s="870"/>
      <c r="R28" s="870"/>
      <c r="S28" s="870"/>
      <c r="T28" s="870"/>
      <c r="U28" s="870"/>
      <c r="V28" s="870"/>
      <c r="W28" s="870"/>
      <c r="X28" s="870"/>
      <c r="Y28" s="870"/>
      <c r="Z28" s="870"/>
      <c r="AA28" s="870"/>
      <c r="AB28" s="870"/>
      <c r="AC28" s="870"/>
      <c r="AD28" s="870"/>
      <c r="AE28" s="870"/>
      <c r="AF28" s="870"/>
      <c r="AG28" s="870"/>
      <c r="AH28" s="870"/>
      <c r="AI28" s="870"/>
      <c r="AJ28" s="870"/>
      <c r="AK28" s="870"/>
      <c r="AL28" s="870"/>
      <c r="AM28" s="848"/>
    </row>
    <row r="29" spans="1:39">
      <c r="A29" s="861" t="s">
        <v>18</v>
      </c>
      <c r="B29" s="851"/>
      <c r="C29" s="851"/>
      <c r="D29" s="851"/>
      <c r="E29" s="851"/>
      <c r="F29" s="851"/>
      <c r="G29" s="851"/>
      <c r="H29" s="851"/>
      <c r="I29" s="851"/>
      <c r="J29" s="851"/>
      <c r="K29" s="851"/>
      <c r="L29" s="863" t="s">
        <v>125</v>
      </c>
      <c r="M29" s="864" t="s">
        <v>335</v>
      </c>
      <c r="N29" s="816" t="s">
        <v>329</v>
      </c>
      <c r="O29" s="847"/>
      <c r="P29" s="847"/>
      <c r="Q29" s="847"/>
      <c r="R29" s="847"/>
      <c r="S29" s="847"/>
      <c r="T29" s="847"/>
      <c r="U29" s="847"/>
      <c r="V29" s="847"/>
      <c r="W29" s="847"/>
      <c r="X29" s="847"/>
      <c r="Y29" s="847"/>
      <c r="Z29" s="847"/>
      <c r="AA29" s="847"/>
      <c r="AB29" s="847"/>
      <c r="AC29" s="847"/>
      <c r="AD29" s="847"/>
      <c r="AE29" s="847"/>
      <c r="AF29" s="847"/>
      <c r="AG29" s="847"/>
      <c r="AH29" s="847"/>
      <c r="AI29" s="847"/>
      <c r="AJ29" s="847"/>
      <c r="AK29" s="847"/>
      <c r="AL29" s="847"/>
      <c r="AM29" s="848"/>
    </row>
    <row r="30" spans="1:39">
      <c r="A30" s="861" t="s">
        <v>18</v>
      </c>
      <c r="B30" s="851"/>
      <c r="C30" s="851"/>
      <c r="D30" s="851"/>
      <c r="E30" s="851"/>
      <c r="F30" s="851"/>
      <c r="G30" s="851"/>
      <c r="H30" s="851"/>
      <c r="I30" s="851"/>
      <c r="J30" s="851"/>
      <c r="K30" s="851"/>
      <c r="L30" s="863" t="s">
        <v>126</v>
      </c>
      <c r="M30" s="871" t="s">
        <v>336</v>
      </c>
      <c r="N30" s="816" t="s">
        <v>329</v>
      </c>
      <c r="O30" s="872">
        <v>0</v>
      </c>
      <c r="P30" s="872">
        <v>2139.91</v>
      </c>
      <c r="Q30" s="872">
        <v>2139.91</v>
      </c>
      <c r="R30" s="872">
        <v>2311.29</v>
      </c>
      <c r="S30" s="872">
        <v>2139.91</v>
      </c>
      <c r="T30" s="872">
        <v>0</v>
      </c>
      <c r="U30" s="872">
        <v>0</v>
      </c>
      <c r="V30" s="872">
        <v>0</v>
      </c>
      <c r="W30" s="872">
        <v>0</v>
      </c>
      <c r="X30" s="872">
        <v>0</v>
      </c>
      <c r="Y30" s="872">
        <v>0</v>
      </c>
      <c r="Z30" s="872">
        <v>0</v>
      </c>
      <c r="AA30" s="872">
        <v>0</v>
      </c>
      <c r="AB30" s="872">
        <v>0</v>
      </c>
      <c r="AC30" s="872">
        <v>2139.91</v>
      </c>
      <c r="AD30" s="872">
        <v>0</v>
      </c>
      <c r="AE30" s="872">
        <v>0</v>
      </c>
      <c r="AF30" s="872">
        <v>0</v>
      </c>
      <c r="AG30" s="872">
        <v>0</v>
      </c>
      <c r="AH30" s="872">
        <v>0</v>
      </c>
      <c r="AI30" s="872">
        <v>0</v>
      </c>
      <c r="AJ30" s="872">
        <v>0</v>
      </c>
      <c r="AK30" s="872">
        <v>0</v>
      </c>
      <c r="AL30" s="872">
        <v>0</v>
      </c>
      <c r="AM30" s="848"/>
    </row>
    <row r="31" spans="1:39" ht="22.5">
      <c r="A31" s="861" t="s">
        <v>18</v>
      </c>
      <c r="B31" s="851"/>
      <c r="C31" s="851"/>
      <c r="D31" s="851"/>
      <c r="E31" s="851"/>
      <c r="F31" s="851"/>
      <c r="G31" s="851"/>
      <c r="H31" s="851"/>
      <c r="I31" s="851"/>
      <c r="J31" s="851"/>
      <c r="K31" s="851"/>
      <c r="L31" s="863" t="s">
        <v>149</v>
      </c>
      <c r="M31" s="842" t="s">
        <v>337</v>
      </c>
      <c r="N31" s="816" t="s">
        <v>329</v>
      </c>
      <c r="O31" s="847"/>
      <c r="P31" s="847">
        <v>2139.91</v>
      </c>
      <c r="Q31" s="847">
        <v>2139.91</v>
      </c>
      <c r="R31" s="847">
        <v>2311.29</v>
      </c>
      <c r="S31" s="847">
        <v>2139.91</v>
      </c>
      <c r="T31" s="847"/>
      <c r="U31" s="847"/>
      <c r="V31" s="847"/>
      <c r="W31" s="847"/>
      <c r="X31" s="847"/>
      <c r="Y31" s="847"/>
      <c r="Z31" s="847"/>
      <c r="AA31" s="847"/>
      <c r="AB31" s="847"/>
      <c r="AC31" s="847">
        <v>2139.91</v>
      </c>
      <c r="AD31" s="847"/>
      <c r="AE31" s="847"/>
      <c r="AF31" s="847"/>
      <c r="AG31" s="847"/>
      <c r="AH31" s="847"/>
      <c r="AI31" s="847"/>
      <c r="AJ31" s="847"/>
      <c r="AK31" s="847"/>
      <c r="AL31" s="847"/>
      <c r="AM31" s="848"/>
    </row>
    <row r="32" spans="1:39">
      <c r="A32" s="861" t="s">
        <v>18</v>
      </c>
      <c r="B32" s="851"/>
      <c r="C32" s="851"/>
      <c r="D32" s="851"/>
      <c r="E32" s="851"/>
      <c r="F32" s="851"/>
      <c r="G32" s="851"/>
      <c r="H32" s="851"/>
      <c r="I32" s="851"/>
      <c r="J32" s="851"/>
      <c r="K32" s="851"/>
      <c r="L32" s="863" t="s">
        <v>199</v>
      </c>
      <c r="M32" s="842" t="s">
        <v>338</v>
      </c>
      <c r="N32" s="816" t="s">
        <v>329</v>
      </c>
      <c r="O32" s="847"/>
      <c r="P32" s="847"/>
      <c r="Q32" s="847"/>
      <c r="R32" s="847"/>
      <c r="S32" s="847"/>
      <c r="T32" s="847"/>
      <c r="U32" s="847"/>
      <c r="V32" s="847"/>
      <c r="W32" s="847"/>
      <c r="X32" s="847"/>
      <c r="Y32" s="847"/>
      <c r="Z32" s="847"/>
      <c r="AA32" s="847"/>
      <c r="AB32" s="847"/>
      <c r="AC32" s="847"/>
      <c r="AD32" s="847"/>
      <c r="AE32" s="847"/>
      <c r="AF32" s="847"/>
      <c r="AG32" s="847"/>
      <c r="AH32" s="847"/>
      <c r="AI32" s="847"/>
      <c r="AJ32" s="847"/>
      <c r="AK32" s="847"/>
      <c r="AL32" s="847"/>
      <c r="AM32" s="848"/>
    </row>
    <row r="33" spans="1:39" ht="22.5">
      <c r="A33" s="861" t="s">
        <v>18</v>
      </c>
      <c r="B33" s="851"/>
      <c r="C33" s="851"/>
      <c r="D33" s="851"/>
      <c r="E33" s="851"/>
      <c r="F33" s="851"/>
      <c r="G33" s="851"/>
      <c r="H33" s="851"/>
      <c r="I33" s="851"/>
      <c r="J33" s="851"/>
      <c r="K33" s="851"/>
      <c r="L33" s="863" t="s">
        <v>408</v>
      </c>
      <c r="M33" s="842" t="s">
        <v>1168</v>
      </c>
      <c r="N33" s="816" t="s">
        <v>329</v>
      </c>
      <c r="O33" s="847"/>
      <c r="P33" s="847"/>
      <c r="Q33" s="847"/>
      <c r="R33" s="847"/>
      <c r="S33" s="847"/>
      <c r="T33" s="847"/>
      <c r="U33" s="847"/>
      <c r="V33" s="847"/>
      <c r="W33" s="847"/>
      <c r="X33" s="847"/>
      <c r="Y33" s="847"/>
      <c r="Z33" s="847"/>
      <c r="AA33" s="847"/>
      <c r="AB33" s="847"/>
      <c r="AC33" s="847"/>
      <c r="AD33" s="847"/>
      <c r="AE33" s="847"/>
      <c r="AF33" s="847"/>
      <c r="AG33" s="847"/>
      <c r="AH33" s="847"/>
      <c r="AI33" s="847"/>
      <c r="AJ33" s="847"/>
      <c r="AK33" s="847"/>
      <c r="AL33" s="847"/>
      <c r="AM33" s="848"/>
    </row>
    <row r="34" spans="1:39">
      <c r="A34" s="861" t="s">
        <v>18</v>
      </c>
      <c r="B34" s="851"/>
      <c r="C34" s="851"/>
      <c r="D34" s="851"/>
      <c r="E34" s="851"/>
      <c r="F34" s="851"/>
      <c r="G34" s="851"/>
      <c r="H34" s="851"/>
      <c r="I34" s="851"/>
      <c r="J34" s="851"/>
      <c r="K34" s="851"/>
      <c r="L34" s="863" t="s">
        <v>127</v>
      </c>
      <c r="M34" s="864" t="s">
        <v>1188</v>
      </c>
      <c r="N34" s="816" t="s">
        <v>329</v>
      </c>
      <c r="O34" s="847"/>
      <c r="P34" s="847">
        <v>73.83</v>
      </c>
      <c r="Q34" s="847">
        <v>73.83</v>
      </c>
      <c r="R34" s="847">
        <v>79.73</v>
      </c>
      <c r="S34" s="847">
        <v>73.83</v>
      </c>
      <c r="T34" s="847"/>
      <c r="U34" s="847"/>
      <c r="V34" s="847"/>
      <c r="W34" s="847"/>
      <c r="X34" s="847"/>
      <c r="Y34" s="847"/>
      <c r="Z34" s="847"/>
      <c r="AA34" s="847"/>
      <c r="AB34" s="847"/>
      <c r="AC34" s="847">
        <v>73.83</v>
      </c>
      <c r="AD34" s="847"/>
      <c r="AE34" s="847"/>
      <c r="AF34" s="847"/>
      <c r="AG34" s="847"/>
      <c r="AH34" s="847"/>
      <c r="AI34" s="847"/>
      <c r="AJ34" s="847"/>
      <c r="AK34" s="847"/>
      <c r="AL34" s="847"/>
      <c r="AM34" s="848"/>
    </row>
    <row r="35" spans="1:39">
      <c r="A35" s="861" t="s">
        <v>18</v>
      </c>
      <c r="B35" s="851"/>
      <c r="C35" s="851"/>
      <c r="D35" s="851"/>
      <c r="E35" s="851"/>
      <c r="F35" s="851"/>
      <c r="G35" s="851"/>
      <c r="H35" s="851"/>
      <c r="I35" s="851"/>
      <c r="J35" s="851"/>
      <c r="K35" s="851"/>
      <c r="L35" s="863" t="s">
        <v>1300</v>
      </c>
      <c r="M35" s="873" t="s">
        <v>340</v>
      </c>
      <c r="N35" s="819" t="s">
        <v>145</v>
      </c>
      <c r="O35" s="872">
        <v>0</v>
      </c>
      <c r="P35" s="872">
        <v>3.4501450995602618</v>
      </c>
      <c r="Q35" s="872">
        <v>3.4501450995602618</v>
      </c>
      <c r="R35" s="872">
        <v>3.4495887577932671</v>
      </c>
      <c r="S35" s="872">
        <v>3.4501450995602618</v>
      </c>
      <c r="T35" s="872">
        <v>0</v>
      </c>
      <c r="U35" s="872">
        <v>0</v>
      </c>
      <c r="V35" s="872">
        <v>0</v>
      </c>
      <c r="W35" s="872">
        <v>0</v>
      </c>
      <c r="X35" s="872">
        <v>0</v>
      </c>
      <c r="Y35" s="872">
        <v>0</v>
      </c>
      <c r="Z35" s="872">
        <v>0</v>
      </c>
      <c r="AA35" s="872">
        <v>0</v>
      </c>
      <c r="AB35" s="872">
        <v>0</v>
      </c>
      <c r="AC35" s="872">
        <v>3.4501450995602618</v>
      </c>
      <c r="AD35" s="872">
        <v>0</v>
      </c>
      <c r="AE35" s="872">
        <v>0</v>
      </c>
      <c r="AF35" s="872">
        <v>0</v>
      </c>
      <c r="AG35" s="872">
        <v>0</v>
      </c>
      <c r="AH35" s="872">
        <v>0</v>
      </c>
      <c r="AI35" s="872">
        <v>0</v>
      </c>
      <c r="AJ35" s="872">
        <v>0</v>
      </c>
      <c r="AK35" s="872">
        <v>0</v>
      </c>
      <c r="AL35" s="872">
        <v>0</v>
      </c>
      <c r="AM35" s="848"/>
    </row>
    <row r="36" spans="1:39">
      <c r="A36" s="861" t="s">
        <v>18</v>
      </c>
      <c r="B36" s="851"/>
      <c r="C36" s="851"/>
      <c r="D36" s="851"/>
      <c r="E36" s="851"/>
      <c r="F36" s="851"/>
      <c r="G36" s="851"/>
      <c r="H36" s="851"/>
      <c r="I36" s="851"/>
      <c r="J36" s="851"/>
      <c r="K36" s="851"/>
      <c r="L36" s="863" t="s">
        <v>128</v>
      </c>
      <c r="M36" s="864" t="s">
        <v>341</v>
      </c>
      <c r="N36" s="816" t="s">
        <v>329</v>
      </c>
      <c r="O36" s="872">
        <v>0</v>
      </c>
      <c r="P36" s="872">
        <v>2066.08</v>
      </c>
      <c r="Q36" s="872">
        <v>2066.08</v>
      </c>
      <c r="R36" s="872">
        <v>2231.56</v>
      </c>
      <c r="S36" s="872">
        <v>2066.08</v>
      </c>
      <c r="T36" s="872">
        <v>0</v>
      </c>
      <c r="U36" s="872">
        <v>0</v>
      </c>
      <c r="V36" s="872">
        <v>0</v>
      </c>
      <c r="W36" s="872">
        <v>0</v>
      </c>
      <c r="X36" s="872">
        <v>0</v>
      </c>
      <c r="Y36" s="872">
        <v>0</v>
      </c>
      <c r="Z36" s="872">
        <v>0</v>
      </c>
      <c r="AA36" s="872">
        <v>0</v>
      </c>
      <c r="AB36" s="872">
        <v>0</v>
      </c>
      <c r="AC36" s="872">
        <v>2066.08</v>
      </c>
      <c r="AD36" s="872">
        <v>0</v>
      </c>
      <c r="AE36" s="872">
        <v>0</v>
      </c>
      <c r="AF36" s="872">
        <v>0</v>
      </c>
      <c r="AG36" s="872">
        <v>0</v>
      </c>
      <c r="AH36" s="872">
        <v>0</v>
      </c>
      <c r="AI36" s="872">
        <v>0</v>
      </c>
      <c r="AJ36" s="872">
        <v>0</v>
      </c>
      <c r="AK36" s="872">
        <v>0</v>
      </c>
      <c r="AL36" s="872">
        <v>0</v>
      </c>
      <c r="AM36" s="848"/>
    </row>
    <row r="37" spans="1:39">
      <c r="A37" s="861" t="s">
        <v>18</v>
      </c>
      <c r="B37" s="851"/>
      <c r="C37" s="851"/>
      <c r="D37" s="851"/>
      <c r="E37" s="851"/>
      <c r="F37" s="851"/>
      <c r="G37" s="851"/>
      <c r="H37" s="851"/>
      <c r="I37" s="851"/>
      <c r="J37" s="851"/>
      <c r="K37" s="851"/>
      <c r="L37" s="863" t="s">
        <v>1237</v>
      </c>
      <c r="M37" s="842" t="s">
        <v>342</v>
      </c>
      <c r="N37" s="816" t="s">
        <v>329</v>
      </c>
      <c r="O37" s="872">
        <v>0</v>
      </c>
      <c r="P37" s="872">
        <v>0</v>
      </c>
      <c r="Q37" s="872">
        <v>0</v>
      </c>
      <c r="R37" s="872">
        <v>0</v>
      </c>
      <c r="S37" s="872">
        <v>0</v>
      </c>
      <c r="T37" s="872">
        <v>0</v>
      </c>
      <c r="U37" s="872">
        <v>0</v>
      </c>
      <c r="V37" s="872">
        <v>0</v>
      </c>
      <c r="W37" s="872">
        <v>0</v>
      </c>
      <c r="X37" s="872">
        <v>0</v>
      </c>
      <c r="Y37" s="872">
        <v>0</v>
      </c>
      <c r="Z37" s="872">
        <v>0</v>
      </c>
      <c r="AA37" s="872">
        <v>0</v>
      </c>
      <c r="AB37" s="872">
        <v>0</v>
      </c>
      <c r="AC37" s="872">
        <v>0</v>
      </c>
      <c r="AD37" s="872">
        <v>0</v>
      </c>
      <c r="AE37" s="872">
        <v>0</v>
      </c>
      <c r="AF37" s="872">
        <v>0</v>
      </c>
      <c r="AG37" s="872">
        <v>0</v>
      </c>
      <c r="AH37" s="872">
        <v>0</v>
      </c>
      <c r="AI37" s="872">
        <v>0</v>
      </c>
      <c r="AJ37" s="872">
        <v>0</v>
      </c>
      <c r="AK37" s="872">
        <v>0</v>
      </c>
      <c r="AL37" s="872">
        <v>0</v>
      </c>
      <c r="AM37" s="848"/>
    </row>
    <row r="38" spans="1:39">
      <c r="A38" s="861" t="s">
        <v>18</v>
      </c>
      <c r="B38" s="851"/>
      <c r="C38" s="851"/>
      <c r="D38" s="851"/>
      <c r="E38" s="851"/>
      <c r="F38" s="851"/>
      <c r="G38" s="851"/>
      <c r="H38" s="851"/>
      <c r="I38" s="851"/>
      <c r="J38" s="851"/>
      <c r="K38" s="851"/>
      <c r="L38" s="863" t="s">
        <v>1301</v>
      </c>
      <c r="M38" s="874" t="s">
        <v>343</v>
      </c>
      <c r="N38" s="816" t="s">
        <v>329</v>
      </c>
      <c r="O38" s="847"/>
      <c r="P38" s="847"/>
      <c r="Q38" s="847"/>
      <c r="R38" s="847"/>
      <c r="S38" s="847"/>
      <c r="T38" s="847"/>
      <c r="U38" s="847"/>
      <c r="V38" s="847"/>
      <c r="W38" s="847"/>
      <c r="X38" s="847"/>
      <c r="Y38" s="847"/>
      <c r="Z38" s="847"/>
      <c r="AA38" s="847"/>
      <c r="AB38" s="847"/>
      <c r="AC38" s="847"/>
      <c r="AD38" s="847"/>
      <c r="AE38" s="847"/>
      <c r="AF38" s="847"/>
      <c r="AG38" s="847"/>
      <c r="AH38" s="847"/>
      <c r="AI38" s="847"/>
      <c r="AJ38" s="847"/>
      <c r="AK38" s="847"/>
      <c r="AL38" s="847"/>
      <c r="AM38" s="848"/>
    </row>
    <row r="39" spans="1:39">
      <c r="A39" s="861" t="s">
        <v>18</v>
      </c>
      <c r="B39" s="851"/>
      <c r="C39" s="851"/>
      <c r="D39" s="851"/>
      <c r="E39" s="851"/>
      <c r="F39" s="851"/>
      <c r="G39" s="851"/>
      <c r="H39" s="851"/>
      <c r="I39" s="851"/>
      <c r="J39" s="851"/>
      <c r="K39" s="851"/>
      <c r="L39" s="863" t="s">
        <v>1302</v>
      </c>
      <c r="M39" s="874" t="s">
        <v>344</v>
      </c>
      <c r="N39" s="816" t="s">
        <v>329</v>
      </c>
      <c r="O39" s="847"/>
      <c r="P39" s="847"/>
      <c r="Q39" s="847"/>
      <c r="R39" s="847"/>
      <c r="S39" s="847"/>
      <c r="T39" s="847"/>
      <c r="U39" s="847"/>
      <c r="V39" s="847"/>
      <c r="W39" s="847"/>
      <c r="X39" s="847"/>
      <c r="Y39" s="847"/>
      <c r="Z39" s="847"/>
      <c r="AA39" s="847"/>
      <c r="AB39" s="847"/>
      <c r="AC39" s="847"/>
      <c r="AD39" s="847"/>
      <c r="AE39" s="847"/>
      <c r="AF39" s="847"/>
      <c r="AG39" s="847"/>
      <c r="AH39" s="847"/>
      <c r="AI39" s="847"/>
      <c r="AJ39" s="847"/>
      <c r="AK39" s="847"/>
      <c r="AL39" s="847"/>
      <c r="AM39" s="848"/>
    </row>
    <row r="40" spans="1:39">
      <c r="A40" s="861" t="s">
        <v>18</v>
      </c>
      <c r="B40" s="851"/>
      <c r="C40" s="851"/>
      <c r="D40" s="851"/>
      <c r="E40" s="851"/>
      <c r="F40" s="851"/>
      <c r="G40" s="851"/>
      <c r="H40" s="851"/>
      <c r="I40" s="851"/>
      <c r="J40" s="851"/>
      <c r="K40" s="851"/>
      <c r="L40" s="863" t="s">
        <v>1303</v>
      </c>
      <c r="M40" s="874" t="s">
        <v>345</v>
      </c>
      <c r="N40" s="816" t="s">
        <v>329</v>
      </c>
      <c r="O40" s="847"/>
      <c r="P40" s="847"/>
      <c r="Q40" s="847"/>
      <c r="R40" s="847"/>
      <c r="S40" s="847"/>
      <c r="T40" s="847"/>
      <c r="U40" s="847"/>
      <c r="V40" s="847"/>
      <c r="W40" s="847"/>
      <c r="X40" s="847"/>
      <c r="Y40" s="847"/>
      <c r="Z40" s="847"/>
      <c r="AA40" s="847"/>
      <c r="AB40" s="847"/>
      <c r="AC40" s="847"/>
      <c r="AD40" s="847"/>
      <c r="AE40" s="847"/>
      <c r="AF40" s="847"/>
      <c r="AG40" s="847"/>
      <c r="AH40" s="847"/>
      <c r="AI40" s="847"/>
      <c r="AJ40" s="847"/>
      <c r="AK40" s="847"/>
      <c r="AL40" s="847"/>
      <c r="AM40" s="848"/>
    </row>
    <row r="41" spans="1:39">
      <c r="A41" s="861" t="s">
        <v>18</v>
      </c>
      <c r="B41" s="851" t="s">
        <v>1165</v>
      </c>
      <c r="C41" s="851"/>
      <c r="D41" s="851"/>
      <c r="E41" s="851"/>
      <c r="F41" s="851"/>
      <c r="G41" s="851"/>
      <c r="H41" s="851"/>
      <c r="I41" s="851"/>
      <c r="J41" s="851"/>
      <c r="K41" s="851"/>
      <c r="L41" s="863" t="s">
        <v>1304</v>
      </c>
      <c r="M41" s="842" t="s">
        <v>346</v>
      </c>
      <c r="N41" s="816" t="s">
        <v>329</v>
      </c>
      <c r="O41" s="872">
        <v>0</v>
      </c>
      <c r="P41" s="872">
        <v>0</v>
      </c>
      <c r="Q41" s="872">
        <v>0</v>
      </c>
      <c r="R41" s="872">
        <v>0</v>
      </c>
      <c r="S41" s="872">
        <v>0</v>
      </c>
      <c r="T41" s="872">
        <v>0</v>
      </c>
      <c r="U41" s="872">
        <v>0</v>
      </c>
      <c r="V41" s="872">
        <v>0</v>
      </c>
      <c r="W41" s="872">
        <v>0</v>
      </c>
      <c r="X41" s="872">
        <v>0</v>
      </c>
      <c r="Y41" s="872">
        <v>0</v>
      </c>
      <c r="Z41" s="872">
        <v>0</v>
      </c>
      <c r="AA41" s="872">
        <v>0</v>
      </c>
      <c r="AB41" s="872">
        <v>0</v>
      </c>
      <c r="AC41" s="872">
        <v>0</v>
      </c>
      <c r="AD41" s="872">
        <v>0</v>
      </c>
      <c r="AE41" s="872">
        <v>0</v>
      </c>
      <c r="AF41" s="872">
        <v>0</v>
      </c>
      <c r="AG41" s="872">
        <v>0</v>
      </c>
      <c r="AH41" s="872">
        <v>0</v>
      </c>
      <c r="AI41" s="872">
        <v>0</v>
      </c>
      <c r="AJ41" s="872">
        <v>0</v>
      </c>
      <c r="AK41" s="872">
        <v>0</v>
      </c>
      <c r="AL41" s="872">
        <v>0</v>
      </c>
      <c r="AM41" s="848"/>
    </row>
    <row r="42" spans="1:39">
      <c r="A42" s="861" t="s">
        <v>18</v>
      </c>
      <c r="B42" s="851"/>
      <c r="C42" s="851"/>
      <c r="D42" s="851"/>
      <c r="E42" s="851"/>
      <c r="F42" s="851"/>
      <c r="G42" s="851"/>
      <c r="H42" s="851"/>
      <c r="I42" s="851"/>
      <c r="J42" s="851"/>
      <c r="K42" s="851"/>
      <c r="L42" s="863" t="s">
        <v>1305</v>
      </c>
      <c r="M42" s="874" t="s">
        <v>347</v>
      </c>
      <c r="N42" s="816" t="s">
        <v>329</v>
      </c>
      <c r="O42" s="847"/>
      <c r="P42" s="847"/>
      <c r="Q42" s="847"/>
      <c r="R42" s="847"/>
      <c r="S42" s="847"/>
      <c r="T42" s="847"/>
      <c r="U42" s="847"/>
      <c r="V42" s="847"/>
      <c r="W42" s="847"/>
      <c r="X42" s="847"/>
      <c r="Y42" s="847"/>
      <c r="Z42" s="847"/>
      <c r="AA42" s="847"/>
      <c r="AB42" s="847"/>
      <c r="AC42" s="847"/>
      <c r="AD42" s="847"/>
      <c r="AE42" s="847"/>
      <c r="AF42" s="847"/>
      <c r="AG42" s="847"/>
      <c r="AH42" s="847"/>
      <c r="AI42" s="847"/>
      <c r="AJ42" s="847"/>
      <c r="AK42" s="847"/>
      <c r="AL42" s="847"/>
      <c r="AM42" s="848"/>
    </row>
    <row r="43" spans="1:39">
      <c r="A43" s="861" t="s">
        <v>18</v>
      </c>
      <c r="B43" s="851"/>
      <c r="C43" s="851"/>
      <c r="D43" s="851"/>
      <c r="E43" s="851"/>
      <c r="F43" s="851"/>
      <c r="G43" s="851"/>
      <c r="H43" s="851"/>
      <c r="I43" s="851"/>
      <c r="J43" s="851"/>
      <c r="K43" s="851"/>
      <c r="L43" s="863" t="s">
        <v>1306</v>
      </c>
      <c r="M43" s="874" t="s">
        <v>348</v>
      </c>
      <c r="N43" s="816" t="s">
        <v>329</v>
      </c>
      <c r="O43" s="847"/>
      <c r="P43" s="847"/>
      <c r="Q43" s="847"/>
      <c r="R43" s="847"/>
      <c r="S43" s="847"/>
      <c r="T43" s="847"/>
      <c r="U43" s="847"/>
      <c r="V43" s="847"/>
      <c r="W43" s="847"/>
      <c r="X43" s="847"/>
      <c r="Y43" s="847"/>
      <c r="Z43" s="847"/>
      <c r="AA43" s="847"/>
      <c r="AB43" s="847"/>
      <c r="AC43" s="847"/>
      <c r="AD43" s="847"/>
      <c r="AE43" s="847"/>
      <c r="AF43" s="847"/>
      <c r="AG43" s="847"/>
      <c r="AH43" s="847"/>
      <c r="AI43" s="847"/>
      <c r="AJ43" s="847"/>
      <c r="AK43" s="847"/>
      <c r="AL43" s="847"/>
      <c r="AM43" s="848"/>
    </row>
    <row r="44" spans="1:39">
      <c r="A44" s="861" t="s">
        <v>18</v>
      </c>
      <c r="B44" s="851" t="s">
        <v>1165</v>
      </c>
      <c r="C44" s="851"/>
      <c r="D44" s="851"/>
      <c r="E44" s="851"/>
      <c r="F44" s="851"/>
      <c r="G44" s="851"/>
      <c r="H44" s="851"/>
      <c r="I44" s="851"/>
      <c r="J44" s="851"/>
      <c r="K44" s="851"/>
      <c r="L44" s="863" t="s">
        <v>1307</v>
      </c>
      <c r="M44" s="842" t="s">
        <v>1189</v>
      </c>
      <c r="N44" s="816" t="s">
        <v>329</v>
      </c>
      <c r="O44" s="872">
        <v>0</v>
      </c>
      <c r="P44" s="872">
        <v>2066.08</v>
      </c>
      <c r="Q44" s="872">
        <v>2066.08</v>
      </c>
      <c r="R44" s="872">
        <v>2231.56</v>
      </c>
      <c r="S44" s="872">
        <v>2066.08</v>
      </c>
      <c r="T44" s="872">
        <v>0</v>
      </c>
      <c r="U44" s="872">
        <v>0</v>
      </c>
      <c r="V44" s="872">
        <v>0</v>
      </c>
      <c r="W44" s="872">
        <v>0</v>
      </c>
      <c r="X44" s="872">
        <v>0</v>
      </c>
      <c r="Y44" s="872">
        <v>0</v>
      </c>
      <c r="Z44" s="872">
        <v>0</v>
      </c>
      <c r="AA44" s="872">
        <v>0</v>
      </c>
      <c r="AB44" s="872">
        <v>0</v>
      </c>
      <c r="AC44" s="872">
        <v>2066.08</v>
      </c>
      <c r="AD44" s="872">
        <v>0</v>
      </c>
      <c r="AE44" s="872">
        <v>0</v>
      </c>
      <c r="AF44" s="872">
        <v>0</v>
      </c>
      <c r="AG44" s="872">
        <v>0</v>
      </c>
      <c r="AH44" s="872">
        <v>0</v>
      </c>
      <c r="AI44" s="872">
        <v>0</v>
      </c>
      <c r="AJ44" s="872">
        <v>0</v>
      </c>
      <c r="AK44" s="872">
        <v>0</v>
      </c>
      <c r="AL44" s="872">
        <v>0</v>
      </c>
      <c r="AM44" s="848"/>
    </row>
    <row r="45" spans="1:39">
      <c r="A45" s="861" t="s">
        <v>18</v>
      </c>
      <c r="B45" s="851"/>
      <c r="C45" s="851"/>
      <c r="D45" s="851"/>
      <c r="E45" s="851"/>
      <c r="F45" s="851"/>
      <c r="G45" s="851"/>
      <c r="H45" s="851"/>
      <c r="I45" s="851"/>
      <c r="J45" s="851"/>
      <c r="K45" s="851"/>
      <c r="L45" s="863" t="s">
        <v>1308</v>
      </c>
      <c r="M45" s="874" t="s">
        <v>349</v>
      </c>
      <c r="N45" s="816" t="s">
        <v>329</v>
      </c>
      <c r="O45" s="872">
        <v>0</v>
      </c>
      <c r="P45" s="872">
        <v>0</v>
      </c>
      <c r="Q45" s="872">
        <v>0</v>
      </c>
      <c r="R45" s="872">
        <v>0</v>
      </c>
      <c r="S45" s="872">
        <v>0</v>
      </c>
      <c r="T45" s="872">
        <v>0</v>
      </c>
      <c r="U45" s="872">
        <v>0</v>
      </c>
      <c r="V45" s="872">
        <v>0</v>
      </c>
      <c r="W45" s="872">
        <v>0</v>
      </c>
      <c r="X45" s="872">
        <v>0</v>
      </c>
      <c r="Y45" s="872">
        <v>0</v>
      </c>
      <c r="Z45" s="872">
        <v>0</v>
      </c>
      <c r="AA45" s="872">
        <v>0</v>
      </c>
      <c r="AB45" s="872">
        <v>0</v>
      </c>
      <c r="AC45" s="872">
        <v>0</v>
      </c>
      <c r="AD45" s="872">
        <v>0</v>
      </c>
      <c r="AE45" s="872">
        <v>0</v>
      </c>
      <c r="AF45" s="872">
        <v>0</v>
      </c>
      <c r="AG45" s="872">
        <v>0</v>
      </c>
      <c r="AH45" s="872">
        <v>0</v>
      </c>
      <c r="AI45" s="872">
        <v>0</v>
      </c>
      <c r="AJ45" s="872">
        <v>0</v>
      </c>
      <c r="AK45" s="872">
        <v>0</v>
      </c>
      <c r="AL45" s="872">
        <v>0</v>
      </c>
      <c r="AM45" s="848"/>
    </row>
    <row r="46" spans="1:39">
      <c r="A46" s="861" t="s">
        <v>18</v>
      </c>
      <c r="B46" s="851"/>
      <c r="C46" s="851"/>
      <c r="D46" s="851"/>
      <c r="E46" s="851"/>
      <c r="F46" s="851"/>
      <c r="G46" s="851"/>
      <c r="H46" s="851"/>
      <c r="I46" s="851"/>
      <c r="J46" s="851"/>
      <c r="K46" s="851"/>
      <c r="L46" s="863" t="s">
        <v>1309</v>
      </c>
      <c r="M46" s="875" t="s">
        <v>347</v>
      </c>
      <c r="N46" s="816" t="s">
        <v>329</v>
      </c>
      <c r="O46" s="847"/>
      <c r="P46" s="847"/>
      <c r="Q46" s="847"/>
      <c r="R46" s="847"/>
      <c r="S46" s="847"/>
      <c r="T46" s="847"/>
      <c r="U46" s="847"/>
      <c r="V46" s="847"/>
      <c r="W46" s="847"/>
      <c r="X46" s="847"/>
      <c r="Y46" s="847"/>
      <c r="Z46" s="847"/>
      <c r="AA46" s="847"/>
      <c r="AB46" s="847"/>
      <c r="AC46" s="847"/>
      <c r="AD46" s="847"/>
      <c r="AE46" s="847"/>
      <c r="AF46" s="847"/>
      <c r="AG46" s="847"/>
      <c r="AH46" s="847"/>
      <c r="AI46" s="847"/>
      <c r="AJ46" s="847"/>
      <c r="AK46" s="847"/>
      <c r="AL46" s="847"/>
      <c r="AM46" s="848"/>
    </row>
    <row r="47" spans="1:39">
      <c r="A47" s="861" t="s">
        <v>18</v>
      </c>
      <c r="B47" s="851"/>
      <c r="C47" s="851"/>
      <c r="D47" s="851"/>
      <c r="E47" s="851"/>
      <c r="F47" s="851"/>
      <c r="G47" s="851"/>
      <c r="H47" s="851"/>
      <c r="I47" s="851"/>
      <c r="J47" s="851"/>
      <c r="K47" s="851"/>
      <c r="L47" s="863" t="s">
        <v>1310</v>
      </c>
      <c r="M47" s="875" t="s">
        <v>348</v>
      </c>
      <c r="N47" s="816" t="s">
        <v>329</v>
      </c>
      <c r="O47" s="847"/>
      <c r="P47" s="847"/>
      <c r="Q47" s="847"/>
      <c r="R47" s="847"/>
      <c r="S47" s="847"/>
      <c r="T47" s="847"/>
      <c r="U47" s="847"/>
      <c r="V47" s="847"/>
      <c r="W47" s="847"/>
      <c r="X47" s="847"/>
      <c r="Y47" s="847"/>
      <c r="Z47" s="847"/>
      <c r="AA47" s="847"/>
      <c r="AB47" s="847"/>
      <c r="AC47" s="847"/>
      <c r="AD47" s="847"/>
      <c r="AE47" s="847"/>
      <c r="AF47" s="847"/>
      <c r="AG47" s="847"/>
      <c r="AH47" s="847"/>
      <c r="AI47" s="847"/>
      <c r="AJ47" s="847"/>
      <c r="AK47" s="847"/>
      <c r="AL47" s="847"/>
      <c r="AM47" s="848"/>
    </row>
    <row r="48" spans="1:39">
      <c r="A48" s="861" t="s">
        <v>18</v>
      </c>
      <c r="B48" s="851" t="s">
        <v>1166</v>
      </c>
      <c r="C48" s="851"/>
      <c r="D48" s="851"/>
      <c r="E48" s="851"/>
      <c r="F48" s="851"/>
      <c r="G48" s="851"/>
      <c r="H48" s="851"/>
      <c r="I48" s="851"/>
      <c r="J48" s="851"/>
      <c r="K48" s="851"/>
      <c r="L48" s="863" t="s">
        <v>1311</v>
      </c>
      <c r="M48" s="874" t="s">
        <v>350</v>
      </c>
      <c r="N48" s="816" t="s">
        <v>329</v>
      </c>
      <c r="O48" s="872">
        <v>0</v>
      </c>
      <c r="P48" s="872">
        <v>0</v>
      </c>
      <c r="Q48" s="872">
        <v>0</v>
      </c>
      <c r="R48" s="872">
        <v>0</v>
      </c>
      <c r="S48" s="872">
        <v>0</v>
      </c>
      <c r="T48" s="872">
        <v>0</v>
      </c>
      <c r="U48" s="872">
        <v>0</v>
      </c>
      <c r="V48" s="872">
        <v>0</v>
      </c>
      <c r="W48" s="872">
        <v>0</v>
      </c>
      <c r="X48" s="872">
        <v>0</v>
      </c>
      <c r="Y48" s="872">
        <v>0</v>
      </c>
      <c r="Z48" s="872">
        <v>0</v>
      </c>
      <c r="AA48" s="872">
        <v>0</v>
      </c>
      <c r="AB48" s="872">
        <v>0</v>
      </c>
      <c r="AC48" s="872">
        <v>0</v>
      </c>
      <c r="AD48" s="872">
        <v>0</v>
      </c>
      <c r="AE48" s="872">
        <v>0</v>
      </c>
      <c r="AF48" s="872">
        <v>0</v>
      </c>
      <c r="AG48" s="872">
        <v>0</v>
      </c>
      <c r="AH48" s="872">
        <v>0</v>
      </c>
      <c r="AI48" s="872">
        <v>0</v>
      </c>
      <c r="AJ48" s="872">
        <v>0</v>
      </c>
      <c r="AK48" s="872">
        <v>0</v>
      </c>
      <c r="AL48" s="872">
        <v>0</v>
      </c>
      <c r="AM48" s="848"/>
    </row>
    <row r="49" spans="1:39">
      <c r="A49" s="861" t="s">
        <v>18</v>
      </c>
      <c r="B49" s="851"/>
      <c r="C49" s="851"/>
      <c r="D49" s="851"/>
      <c r="E49" s="851"/>
      <c r="F49" s="851"/>
      <c r="G49" s="851"/>
      <c r="H49" s="851"/>
      <c r="I49" s="851"/>
      <c r="J49" s="851"/>
      <c r="K49" s="851"/>
      <c r="L49" s="863" t="s">
        <v>1312</v>
      </c>
      <c r="M49" s="875" t="s">
        <v>347</v>
      </c>
      <c r="N49" s="816" t="s">
        <v>329</v>
      </c>
      <c r="O49" s="847"/>
      <c r="P49" s="847"/>
      <c r="Q49" s="847"/>
      <c r="R49" s="847"/>
      <c r="S49" s="847"/>
      <c r="T49" s="847"/>
      <c r="U49" s="847"/>
      <c r="V49" s="847"/>
      <c r="W49" s="847"/>
      <c r="X49" s="847"/>
      <c r="Y49" s="847"/>
      <c r="Z49" s="847"/>
      <c r="AA49" s="847"/>
      <c r="AB49" s="847"/>
      <c r="AC49" s="847"/>
      <c r="AD49" s="847"/>
      <c r="AE49" s="847"/>
      <c r="AF49" s="847"/>
      <c r="AG49" s="847"/>
      <c r="AH49" s="847"/>
      <c r="AI49" s="847"/>
      <c r="AJ49" s="847"/>
      <c r="AK49" s="847"/>
      <c r="AL49" s="847"/>
      <c r="AM49" s="848"/>
    </row>
    <row r="50" spans="1:39">
      <c r="A50" s="861" t="s">
        <v>18</v>
      </c>
      <c r="B50" s="851"/>
      <c r="C50" s="851"/>
      <c r="D50" s="851"/>
      <c r="E50" s="851"/>
      <c r="F50" s="851"/>
      <c r="G50" s="851"/>
      <c r="H50" s="851"/>
      <c r="I50" s="851"/>
      <c r="J50" s="851"/>
      <c r="K50" s="851"/>
      <c r="L50" s="863" t="s">
        <v>1313</v>
      </c>
      <c r="M50" s="875" t="s">
        <v>348</v>
      </c>
      <c r="N50" s="816" t="s">
        <v>329</v>
      </c>
      <c r="O50" s="847"/>
      <c r="P50" s="847"/>
      <c r="Q50" s="847"/>
      <c r="R50" s="847"/>
      <c r="S50" s="847"/>
      <c r="T50" s="847"/>
      <c r="U50" s="847"/>
      <c r="V50" s="847"/>
      <c r="W50" s="847"/>
      <c r="X50" s="847"/>
      <c r="Y50" s="847"/>
      <c r="Z50" s="847"/>
      <c r="AA50" s="847"/>
      <c r="AB50" s="847"/>
      <c r="AC50" s="847"/>
      <c r="AD50" s="847"/>
      <c r="AE50" s="847"/>
      <c r="AF50" s="847"/>
      <c r="AG50" s="847"/>
      <c r="AH50" s="847"/>
      <c r="AI50" s="847"/>
      <c r="AJ50" s="847"/>
      <c r="AK50" s="847"/>
      <c r="AL50" s="847"/>
      <c r="AM50" s="848"/>
    </row>
    <row r="51" spans="1:39">
      <c r="A51" s="861" t="s">
        <v>18</v>
      </c>
      <c r="B51" s="851"/>
      <c r="C51" s="851"/>
      <c r="D51" s="851"/>
      <c r="E51" s="851"/>
      <c r="F51" s="851"/>
      <c r="G51" s="851"/>
      <c r="H51" s="851"/>
      <c r="I51" s="851"/>
      <c r="J51" s="851"/>
      <c r="K51" s="851"/>
      <c r="L51" s="863" t="s">
        <v>1314</v>
      </c>
      <c r="M51" s="874" t="s">
        <v>351</v>
      </c>
      <c r="N51" s="816" t="s">
        <v>329</v>
      </c>
      <c r="O51" s="872">
        <v>0</v>
      </c>
      <c r="P51" s="872">
        <v>2066.08</v>
      </c>
      <c r="Q51" s="872">
        <v>2066.08</v>
      </c>
      <c r="R51" s="872">
        <v>2231.56</v>
      </c>
      <c r="S51" s="872">
        <v>2066.08</v>
      </c>
      <c r="T51" s="872">
        <v>0</v>
      </c>
      <c r="U51" s="872">
        <v>0</v>
      </c>
      <c r="V51" s="872">
        <v>0</v>
      </c>
      <c r="W51" s="872">
        <v>0</v>
      </c>
      <c r="X51" s="872">
        <v>0</v>
      </c>
      <c r="Y51" s="872">
        <v>0</v>
      </c>
      <c r="Z51" s="872">
        <v>0</v>
      </c>
      <c r="AA51" s="872">
        <v>0</v>
      </c>
      <c r="AB51" s="872">
        <v>0</v>
      </c>
      <c r="AC51" s="872">
        <v>2066.08</v>
      </c>
      <c r="AD51" s="872">
        <v>0</v>
      </c>
      <c r="AE51" s="872">
        <v>0</v>
      </c>
      <c r="AF51" s="872">
        <v>0</v>
      </c>
      <c r="AG51" s="872">
        <v>0</v>
      </c>
      <c r="AH51" s="872">
        <v>0</v>
      </c>
      <c r="AI51" s="872">
        <v>0</v>
      </c>
      <c r="AJ51" s="872">
        <v>0</v>
      </c>
      <c r="AK51" s="872">
        <v>0</v>
      </c>
      <c r="AL51" s="872">
        <v>0</v>
      </c>
      <c r="AM51" s="848"/>
    </row>
    <row r="52" spans="1:39">
      <c r="A52" s="861" t="s">
        <v>18</v>
      </c>
      <c r="B52" s="851"/>
      <c r="C52" s="851"/>
      <c r="D52" s="851"/>
      <c r="E52" s="851"/>
      <c r="F52" s="851"/>
      <c r="G52" s="851"/>
      <c r="H52" s="851"/>
      <c r="I52" s="851"/>
      <c r="J52" s="851"/>
      <c r="K52" s="851"/>
      <c r="L52" s="863" t="s">
        <v>1315</v>
      </c>
      <c r="M52" s="875" t="s">
        <v>347</v>
      </c>
      <c r="N52" s="816" t="s">
        <v>329</v>
      </c>
      <c r="O52" s="847"/>
      <c r="P52" s="847">
        <v>2066.08</v>
      </c>
      <c r="Q52" s="847">
        <v>2066.08</v>
      </c>
      <c r="R52" s="847">
        <v>2231.56</v>
      </c>
      <c r="S52" s="847">
        <v>2066.08</v>
      </c>
      <c r="T52" s="847"/>
      <c r="U52" s="847"/>
      <c r="V52" s="847"/>
      <c r="W52" s="847"/>
      <c r="X52" s="847"/>
      <c r="Y52" s="847"/>
      <c r="Z52" s="847"/>
      <c r="AA52" s="847"/>
      <c r="AB52" s="847"/>
      <c r="AC52" s="847">
        <v>2066.08</v>
      </c>
      <c r="AD52" s="847"/>
      <c r="AE52" s="847"/>
      <c r="AF52" s="847"/>
      <c r="AG52" s="847"/>
      <c r="AH52" s="847"/>
      <c r="AI52" s="847"/>
      <c r="AJ52" s="847"/>
      <c r="AK52" s="847"/>
      <c r="AL52" s="847"/>
      <c r="AM52" s="848"/>
    </row>
    <row r="53" spans="1:39">
      <c r="A53" s="861" t="s">
        <v>18</v>
      </c>
      <c r="B53" s="851"/>
      <c r="C53" s="851"/>
      <c r="D53" s="851"/>
      <c r="E53" s="851"/>
      <c r="F53" s="851"/>
      <c r="G53" s="851"/>
      <c r="H53" s="851"/>
      <c r="I53" s="851"/>
      <c r="J53" s="851"/>
      <c r="K53" s="851"/>
      <c r="L53" s="863" t="s">
        <v>1316</v>
      </c>
      <c r="M53" s="875" t="s">
        <v>348</v>
      </c>
      <c r="N53" s="816" t="s">
        <v>329</v>
      </c>
      <c r="O53" s="847"/>
      <c r="P53" s="847"/>
      <c r="Q53" s="847"/>
      <c r="R53" s="847"/>
      <c r="S53" s="847"/>
      <c r="T53" s="847"/>
      <c r="U53" s="847"/>
      <c r="V53" s="847"/>
      <c r="W53" s="847"/>
      <c r="X53" s="847"/>
      <c r="Y53" s="847"/>
      <c r="Z53" s="847"/>
      <c r="AA53" s="847"/>
      <c r="AB53" s="847"/>
      <c r="AC53" s="847"/>
      <c r="AD53" s="847"/>
      <c r="AE53" s="847"/>
      <c r="AF53" s="847"/>
      <c r="AG53" s="847"/>
      <c r="AH53" s="847"/>
      <c r="AI53" s="847"/>
      <c r="AJ53" s="847"/>
      <c r="AK53" s="847"/>
      <c r="AL53" s="847"/>
      <c r="AM53" s="868"/>
    </row>
    <row r="54" spans="1:39" ht="22.5">
      <c r="A54" s="861" t="s">
        <v>18</v>
      </c>
      <c r="B54" s="851"/>
      <c r="C54" s="851"/>
      <c r="D54" s="851"/>
      <c r="E54" s="851"/>
      <c r="F54" s="851"/>
      <c r="G54" s="851"/>
      <c r="H54" s="851"/>
      <c r="I54" s="851"/>
      <c r="J54" s="851"/>
      <c r="K54" s="851"/>
      <c r="L54" s="863" t="s">
        <v>1317</v>
      </c>
      <c r="M54" s="876" t="s">
        <v>1150</v>
      </c>
      <c r="N54" s="816" t="s">
        <v>329</v>
      </c>
      <c r="O54" s="870"/>
      <c r="P54" s="870"/>
      <c r="Q54" s="870"/>
      <c r="R54" s="870"/>
      <c r="S54" s="870"/>
      <c r="T54" s="870"/>
      <c r="U54" s="870"/>
      <c r="V54" s="870"/>
      <c r="W54" s="870"/>
      <c r="X54" s="870"/>
      <c r="Y54" s="870"/>
      <c r="Z54" s="870"/>
      <c r="AA54" s="870"/>
      <c r="AB54" s="870"/>
      <c r="AC54" s="870"/>
      <c r="AD54" s="870"/>
      <c r="AE54" s="870"/>
      <c r="AF54" s="870"/>
      <c r="AG54" s="870"/>
      <c r="AH54" s="870"/>
      <c r="AI54" s="870"/>
      <c r="AJ54" s="870"/>
      <c r="AK54" s="870"/>
      <c r="AL54" s="870"/>
      <c r="AM54" s="868"/>
    </row>
    <row r="55" spans="1:39" s="90" customFormat="1">
      <c r="A55" s="821"/>
      <c r="B55" s="821"/>
      <c r="C55" s="821"/>
      <c r="D55" s="821"/>
      <c r="E55" s="821"/>
      <c r="F55" s="821"/>
      <c r="G55" s="852" t="b">
        <v>1</v>
      </c>
      <c r="H55" s="821"/>
      <c r="I55" s="821"/>
      <c r="J55" s="821"/>
      <c r="K55" s="821"/>
      <c r="L55" s="877"/>
      <c r="M55" s="877"/>
      <c r="N55" s="877"/>
      <c r="O55" s="878"/>
      <c r="P55" s="878"/>
      <c r="Q55" s="878"/>
      <c r="R55" s="878"/>
      <c r="S55" s="878"/>
      <c r="T55" s="878"/>
      <c r="U55" s="878"/>
      <c r="V55" s="878"/>
      <c r="W55" s="878"/>
      <c r="X55" s="878"/>
      <c r="Y55" s="878"/>
      <c r="Z55" s="878"/>
      <c r="AA55" s="878"/>
      <c r="AB55" s="878"/>
      <c r="AC55" s="878"/>
      <c r="AD55" s="878"/>
      <c r="AE55" s="878"/>
      <c r="AF55" s="878"/>
      <c r="AG55" s="878"/>
      <c r="AH55" s="878"/>
      <c r="AI55" s="878"/>
      <c r="AJ55" s="878"/>
      <c r="AK55" s="878"/>
      <c r="AL55" s="878"/>
      <c r="AM55" s="879"/>
    </row>
    <row r="56" spans="1:39" s="89" customFormat="1" ht="15" hidden="1" customHeight="1">
      <c r="A56" s="852"/>
      <c r="B56" s="852"/>
      <c r="C56" s="852"/>
      <c r="D56" s="852"/>
      <c r="E56" s="852"/>
      <c r="F56" s="852"/>
      <c r="G56" s="852" t="b">
        <v>0</v>
      </c>
      <c r="H56" s="852"/>
      <c r="I56" s="852"/>
      <c r="J56" s="852"/>
      <c r="K56" s="852"/>
      <c r="L56" s="853" t="s">
        <v>1297</v>
      </c>
      <c r="M56" s="853"/>
      <c r="N56" s="853"/>
      <c r="O56" s="853"/>
      <c r="P56" s="853"/>
      <c r="Q56" s="853"/>
      <c r="R56" s="853"/>
      <c r="S56" s="853"/>
      <c r="T56" s="853"/>
      <c r="U56" s="853"/>
      <c r="V56" s="853"/>
      <c r="W56" s="853"/>
      <c r="X56" s="853"/>
      <c r="Y56" s="853"/>
      <c r="Z56" s="853"/>
      <c r="AA56" s="853"/>
      <c r="AB56" s="853"/>
      <c r="AC56" s="853"/>
      <c r="AD56" s="853"/>
      <c r="AE56" s="853"/>
      <c r="AF56" s="853"/>
      <c r="AG56" s="853"/>
      <c r="AH56" s="853"/>
      <c r="AI56" s="853"/>
      <c r="AJ56" s="853"/>
      <c r="AK56" s="853"/>
      <c r="AL56" s="853"/>
      <c r="AM56" s="853"/>
    </row>
    <row r="57" spans="1:39" s="90" customFormat="1" ht="15" hidden="1" customHeight="1">
      <c r="A57" s="821"/>
      <c r="B57" s="821"/>
      <c r="C57" s="821"/>
      <c r="D57" s="821"/>
      <c r="E57" s="821"/>
      <c r="F57" s="821"/>
      <c r="G57" s="852" t="b">
        <v>0</v>
      </c>
      <c r="H57" s="821"/>
      <c r="I57" s="821"/>
      <c r="J57" s="821"/>
      <c r="K57" s="821"/>
      <c r="L57" s="854" t="s">
        <v>16</v>
      </c>
      <c r="M57" s="855" t="s">
        <v>121</v>
      </c>
      <c r="N57" s="815" t="s">
        <v>143</v>
      </c>
      <c r="O57" s="856" t="s">
        <v>2567</v>
      </c>
      <c r="P57" s="856" t="s">
        <v>2567</v>
      </c>
      <c r="Q57" s="856" t="s">
        <v>2567</v>
      </c>
      <c r="R57" s="857" t="s">
        <v>2568</v>
      </c>
      <c r="S57" s="817" t="s">
        <v>2569</v>
      </c>
      <c r="T57" s="817" t="s">
        <v>2598</v>
      </c>
      <c r="U57" s="817" t="s">
        <v>2599</v>
      </c>
      <c r="V57" s="817" t="s">
        <v>2600</v>
      </c>
      <c r="W57" s="817" t="s">
        <v>2601</v>
      </c>
      <c r="X57" s="817" t="s">
        <v>2602</v>
      </c>
      <c r="Y57" s="817" t="s">
        <v>2603</v>
      </c>
      <c r="Z57" s="817" t="s">
        <v>2604</v>
      </c>
      <c r="AA57" s="817" t="s">
        <v>2605</v>
      </c>
      <c r="AB57" s="817" t="s">
        <v>2606</v>
      </c>
      <c r="AC57" s="817" t="s">
        <v>2569</v>
      </c>
      <c r="AD57" s="817" t="s">
        <v>2598</v>
      </c>
      <c r="AE57" s="817" t="s">
        <v>2599</v>
      </c>
      <c r="AF57" s="817" t="s">
        <v>2600</v>
      </c>
      <c r="AG57" s="817" t="s">
        <v>2601</v>
      </c>
      <c r="AH57" s="817" t="s">
        <v>2602</v>
      </c>
      <c r="AI57" s="817" t="s">
        <v>2603</v>
      </c>
      <c r="AJ57" s="817" t="s">
        <v>2604</v>
      </c>
      <c r="AK57" s="817" t="s">
        <v>2605</v>
      </c>
      <c r="AL57" s="817" t="s">
        <v>2606</v>
      </c>
      <c r="AM57" s="858" t="s">
        <v>323</v>
      </c>
    </row>
    <row r="58" spans="1:39" s="90" customFormat="1" ht="69.95" hidden="1" customHeight="1">
      <c r="A58" s="821"/>
      <c r="B58" s="821"/>
      <c r="C58" s="821"/>
      <c r="D58" s="821"/>
      <c r="E58" s="821"/>
      <c r="F58" s="821"/>
      <c r="G58" s="852" t="b">
        <v>0</v>
      </c>
      <c r="H58" s="821"/>
      <c r="I58" s="821"/>
      <c r="J58" s="821"/>
      <c r="K58" s="821"/>
      <c r="L58" s="854"/>
      <c r="M58" s="859"/>
      <c r="N58" s="815"/>
      <c r="O58" s="817" t="s">
        <v>286</v>
      </c>
      <c r="P58" s="817" t="s">
        <v>324</v>
      </c>
      <c r="Q58" s="817" t="s">
        <v>304</v>
      </c>
      <c r="R58" s="817" t="s">
        <v>286</v>
      </c>
      <c r="S58" s="860" t="s">
        <v>287</v>
      </c>
      <c r="T58" s="860" t="s">
        <v>287</v>
      </c>
      <c r="U58" s="860" t="s">
        <v>287</v>
      </c>
      <c r="V58" s="860" t="s">
        <v>287</v>
      </c>
      <c r="W58" s="860" t="s">
        <v>287</v>
      </c>
      <c r="X58" s="860" t="s">
        <v>287</v>
      </c>
      <c r="Y58" s="860" t="s">
        <v>287</v>
      </c>
      <c r="Z58" s="860" t="s">
        <v>287</v>
      </c>
      <c r="AA58" s="860" t="s">
        <v>287</v>
      </c>
      <c r="AB58" s="860" t="s">
        <v>287</v>
      </c>
      <c r="AC58" s="860" t="s">
        <v>286</v>
      </c>
      <c r="AD58" s="860" t="s">
        <v>286</v>
      </c>
      <c r="AE58" s="860" t="s">
        <v>286</v>
      </c>
      <c r="AF58" s="860" t="s">
        <v>286</v>
      </c>
      <c r="AG58" s="860" t="s">
        <v>286</v>
      </c>
      <c r="AH58" s="860" t="s">
        <v>286</v>
      </c>
      <c r="AI58" s="860" t="s">
        <v>286</v>
      </c>
      <c r="AJ58" s="860" t="s">
        <v>286</v>
      </c>
      <c r="AK58" s="860" t="s">
        <v>286</v>
      </c>
      <c r="AL58" s="860" t="s">
        <v>286</v>
      </c>
      <c r="AM58" s="858"/>
    </row>
    <row r="59" spans="1:39" ht="15" hidden="1" customHeight="1">
      <c r="A59" s="851"/>
      <c r="B59" s="851"/>
      <c r="C59" s="851"/>
      <c r="D59" s="851"/>
      <c r="E59" s="851"/>
      <c r="F59" s="851"/>
      <c r="G59" s="852" t="b">
        <v>0</v>
      </c>
      <c r="H59" s="851"/>
      <c r="I59" s="851"/>
      <c r="J59" s="851"/>
      <c r="K59" s="851"/>
      <c r="L59" s="877"/>
      <c r="M59" s="877"/>
      <c r="N59" s="877"/>
      <c r="O59" s="877"/>
      <c r="P59" s="877"/>
      <c r="Q59" s="877"/>
      <c r="R59" s="877"/>
      <c r="S59" s="877"/>
      <c r="T59" s="877"/>
      <c r="U59" s="877"/>
      <c r="V59" s="877"/>
      <c r="W59" s="877"/>
      <c r="X59" s="877"/>
      <c r="Y59" s="877"/>
      <c r="Z59" s="877"/>
      <c r="AA59" s="877"/>
      <c r="AB59" s="877"/>
      <c r="AC59" s="877"/>
      <c r="AD59" s="877"/>
      <c r="AE59" s="877"/>
      <c r="AF59" s="877"/>
      <c r="AG59" s="877"/>
      <c r="AH59" s="877"/>
      <c r="AI59" s="877"/>
      <c r="AJ59" s="877"/>
      <c r="AK59" s="877"/>
      <c r="AL59" s="877"/>
      <c r="AM59" s="877"/>
    </row>
    <row r="60" spans="1:39" s="89" customFormat="1" ht="15" hidden="1" customHeight="1">
      <c r="A60" s="852"/>
      <c r="B60" s="852"/>
      <c r="C60" s="852"/>
      <c r="D60" s="852"/>
      <c r="E60" s="852"/>
      <c r="F60" s="852"/>
      <c r="G60" s="852" t="b">
        <v>0</v>
      </c>
      <c r="H60" s="852"/>
      <c r="I60" s="852"/>
      <c r="J60" s="852"/>
      <c r="K60" s="852"/>
      <c r="L60" s="853" t="s">
        <v>1298</v>
      </c>
      <c r="M60" s="853"/>
      <c r="N60" s="853"/>
      <c r="O60" s="853"/>
      <c r="P60" s="853"/>
      <c r="Q60" s="853"/>
      <c r="R60" s="853"/>
      <c r="S60" s="853"/>
      <c r="T60" s="853"/>
      <c r="U60" s="853"/>
      <c r="V60" s="853"/>
      <c r="W60" s="853"/>
      <c r="X60" s="853"/>
      <c r="Y60" s="853"/>
      <c r="Z60" s="853"/>
      <c r="AA60" s="853"/>
      <c r="AB60" s="853"/>
      <c r="AC60" s="853"/>
      <c r="AD60" s="853"/>
      <c r="AE60" s="853"/>
      <c r="AF60" s="853"/>
      <c r="AG60" s="853"/>
      <c r="AH60" s="853"/>
      <c r="AI60" s="853"/>
      <c r="AJ60" s="853"/>
      <c r="AK60" s="853"/>
      <c r="AL60" s="853"/>
      <c r="AM60" s="853"/>
    </row>
    <row r="61" spans="1:39" s="90" customFormat="1" ht="15" hidden="1" customHeight="1">
      <c r="A61" s="821"/>
      <c r="B61" s="821"/>
      <c r="C61" s="821"/>
      <c r="D61" s="821"/>
      <c r="E61" s="821"/>
      <c r="F61" s="821"/>
      <c r="G61" s="852" t="b">
        <v>0</v>
      </c>
      <c r="H61" s="821"/>
      <c r="I61" s="821"/>
      <c r="J61" s="821"/>
      <c r="K61" s="821"/>
      <c r="L61" s="854" t="s">
        <v>16</v>
      </c>
      <c r="M61" s="855" t="s">
        <v>121</v>
      </c>
      <c r="N61" s="815" t="s">
        <v>143</v>
      </c>
      <c r="O61" s="856" t="s">
        <v>2567</v>
      </c>
      <c r="P61" s="856" t="s">
        <v>2567</v>
      </c>
      <c r="Q61" s="856" t="s">
        <v>2567</v>
      </c>
      <c r="R61" s="857" t="s">
        <v>2568</v>
      </c>
      <c r="S61" s="817" t="s">
        <v>2569</v>
      </c>
      <c r="T61" s="817" t="s">
        <v>2598</v>
      </c>
      <c r="U61" s="817" t="s">
        <v>2599</v>
      </c>
      <c r="V61" s="817" t="s">
        <v>2600</v>
      </c>
      <c r="W61" s="817" t="s">
        <v>2601</v>
      </c>
      <c r="X61" s="817" t="s">
        <v>2602</v>
      </c>
      <c r="Y61" s="817" t="s">
        <v>2603</v>
      </c>
      <c r="Z61" s="817" t="s">
        <v>2604</v>
      </c>
      <c r="AA61" s="817" t="s">
        <v>2605</v>
      </c>
      <c r="AB61" s="817" t="s">
        <v>2606</v>
      </c>
      <c r="AC61" s="817" t="s">
        <v>2569</v>
      </c>
      <c r="AD61" s="817" t="s">
        <v>2598</v>
      </c>
      <c r="AE61" s="817" t="s">
        <v>2599</v>
      </c>
      <c r="AF61" s="817" t="s">
        <v>2600</v>
      </c>
      <c r="AG61" s="817" t="s">
        <v>2601</v>
      </c>
      <c r="AH61" s="817" t="s">
        <v>2602</v>
      </c>
      <c r="AI61" s="817" t="s">
        <v>2603</v>
      </c>
      <c r="AJ61" s="817" t="s">
        <v>2604</v>
      </c>
      <c r="AK61" s="817" t="s">
        <v>2605</v>
      </c>
      <c r="AL61" s="817" t="s">
        <v>2606</v>
      </c>
      <c r="AM61" s="858" t="s">
        <v>323</v>
      </c>
    </row>
    <row r="62" spans="1:39" s="90" customFormat="1" ht="69.95" hidden="1" customHeight="1">
      <c r="A62" s="821"/>
      <c r="B62" s="821"/>
      <c r="C62" s="821"/>
      <c r="D62" s="821"/>
      <c r="E62" s="821"/>
      <c r="F62" s="821"/>
      <c r="G62" s="852" t="b">
        <v>0</v>
      </c>
      <c r="H62" s="821"/>
      <c r="I62" s="821"/>
      <c r="J62" s="821"/>
      <c r="K62" s="821"/>
      <c r="L62" s="854"/>
      <c r="M62" s="859"/>
      <c r="N62" s="815"/>
      <c r="O62" s="817" t="s">
        <v>286</v>
      </c>
      <c r="P62" s="817" t="s">
        <v>324</v>
      </c>
      <c r="Q62" s="817" t="s">
        <v>304</v>
      </c>
      <c r="R62" s="817" t="s">
        <v>286</v>
      </c>
      <c r="S62" s="860" t="s">
        <v>287</v>
      </c>
      <c r="T62" s="860" t="s">
        <v>287</v>
      </c>
      <c r="U62" s="860" t="s">
        <v>287</v>
      </c>
      <c r="V62" s="860" t="s">
        <v>287</v>
      </c>
      <c r="W62" s="860" t="s">
        <v>287</v>
      </c>
      <c r="X62" s="860" t="s">
        <v>287</v>
      </c>
      <c r="Y62" s="860" t="s">
        <v>287</v>
      </c>
      <c r="Z62" s="860" t="s">
        <v>287</v>
      </c>
      <c r="AA62" s="860" t="s">
        <v>287</v>
      </c>
      <c r="AB62" s="860" t="s">
        <v>287</v>
      </c>
      <c r="AC62" s="860" t="s">
        <v>286</v>
      </c>
      <c r="AD62" s="860" t="s">
        <v>286</v>
      </c>
      <c r="AE62" s="860" t="s">
        <v>286</v>
      </c>
      <c r="AF62" s="860" t="s">
        <v>286</v>
      </c>
      <c r="AG62" s="860" t="s">
        <v>286</v>
      </c>
      <c r="AH62" s="860" t="s">
        <v>286</v>
      </c>
      <c r="AI62" s="860" t="s">
        <v>286</v>
      </c>
      <c r="AJ62" s="860" t="s">
        <v>286</v>
      </c>
      <c r="AK62" s="860" t="s">
        <v>286</v>
      </c>
      <c r="AL62" s="860" t="s">
        <v>286</v>
      </c>
      <c r="AM62" s="858"/>
    </row>
    <row r="63" spans="1:39" ht="15" hidden="1" customHeight="1">
      <c r="A63" s="851"/>
      <c r="B63" s="851"/>
      <c r="C63" s="851"/>
      <c r="D63" s="851"/>
      <c r="E63" s="851"/>
      <c r="F63" s="851"/>
      <c r="G63" s="852" t="b">
        <v>0</v>
      </c>
      <c r="H63" s="851"/>
      <c r="I63" s="851"/>
      <c r="J63" s="851"/>
      <c r="K63" s="851"/>
      <c r="L63" s="821"/>
      <c r="M63" s="821"/>
      <c r="N63" s="821"/>
      <c r="O63" s="851"/>
      <c r="P63" s="851"/>
      <c r="Q63" s="851"/>
      <c r="R63" s="851"/>
      <c r="S63" s="851"/>
      <c r="T63" s="851"/>
      <c r="U63" s="851"/>
      <c r="V63" s="851"/>
      <c r="W63" s="851"/>
      <c r="X63" s="851"/>
      <c r="Y63" s="851"/>
      <c r="Z63" s="851"/>
      <c r="AA63" s="851"/>
      <c r="AB63" s="851"/>
      <c r="AC63" s="851"/>
      <c r="AD63" s="851"/>
      <c r="AE63" s="851"/>
      <c r="AF63" s="851"/>
      <c r="AG63" s="851"/>
      <c r="AH63" s="851"/>
      <c r="AI63" s="851"/>
      <c r="AJ63" s="851"/>
      <c r="AK63" s="851"/>
      <c r="AL63" s="851"/>
      <c r="AM63" s="821"/>
    </row>
    <row r="64" spans="1:39" s="89" customFormat="1" ht="15" hidden="1" customHeight="1">
      <c r="A64" s="852"/>
      <c r="B64" s="852"/>
      <c r="C64" s="852"/>
      <c r="D64" s="852"/>
      <c r="E64" s="852"/>
      <c r="F64" s="852"/>
      <c r="G64" s="852" t="b">
        <v>0</v>
      </c>
      <c r="H64" s="852"/>
      <c r="I64" s="852"/>
      <c r="J64" s="852"/>
      <c r="K64" s="852"/>
      <c r="L64" s="880" t="s">
        <v>1299</v>
      </c>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row>
    <row r="65" spans="1:39" s="90" customFormat="1" ht="15" hidden="1" customHeight="1">
      <c r="A65" s="821"/>
      <c r="B65" s="821"/>
      <c r="C65" s="821"/>
      <c r="D65" s="821"/>
      <c r="E65" s="821"/>
      <c r="F65" s="821"/>
      <c r="G65" s="852" t="b">
        <v>0</v>
      </c>
      <c r="H65" s="821"/>
      <c r="I65" s="821"/>
      <c r="J65" s="821"/>
      <c r="K65" s="821"/>
      <c r="L65" s="854" t="s">
        <v>16</v>
      </c>
      <c r="M65" s="855" t="s">
        <v>121</v>
      </c>
      <c r="N65" s="815" t="s">
        <v>143</v>
      </c>
      <c r="O65" s="856" t="s">
        <v>2567</v>
      </c>
      <c r="P65" s="856" t="s">
        <v>2567</v>
      </c>
      <c r="Q65" s="856" t="s">
        <v>2567</v>
      </c>
      <c r="R65" s="857" t="s">
        <v>2568</v>
      </c>
      <c r="S65" s="817" t="s">
        <v>2569</v>
      </c>
      <c r="T65" s="817" t="s">
        <v>2598</v>
      </c>
      <c r="U65" s="817" t="s">
        <v>2599</v>
      </c>
      <c r="V65" s="817" t="s">
        <v>2600</v>
      </c>
      <c r="W65" s="817" t="s">
        <v>2601</v>
      </c>
      <c r="X65" s="817" t="s">
        <v>2602</v>
      </c>
      <c r="Y65" s="817" t="s">
        <v>2603</v>
      </c>
      <c r="Z65" s="817" t="s">
        <v>2604</v>
      </c>
      <c r="AA65" s="817" t="s">
        <v>2605</v>
      </c>
      <c r="AB65" s="817" t="s">
        <v>2606</v>
      </c>
      <c r="AC65" s="817" t="s">
        <v>2569</v>
      </c>
      <c r="AD65" s="817" t="s">
        <v>2598</v>
      </c>
      <c r="AE65" s="817" t="s">
        <v>2599</v>
      </c>
      <c r="AF65" s="817" t="s">
        <v>2600</v>
      </c>
      <c r="AG65" s="817" t="s">
        <v>2601</v>
      </c>
      <c r="AH65" s="817" t="s">
        <v>2602</v>
      </c>
      <c r="AI65" s="817" t="s">
        <v>2603</v>
      </c>
      <c r="AJ65" s="817" t="s">
        <v>2604</v>
      </c>
      <c r="AK65" s="817" t="s">
        <v>2605</v>
      </c>
      <c r="AL65" s="817" t="s">
        <v>2606</v>
      </c>
      <c r="AM65" s="858" t="s">
        <v>323</v>
      </c>
    </row>
    <row r="66" spans="1:39" s="90" customFormat="1" ht="69.95" hidden="1" customHeight="1">
      <c r="A66" s="821"/>
      <c r="B66" s="821"/>
      <c r="C66" s="821"/>
      <c r="D66" s="821"/>
      <c r="E66" s="821"/>
      <c r="F66" s="821"/>
      <c r="G66" s="852" t="b">
        <v>0</v>
      </c>
      <c r="H66" s="821"/>
      <c r="I66" s="821"/>
      <c r="J66" s="821"/>
      <c r="K66" s="821"/>
      <c r="L66" s="854"/>
      <c r="M66" s="859"/>
      <c r="N66" s="815"/>
      <c r="O66" s="817" t="s">
        <v>286</v>
      </c>
      <c r="P66" s="817" t="s">
        <v>324</v>
      </c>
      <c r="Q66" s="817" t="s">
        <v>304</v>
      </c>
      <c r="R66" s="817" t="s">
        <v>286</v>
      </c>
      <c r="S66" s="860" t="s">
        <v>287</v>
      </c>
      <c r="T66" s="860" t="s">
        <v>287</v>
      </c>
      <c r="U66" s="860" t="s">
        <v>287</v>
      </c>
      <c r="V66" s="860" t="s">
        <v>287</v>
      </c>
      <c r="W66" s="860" t="s">
        <v>287</v>
      </c>
      <c r="X66" s="860" t="s">
        <v>287</v>
      </c>
      <c r="Y66" s="860" t="s">
        <v>287</v>
      </c>
      <c r="Z66" s="860" t="s">
        <v>287</v>
      </c>
      <c r="AA66" s="860" t="s">
        <v>287</v>
      </c>
      <c r="AB66" s="860" t="s">
        <v>287</v>
      </c>
      <c r="AC66" s="860" t="s">
        <v>286</v>
      </c>
      <c r="AD66" s="860" t="s">
        <v>286</v>
      </c>
      <c r="AE66" s="860" t="s">
        <v>286</v>
      </c>
      <c r="AF66" s="860" t="s">
        <v>286</v>
      </c>
      <c r="AG66" s="860" t="s">
        <v>286</v>
      </c>
      <c r="AH66" s="860" t="s">
        <v>286</v>
      </c>
      <c r="AI66" s="860" t="s">
        <v>286</v>
      </c>
      <c r="AJ66" s="860" t="s">
        <v>286</v>
      </c>
      <c r="AK66" s="860" t="s">
        <v>286</v>
      </c>
      <c r="AL66" s="860" t="s">
        <v>286</v>
      </c>
      <c r="AM66" s="858"/>
    </row>
    <row r="67" spans="1:39" hidden="1">
      <c r="A67" s="851"/>
      <c r="B67" s="851"/>
      <c r="C67" s="851"/>
      <c r="D67" s="851"/>
      <c r="E67" s="851"/>
      <c r="F67" s="851"/>
      <c r="G67" s="852" t="b">
        <v>0</v>
      </c>
      <c r="H67" s="851"/>
      <c r="I67" s="851"/>
      <c r="J67" s="851"/>
      <c r="K67" s="851"/>
      <c r="L67" s="821"/>
      <c r="M67" s="821"/>
      <c r="N67" s="821"/>
      <c r="O67" s="851"/>
      <c r="P67" s="851"/>
      <c r="Q67" s="851"/>
      <c r="R67" s="851"/>
      <c r="S67" s="851"/>
      <c r="T67" s="851"/>
      <c r="U67" s="851"/>
      <c r="V67" s="851"/>
      <c r="W67" s="851"/>
      <c r="X67" s="851"/>
      <c r="Y67" s="851"/>
      <c r="Z67" s="851"/>
      <c r="AA67" s="851"/>
      <c r="AB67" s="851"/>
      <c r="AC67" s="851"/>
      <c r="AD67" s="851"/>
      <c r="AE67" s="851"/>
      <c r="AF67" s="851"/>
      <c r="AG67" s="851"/>
      <c r="AH67" s="851"/>
      <c r="AI67" s="851"/>
      <c r="AJ67" s="851"/>
      <c r="AK67" s="851"/>
      <c r="AL67" s="851"/>
      <c r="AM67" s="821"/>
    </row>
    <row r="68" spans="1:39" ht="15" customHeight="1">
      <c r="A68" s="851"/>
      <c r="B68" s="851"/>
      <c r="C68" s="851"/>
      <c r="D68" s="851"/>
      <c r="E68" s="851"/>
      <c r="F68" s="851"/>
      <c r="G68" s="852"/>
      <c r="H68" s="851"/>
      <c r="I68" s="851"/>
      <c r="J68" s="851"/>
      <c r="K68" s="851"/>
      <c r="L68" s="881" t="s">
        <v>1402</v>
      </c>
      <c r="M68" s="881"/>
      <c r="N68" s="881"/>
      <c r="O68" s="882"/>
      <c r="P68" s="882"/>
      <c r="Q68" s="882"/>
      <c r="R68" s="882"/>
      <c r="S68" s="882"/>
      <c r="T68" s="882"/>
      <c r="U68" s="882"/>
      <c r="V68" s="882"/>
      <c r="W68" s="882"/>
      <c r="X68" s="882"/>
      <c r="Y68" s="882"/>
      <c r="Z68" s="882"/>
      <c r="AA68" s="882"/>
      <c r="AB68" s="882"/>
      <c r="AC68" s="882"/>
      <c r="AD68" s="882"/>
      <c r="AE68" s="882"/>
      <c r="AF68" s="882"/>
      <c r="AG68" s="882"/>
      <c r="AH68" s="882"/>
      <c r="AI68" s="882"/>
      <c r="AJ68" s="882"/>
      <c r="AK68" s="882"/>
      <c r="AL68" s="882"/>
      <c r="AM68" s="882"/>
    </row>
    <row r="69" spans="1:39" ht="40.5" customHeight="1">
      <c r="A69" s="851"/>
      <c r="B69" s="851"/>
      <c r="C69" s="851"/>
      <c r="D69" s="851"/>
      <c r="E69" s="851"/>
      <c r="F69" s="851"/>
      <c r="G69" s="852"/>
      <c r="H69" s="851"/>
      <c r="I69" s="851"/>
      <c r="J69" s="851"/>
      <c r="K69" s="724"/>
      <c r="L69" s="883" t="s">
        <v>2523</v>
      </c>
      <c r="M69" s="884"/>
      <c r="N69" s="884"/>
      <c r="O69" s="884"/>
      <c r="P69" s="884"/>
      <c r="Q69" s="884"/>
      <c r="R69" s="884"/>
      <c r="S69" s="884"/>
      <c r="T69" s="884"/>
      <c r="U69" s="884"/>
      <c r="V69" s="884"/>
      <c r="W69" s="884"/>
      <c r="X69" s="884"/>
      <c r="Y69" s="884"/>
      <c r="Z69" s="884"/>
      <c r="AA69" s="884"/>
      <c r="AB69" s="884"/>
      <c r="AC69" s="884"/>
      <c r="AD69" s="884"/>
      <c r="AE69" s="884"/>
      <c r="AF69" s="884"/>
      <c r="AG69" s="884"/>
      <c r="AH69" s="884"/>
      <c r="AI69" s="884"/>
      <c r="AJ69" s="884"/>
      <c r="AK69" s="884"/>
      <c r="AL69" s="884"/>
      <c r="AM69" s="885"/>
    </row>
  </sheetData>
  <sheetProtection formatColumns="0" formatRows="0" autoFilter="0"/>
  <mergeCells count="22">
    <mergeCell ref="L60:AM60"/>
    <mergeCell ref="AM61:AM62"/>
    <mergeCell ref="N61:N62"/>
    <mergeCell ref="L61:L62"/>
    <mergeCell ref="M61:M62"/>
    <mergeCell ref="L68:AM68"/>
    <mergeCell ref="L69:AM69"/>
    <mergeCell ref="AM65:AM66"/>
    <mergeCell ref="L64:AM64"/>
    <mergeCell ref="N65:N66"/>
    <mergeCell ref="L65:L66"/>
    <mergeCell ref="M65:M66"/>
    <mergeCell ref="L14:AM14"/>
    <mergeCell ref="N15:N16"/>
    <mergeCell ref="AM15:AM16"/>
    <mergeCell ref="L15:L16"/>
    <mergeCell ref="M15:M16"/>
    <mergeCell ref="L56:AM56"/>
    <mergeCell ref="N57:N58"/>
    <mergeCell ref="AM57:AM58"/>
    <mergeCell ref="L57:L58"/>
    <mergeCell ref="M57:M58"/>
  </mergeCells>
  <dataValidations count="1">
    <dataValidation type="decimal" allowBlank="1" showErrorMessage="1" errorTitle="Ошибка" error="Допускается ввод только неотрицательных чисел!" sqref="O19:AL20 O22:AL24 O26:AL29 O31:AL34 O38:AL40 O42:AL43 O46:AL47 O49:AL50 O52:AL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1"/>
  <sheetViews>
    <sheetView showGridLines="0" view="pageBreakPreview" topLeftCell="A11" zoomScaleNormal="100" zoomScaleSheetLayoutView="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7109375" style="88" hidden="1" customWidth="1"/>
    <col min="11" max="11" width="3.7109375" style="88" hidden="1" customWidth="1"/>
    <col min="12" max="12" width="5.7109375" style="88" customWidth="1"/>
    <col min="13" max="13" width="20.7109375" style="88" customWidth="1"/>
    <col min="14" max="14" width="9.28515625" style="88" customWidth="1"/>
    <col min="15" max="19" width="13.28515625" style="88" customWidth="1"/>
    <col min="20" max="28" width="13.28515625" style="88" hidden="1" customWidth="1"/>
    <col min="29" max="29" width="13.28515625" style="88" customWidth="1"/>
    <col min="30" max="38" width="13.28515625" style="88" hidden="1" customWidth="1"/>
    <col min="39" max="39" width="20.7109375" style="88" customWidth="1"/>
    <col min="40" max="16384" width="9.140625" style="88"/>
  </cols>
  <sheetData>
    <row r="1" spans="1:39" hidden="1">
      <c r="A1" s="851"/>
      <c r="B1" s="851"/>
      <c r="C1" s="851"/>
      <c r="D1" s="851"/>
      <c r="E1" s="851"/>
      <c r="F1" s="851"/>
      <c r="G1" s="851"/>
      <c r="H1" s="851"/>
      <c r="I1" s="851"/>
      <c r="J1" s="851"/>
      <c r="K1" s="851"/>
      <c r="L1" s="851"/>
      <c r="M1" s="851"/>
      <c r="N1" s="851"/>
      <c r="O1" s="851"/>
      <c r="P1" s="851"/>
      <c r="Q1" s="851"/>
      <c r="R1" s="851"/>
      <c r="S1" s="851">
        <v>2024</v>
      </c>
      <c r="T1" s="851">
        <v>2025</v>
      </c>
      <c r="U1" s="851">
        <v>2026</v>
      </c>
      <c r="V1" s="851">
        <v>2027</v>
      </c>
      <c r="W1" s="851">
        <v>2028</v>
      </c>
      <c r="X1" s="851">
        <v>2029</v>
      </c>
      <c r="Y1" s="851">
        <v>2030</v>
      </c>
      <c r="Z1" s="851">
        <v>2031</v>
      </c>
      <c r="AA1" s="851">
        <v>2032</v>
      </c>
      <c r="AB1" s="851">
        <v>2033</v>
      </c>
      <c r="AC1" s="851">
        <v>2024</v>
      </c>
      <c r="AD1" s="851">
        <v>2025</v>
      </c>
      <c r="AE1" s="851">
        <v>2026</v>
      </c>
      <c r="AF1" s="851">
        <v>2027</v>
      </c>
      <c r="AG1" s="851">
        <v>2028</v>
      </c>
      <c r="AH1" s="851">
        <v>2029</v>
      </c>
      <c r="AI1" s="851">
        <v>2030</v>
      </c>
      <c r="AJ1" s="851">
        <v>2031</v>
      </c>
      <c r="AK1" s="851">
        <v>2032</v>
      </c>
      <c r="AL1" s="851">
        <v>2033</v>
      </c>
      <c r="AM1" s="851"/>
    </row>
    <row r="2" spans="1:39" hidden="1">
      <c r="A2" s="851"/>
      <c r="B2" s="851"/>
      <c r="C2" s="851"/>
      <c r="D2" s="851"/>
      <c r="E2" s="851"/>
      <c r="F2" s="851"/>
      <c r="G2" s="851"/>
      <c r="H2" s="851"/>
      <c r="I2" s="851"/>
      <c r="J2" s="851"/>
      <c r="K2" s="851"/>
      <c r="L2" s="851"/>
      <c r="M2" s="851"/>
      <c r="N2" s="851"/>
      <c r="O2" s="851"/>
      <c r="P2" s="851"/>
      <c r="Q2" s="851"/>
      <c r="R2" s="851"/>
      <c r="S2" s="851"/>
      <c r="T2" s="851"/>
      <c r="U2" s="851"/>
      <c r="V2" s="851"/>
      <c r="W2" s="851"/>
      <c r="X2" s="851"/>
      <c r="Y2" s="851"/>
      <c r="Z2" s="851"/>
      <c r="AA2" s="851"/>
      <c r="AB2" s="851"/>
      <c r="AC2" s="851"/>
      <c r="AD2" s="851"/>
      <c r="AE2" s="851"/>
      <c r="AF2" s="851"/>
      <c r="AG2" s="851"/>
      <c r="AH2" s="851"/>
      <c r="AI2" s="851"/>
      <c r="AJ2" s="851"/>
      <c r="AK2" s="851"/>
      <c r="AL2" s="851"/>
      <c r="AM2" s="851"/>
    </row>
    <row r="3" spans="1:39" hidden="1">
      <c r="A3" s="851"/>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851"/>
      <c r="AJ3" s="851"/>
      <c r="AK3" s="851"/>
      <c r="AL3" s="851"/>
      <c r="AM3" s="851"/>
    </row>
    <row r="4" spans="1:39" hidden="1">
      <c r="A4" s="851"/>
      <c r="B4" s="851"/>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row>
    <row r="5" spans="1:39" hidden="1">
      <c r="A5" s="851"/>
      <c r="B5" s="851"/>
      <c r="C5" s="851"/>
      <c r="D5" s="851"/>
      <c r="E5" s="851"/>
      <c r="F5" s="851"/>
      <c r="G5" s="851"/>
      <c r="H5" s="851"/>
      <c r="I5" s="851"/>
      <c r="J5" s="851"/>
      <c r="K5" s="851"/>
      <c r="L5" s="851"/>
      <c r="M5" s="851"/>
      <c r="N5" s="851"/>
      <c r="O5" s="851"/>
      <c r="P5" s="851"/>
      <c r="Q5" s="851"/>
      <c r="R5" s="851"/>
      <c r="S5" s="851"/>
      <c r="T5" s="851"/>
      <c r="U5" s="851"/>
      <c r="V5" s="851"/>
      <c r="W5" s="851"/>
      <c r="X5" s="851"/>
      <c r="Y5" s="851"/>
      <c r="Z5" s="851"/>
      <c r="AA5" s="851"/>
      <c r="AB5" s="851"/>
      <c r="AC5" s="851"/>
      <c r="AD5" s="851"/>
      <c r="AE5" s="851"/>
      <c r="AF5" s="851"/>
      <c r="AG5" s="851"/>
      <c r="AH5" s="851"/>
      <c r="AI5" s="851"/>
      <c r="AJ5" s="851"/>
      <c r="AK5" s="851"/>
      <c r="AL5" s="851"/>
      <c r="AM5" s="851"/>
    </row>
    <row r="6" spans="1:39" hidden="1">
      <c r="A6" s="851"/>
      <c r="B6" s="851"/>
      <c r="C6" s="851"/>
      <c r="D6" s="851"/>
      <c r="E6" s="851"/>
      <c r="F6" s="851"/>
      <c r="G6" s="851"/>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row>
    <row r="7" spans="1:39" hidden="1">
      <c r="A7" s="851"/>
      <c r="B7" s="851"/>
      <c r="C7" s="851"/>
      <c r="D7" s="851"/>
      <c r="E7" s="851"/>
      <c r="F7" s="851"/>
      <c r="G7" s="851"/>
      <c r="H7" s="851"/>
      <c r="I7" s="851"/>
      <c r="J7" s="851"/>
      <c r="K7" s="851"/>
      <c r="L7" s="851"/>
      <c r="M7" s="851"/>
      <c r="N7" s="851"/>
      <c r="O7" s="851"/>
      <c r="P7" s="851"/>
      <c r="Q7" s="851"/>
      <c r="R7" s="851"/>
      <c r="S7" s="800" t="b">
        <v>1</v>
      </c>
      <c r="T7" s="800" t="b">
        <v>0</v>
      </c>
      <c r="U7" s="800" t="b">
        <v>0</v>
      </c>
      <c r="V7" s="800" t="b">
        <v>0</v>
      </c>
      <c r="W7" s="800" t="b">
        <v>0</v>
      </c>
      <c r="X7" s="800" t="b">
        <v>0</v>
      </c>
      <c r="Y7" s="800" t="b">
        <v>0</v>
      </c>
      <c r="Z7" s="800" t="b">
        <v>0</v>
      </c>
      <c r="AA7" s="800" t="b">
        <v>0</v>
      </c>
      <c r="AB7" s="800" t="b">
        <v>0</v>
      </c>
      <c r="AC7" s="800" t="b">
        <v>1</v>
      </c>
      <c r="AD7" s="800" t="b">
        <v>0</v>
      </c>
      <c r="AE7" s="800" t="b">
        <v>0</v>
      </c>
      <c r="AF7" s="800" t="b">
        <v>0</v>
      </c>
      <c r="AG7" s="800" t="b">
        <v>0</v>
      </c>
      <c r="AH7" s="800" t="b">
        <v>0</v>
      </c>
      <c r="AI7" s="800" t="b">
        <v>0</v>
      </c>
      <c r="AJ7" s="800" t="b">
        <v>0</v>
      </c>
      <c r="AK7" s="800" t="b">
        <v>0</v>
      </c>
      <c r="AL7" s="800" t="b">
        <v>0</v>
      </c>
      <c r="AM7" s="851"/>
    </row>
    <row r="8" spans="1:39" hidden="1">
      <c r="A8" s="851"/>
      <c r="B8" s="851"/>
      <c r="C8" s="851"/>
      <c r="D8" s="851"/>
      <c r="E8" s="851"/>
      <c r="F8" s="851"/>
      <c r="G8" s="851"/>
      <c r="H8" s="851"/>
      <c r="I8" s="851"/>
      <c r="J8" s="851"/>
      <c r="K8" s="851"/>
      <c r="L8" s="851"/>
      <c r="M8" s="851"/>
      <c r="N8" s="851"/>
      <c r="O8" s="851"/>
      <c r="P8" s="851"/>
      <c r="Q8" s="851"/>
      <c r="R8" s="851"/>
      <c r="S8" s="851"/>
      <c r="T8" s="851"/>
      <c r="U8" s="851"/>
      <c r="V8" s="851"/>
      <c r="W8" s="851"/>
      <c r="X8" s="851"/>
      <c r="Y8" s="851"/>
      <c r="Z8" s="851"/>
      <c r="AA8" s="851"/>
      <c r="AB8" s="851"/>
      <c r="AC8" s="851"/>
      <c r="AD8" s="851"/>
      <c r="AE8" s="851"/>
      <c r="AF8" s="851"/>
      <c r="AG8" s="851"/>
      <c r="AH8" s="851"/>
      <c r="AI8" s="851"/>
      <c r="AJ8" s="851"/>
      <c r="AK8" s="851"/>
      <c r="AL8" s="851"/>
      <c r="AM8" s="851"/>
    </row>
    <row r="9" spans="1:39" hidden="1">
      <c r="A9" s="851"/>
      <c r="B9" s="851"/>
      <c r="C9" s="851"/>
      <c r="D9" s="851"/>
      <c r="E9" s="851"/>
      <c r="F9" s="851"/>
      <c r="G9" s="851"/>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row>
    <row r="10" spans="1:39" hidden="1">
      <c r="A10" s="851"/>
      <c r="B10" s="851"/>
      <c r="C10" s="851"/>
      <c r="D10" s="851"/>
      <c r="E10" s="851"/>
      <c r="F10" s="851"/>
      <c r="G10" s="851"/>
      <c r="H10" s="851"/>
      <c r="I10" s="851"/>
      <c r="J10" s="851"/>
      <c r="K10" s="851"/>
      <c r="L10" s="851"/>
      <c r="M10" s="851"/>
      <c r="N10" s="851"/>
      <c r="O10" s="851"/>
      <c r="P10" s="851"/>
      <c r="Q10" s="851"/>
      <c r="R10" s="851"/>
      <c r="S10" s="851"/>
      <c r="T10" s="851"/>
      <c r="U10" s="851"/>
      <c r="V10" s="851"/>
      <c r="W10" s="851"/>
      <c r="X10" s="851"/>
      <c r="Y10" s="851"/>
      <c r="Z10" s="851"/>
      <c r="AA10" s="851"/>
      <c r="AB10" s="851"/>
      <c r="AC10" s="851"/>
      <c r="AD10" s="851"/>
      <c r="AE10" s="851"/>
      <c r="AF10" s="851"/>
      <c r="AG10" s="851"/>
      <c r="AH10" s="851"/>
      <c r="AI10" s="851"/>
      <c r="AJ10" s="851"/>
      <c r="AK10" s="851"/>
      <c r="AL10" s="851"/>
      <c r="AM10" s="851"/>
    </row>
    <row r="11" spans="1:39" ht="15" hidden="1" customHeight="1">
      <c r="A11" s="851"/>
      <c r="B11" s="851"/>
      <c r="C11" s="851"/>
      <c r="D11" s="851"/>
      <c r="E11" s="851"/>
      <c r="F11" s="851"/>
      <c r="G11" s="851"/>
      <c r="H11" s="851"/>
      <c r="I11" s="851"/>
      <c r="J11" s="851"/>
      <c r="K11" s="851"/>
      <c r="L11" s="851"/>
      <c r="M11" s="806"/>
      <c r="N11" s="851"/>
      <c r="O11" s="851"/>
      <c r="P11" s="851"/>
      <c r="Q11" s="851"/>
      <c r="R11" s="851"/>
      <c r="S11" s="851"/>
      <c r="T11" s="851"/>
      <c r="U11" s="851"/>
      <c r="V11" s="851"/>
      <c r="W11" s="851"/>
      <c r="X11" s="851"/>
      <c r="Y11" s="851"/>
      <c r="Z11" s="851"/>
      <c r="AA11" s="851"/>
      <c r="AB11" s="851"/>
      <c r="AC11" s="851"/>
      <c r="AD11" s="851"/>
      <c r="AE11" s="851"/>
      <c r="AF11" s="851"/>
      <c r="AG11" s="851"/>
      <c r="AH11" s="851"/>
      <c r="AI11" s="851"/>
      <c r="AJ11" s="851"/>
      <c r="AK11" s="851"/>
      <c r="AL11" s="851"/>
      <c r="AM11" s="851"/>
    </row>
    <row r="12" spans="1:39" s="89" customFormat="1" ht="15" customHeight="1">
      <c r="A12" s="852"/>
      <c r="B12" s="852"/>
      <c r="C12" s="852"/>
      <c r="D12" s="852"/>
      <c r="E12" s="852"/>
      <c r="F12" s="852"/>
      <c r="G12" s="852"/>
      <c r="H12" s="852"/>
      <c r="I12" s="852"/>
      <c r="J12" s="852"/>
      <c r="K12" s="852"/>
      <c r="L12" s="482" t="s">
        <v>1279</v>
      </c>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821"/>
      <c r="B14" s="821"/>
      <c r="C14" s="821"/>
      <c r="D14" s="821"/>
      <c r="E14" s="821"/>
      <c r="F14" s="821"/>
      <c r="G14" s="821"/>
      <c r="H14" s="821"/>
      <c r="I14" s="821"/>
      <c r="J14" s="821"/>
      <c r="K14" s="821"/>
      <c r="L14" s="886" t="s">
        <v>16</v>
      </c>
      <c r="M14" s="886" t="s">
        <v>121</v>
      </c>
      <c r="N14" s="886" t="s">
        <v>143</v>
      </c>
      <c r="O14" s="856" t="s">
        <v>2567</v>
      </c>
      <c r="P14" s="856" t="s">
        <v>2567</v>
      </c>
      <c r="Q14" s="856" t="s">
        <v>2567</v>
      </c>
      <c r="R14" s="857" t="s">
        <v>2568</v>
      </c>
      <c r="S14" s="817" t="s">
        <v>2569</v>
      </c>
      <c r="T14" s="817" t="s">
        <v>2598</v>
      </c>
      <c r="U14" s="817" t="s">
        <v>2599</v>
      </c>
      <c r="V14" s="817" t="s">
        <v>2600</v>
      </c>
      <c r="W14" s="817" t="s">
        <v>2601</v>
      </c>
      <c r="X14" s="817" t="s">
        <v>2602</v>
      </c>
      <c r="Y14" s="817" t="s">
        <v>2603</v>
      </c>
      <c r="Z14" s="817" t="s">
        <v>2604</v>
      </c>
      <c r="AA14" s="817" t="s">
        <v>2605</v>
      </c>
      <c r="AB14" s="817" t="s">
        <v>2606</v>
      </c>
      <c r="AC14" s="817" t="s">
        <v>2569</v>
      </c>
      <c r="AD14" s="817" t="s">
        <v>2598</v>
      </c>
      <c r="AE14" s="817" t="s">
        <v>2599</v>
      </c>
      <c r="AF14" s="817" t="s">
        <v>2600</v>
      </c>
      <c r="AG14" s="817" t="s">
        <v>2601</v>
      </c>
      <c r="AH14" s="817" t="s">
        <v>2602</v>
      </c>
      <c r="AI14" s="817" t="s">
        <v>2603</v>
      </c>
      <c r="AJ14" s="817" t="s">
        <v>2604</v>
      </c>
      <c r="AK14" s="817" t="s">
        <v>2605</v>
      </c>
      <c r="AL14" s="817" t="s">
        <v>2606</v>
      </c>
      <c r="AM14" s="858" t="s">
        <v>323</v>
      </c>
    </row>
    <row r="15" spans="1:39" s="90" customFormat="1" ht="50.1" customHeight="1">
      <c r="A15" s="821" t="s">
        <v>1155</v>
      </c>
      <c r="B15" s="821"/>
      <c r="C15" s="821"/>
      <c r="D15" s="821"/>
      <c r="E15" s="821"/>
      <c r="F15" s="821"/>
      <c r="G15" s="821"/>
      <c r="H15" s="821"/>
      <c r="I15" s="821"/>
      <c r="J15" s="821"/>
      <c r="K15" s="821"/>
      <c r="L15" s="886"/>
      <c r="M15" s="886"/>
      <c r="N15" s="886"/>
      <c r="O15" s="817" t="s">
        <v>286</v>
      </c>
      <c r="P15" s="817" t="s">
        <v>324</v>
      </c>
      <c r="Q15" s="817" t="s">
        <v>304</v>
      </c>
      <c r="R15" s="817" t="s">
        <v>286</v>
      </c>
      <c r="S15" s="860" t="s">
        <v>287</v>
      </c>
      <c r="T15" s="860" t="s">
        <v>287</v>
      </c>
      <c r="U15" s="860" t="s">
        <v>287</v>
      </c>
      <c r="V15" s="860" t="s">
        <v>287</v>
      </c>
      <c r="W15" s="860" t="s">
        <v>287</v>
      </c>
      <c r="X15" s="860" t="s">
        <v>287</v>
      </c>
      <c r="Y15" s="860" t="s">
        <v>287</v>
      </c>
      <c r="Z15" s="860" t="s">
        <v>287</v>
      </c>
      <c r="AA15" s="860" t="s">
        <v>287</v>
      </c>
      <c r="AB15" s="860" t="s">
        <v>287</v>
      </c>
      <c r="AC15" s="860" t="s">
        <v>286</v>
      </c>
      <c r="AD15" s="860" t="s">
        <v>286</v>
      </c>
      <c r="AE15" s="860" t="s">
        <v>286</v>
      </c>
      <c r="AF15" s="860" t="s">
        <v>286</v>
      </c>
      <c r="AG15" s="860" t="s">
        <v>286</v>
      </c>
      <c r="AH15" s="860" t="s">
        <v>286</v>
      </c>
      <c r="AI15" s="860" t="s">
        <v>286</v>
      </c>
      <c r="AJ15" s="860" t="s">
        <v>286</v>
      </c>
      <c r="AK15" s="860" t="s">
        <v>286</v>
      </c>
      <c r="AL15" s="860" t="s">
        <v>286</v>
      </c>
      <c r="AM15" s="858"/>
    </row>
    <row r="16" spans="1:39" s="90" customFormat="1">
      <c r="A16" s="861" t="s">
        <v>18</v>
      </c>
      <c r="B16" s="821"/>
      <c r="C16" s="821"/>
      <c r="D16" s="821"/>
      <c r="E16" s="821"/>
      <c r="F16" s="821"/>
      <c r="G16" s="821"/>
      <c r="H16" s="821"/>
      <c r="I16" s="821"/>
      <c r="J16" s="821"/>
      <c r="K16" s="821"/>
      <c r="L16" s="773" t="s">
        <v>2545</v>
      </c>
      <c r="M16" s="755"/>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756"/>
      <c r="AK16" s="756"/>
      <c r="AL16" s="756"/>
      <c r="AM16" s="756"/>
    </row>
    <row r="17" spans="1:39" s="92" customFormat="1">
      <c r="A17" s="887" t="s">
        <v>18</v>
      </c>
      <c r="B17" s="888"/>
      <c r="C17" s="888"/>
      <c r="D17" s="888"/>
      <c r="E17" s="888"/>
      <c r="F17" s="888"/>
      <c r="G17" s="888"/>
      <c r="H17" s="888"/>
      <c r="I17" s="888"/>
      <c r="J17" s="888"/>
      <c r="K17" s="888"/>
      <c r="L17" s="889"/>
      <c r="M17" s="190" t="s">
        <v>1055</v>
      </c>
      <c r="N17" s="173" t="s">
        <v>370</v>
      </c>
      <c r="O17" s="890">
        <v>0</v>
      </c>
      <c r="P17" s="890">
        <v>0</v>
      </c>
      <c r="Q17" s="890">
        <v>0</v>
      </c>
      <c r="R17" s="890">
        <v>0</v>
      </c>
      <c r="S17" s="890">
        <v>0</v>
      </c>
      <c r="T17" s="890">
        <v>0</v>
      </c>
      <c r="U17" s="890">
        <v>0</v>
      </c>
      <c r="V17" s="890">
        <v>0</v>
      </c>
      <c r="W17" s="890">
        <v>0</v>
      </c>
      <c r="X17" s="890">
        <v>0</v>
      </c>
      <c r="Y17" s="890">
        <v>0</v>
      </c>
      <c r="Z17" s="890">
        <v>0</v>
      </c>
      <c r="AA17" s="890">
        <v>0</v>
      </c>
      <c r="AB17" s="890">
        <v>0</v>
      </c>
      <c r="AC17" s="890">
        <v>0</v>
      </c>
      <c r="AD17" s="890">
        <v>0</v>
      </c>
      <c r="AE17" s="890">
        <v>0</v>
      </c>
      <c r="AF17" s="890">
        <v>0</v>
      </c>
      <c r="AG17" s="890">
        <v>0</v>
      </c>
      <c r="AH17" s="890">
        <v>0</v>
      </c>
      <c r="AI17" s="890">
        <v>0</v>
      </c>
      <c r="AJ17" s="890">
        <v>0</v>
      </c>
      <c r="AK17" s="890">
        <v>0</v>
      </c>
      <c r="AL17" s="890">
        <v>0</v>
      </c>
      <c r="AM17" s="868"/>
    </row>
    <row r="18" spans="1:39" s="92" customFormat="1" ht="0.2" customHeight="1">
      <c r="A18" s="887" t="s">
        <v>18</v>
      </c>
      <c r="B18" s="888"/>
      <c r="C18" s="888"/>
      <c r="D18" s="888"/>
      <c r="E18" s="888"/>
      <c r="F18" s="888"/>
      <c r="G18" s="888"/>
      <c r="H18" s="888"/>
      <c r="I18" s="888"/>
      <c r="J18" s="888"/>
      <c r="K18" s="888"/>
      <c r="L18" s="889" t="s">
        <v>1054</v>
      </c>
      <c r="M18" s="190"/>
      <c r="N18" s="173"/>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3"/>
    </row>
    <row r="19" spans="1:39">
      <c r="A19" s="851"/>
      <c r="B19" s="851"/>
      <c r="C19" s="851"/>
      <c r="D19" s="851"/>
      <c r="E19" s="851"/>
      <c r="F19" s="851"/>
      <c r="G19" s="851"/>
      <c r="H19" s="851"/>
      <c r="I19" s="851"/>
      <c r="J19" s="851"/>
      <c r="K19" s="851"/>
      <c r="L19" s="851"/>
      <c r="M19" s="851"/>
      <c r="N19" s="851"/>
      <c r="O19" s="851"/>
      <c r="P19" s="851"/>
      <c r="Q19" s="851"/>
      <c r="R19" s="851"/>
      <c r="S19" s="851"/>
      <c r="T19" s="851"/>
      <c r="U19" s="851"/>
      <c r="V19" s="851"/>
      <c r="W19" s="851"/>
      <c r="X19" s="851"/>
      <c r="Y19" s="851"/>
      <c r="Z19" s="851"/>
      <c r="AA19" s="851"/>
      <c r="AB19" s="851"/>
      <c r="AC19" s="851"/>
      <c r="AD19" s="851"/>
      <c r="AE19" s="851"/>
      <c r="AF19" s="851"/>
      <c r="AG19" s="851"/>
      <c r="AH19" s="851"/>
      <c r="AI19" s="851"/>
      <c r="AJ19" s="851"/>
      <c r="AK19" s="851"/>
      <c r="AL19" s="851"/>
      <c r="AM19" s="851"/>
    </row>
    <row r="20" spans="1:39" ht="15" customHeight="1">
      <c r="A20" s="851"/>
      <c r="B20" s="851"/>
      <c r="C20" s="851"/>
      <c r="D20" s="851"/>
      <c r="E20" s="851"/>
      <c r="F20" s="851"/>
      <c r="G20" s="851"/>
      <c r="H20" s="851"/>
      <c r="I20" s="851"/>
      <c r="J20" s="851"/>
      <c r="K20" s="851"/>
      <c r="L20" s="891" t="s">
        <v>1402</v>
      </c>
      <c r="M20" s="891"/>
      <c r="N20" s="891"/>
      <c r="O20" s="891"/>
      <c r="P20" s="891"/>
      <c r="Q20" s="891"/>
      <c r="R20" s="891"/>
      <c r="S20" s="892"/>
      <c r="T20" s="892"/>
      <c r="U20" s="892"/>
      <c r="V20" s="892"/>
      <c r="W20" s="892"/>
      <c r="X20" s="892"/>
      <c r="Y20" s="892"/>
      <c r="Z20" s="892"/>
      <c r="AA20" s="892"/>
      <c r="AB20" s="892"/>
      <c r="AC20" s="892"/>
      <c r="AD20" s="892"/>
      <c r="AE20" s="892"/>
      <c r="AF20" s="892"/>
      <c r="AG20" s="892"/>
      <c r="AH20" s="892"/>
      <c r="AI20" s="892"/>
      <c r="AJ20" s="892"/>
      <c r="AK20" s="892"/>
      <c r="AL20" s="892"/>
      <c r="AM20" s="892"/>
    </row>
    <row r="21" spans="1:39" ht="15" customHeight="1">
      <c r="A21" s="851"/>
      <c r="B21" s="851"/>
      <c r="C21" s="851"/>
      <c r="D21" s="851"/>
      <c r="E21" s="851"/>
      <c r="F21" s="851"/>
      <c r="G21" s="851"/>
      <c r="H21" s="851"/>
      <c r="I21" s="851"/>
      <c r="J21" s="851"/>
      <c r="K21" s="724"/>
      <c r="L21" s="893"/>
      <c r="M21" s="893"/>
      <c r="N21" s="893"/>
      <c r="O21" s="893"/>
      <c r="P21" s="893"/>
      <c r="Q21" s="893"/>
      <c r="R21" s="893"/>
      <c r="S21" s="894"/>
      <c r="T21" s="894"/>
      <c r="U21" s="894"/>
      <c r="V21" s="894"/>
      <c r="W21" s="894"/>
      <c r="X21" s="894"/>
      <c r="Y21" s="894"/>
      <c r="Z21" s="894"/>
      <c r="AA21" s="894"/>
      <c r="AB21" s="894"/>
      <c r="AC21" s="894"/>
      <c r="AD21" s="894"/>
      <c r="AE21" s="894"/>
      <c r="AF21" s="894"/>
      <c r="AG21" s="894"/>
      <c r="AH21" s="894"/>
      <c r="AI21" s="894"/>
      <c r="AJ21" s="894"/>
      <c r="AK21" s="894"/>
      <c r="AL21" s="894"/>
      <c r="AM21" s="894"/>
    </row>
  </sheetData>
  <sheetProtection formatColumns="0" formatRows="0" autoFilter="0"/>
  <mergeCells count="6">
    <mergeCell ref="L20:AM20"/>
    <mergeCell ref="L21:AM21"/>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30"/>
  <sheetViews>
    <sheetView showGridLines="0" view="pageBreakPreview" zoomScale="80" zoomScaleNormal="100" zoomScaleSheetLayoutView="80" workbookViewId="0">
      <pane xSplit="14" ySplit="15" topLeftCell="P16" activePane="bottomRight" state="frozen"/>
      <selection activeCell="M11" sqref="M11"/>
      <selection pane="topRight" activeCell="M11" sqref="M11"/>
      <selection pane="bottomLeft" activeCell="M11" sqref="M11"/>
      <selection pane="bottomRight" activeCell="AP32" sqref="AP32"/>
    </sheetView>
  </sheetViews>
  <sheetFormatPr defaultColWidth="9.140625" defaultRowHeight="11.25"/>
  <cols>
    <col min="1" max="10" width="2.7109375" style="88" hidden="1" customWidth="1"/>
    <col min="11" max="11" width="3.7109375" style="88" hidden="1" customWidth="1"/>
    <col min="12" max="12" width="7" style="88" customWidth="1"/>
    <col min="13" max="13" width="35.7109375" style="88" customWidth="1"/>
    <col min="14" max="19" width="13.28515625" style="88" customWidth="1"/>
    <col min="20" max="28" width="13.28515625" style="88" hidden="1" customWidth="1"/>
    <col min="29" max="29" width="13.28515625" style="88" customWidth="1"/>
    <col min="30" max="38" width="13.28515625" style="88" hidden="1" customWidth="1"/>
    <col min="39" max="39" width="20.7109375" style="88" customWidth="1"/>
    <col min="40" max="40" width="13.140625" style="88" customWidth="1"/>
    <col min="41" max="16384" width="9.140625" style="88"/>
  </cols>
  <sheetData>
    <row r="1" spans="1:39" hidden="1">
      <c r="A1" s="851"/>
      <c r="B1" s="851"/>
      <c r="C1" s="851"/>
      <c r="D1" s="851"/>
      <c r="E1" s="851"/>
      <c r="F1" s="851"/>
      <c r="G1" s="851"/>
      <c r="H1" s="851"/>
      <c r="I1" s="851"/>
      <c r="J1" s="851"/>
      <c r="K1" s="851"/>
      <c r="L1" s="851"/>
      <c r="M1" s="851"/>
      <c r="N1" s="851"/>
      <c r="O1" s="851">
        <v>2022</v>
      </c>
      <c r="P1" s="851">
        <v>2022</v>
      </c>
      <c r="Q1" s="851">
        <v>2022</v>
      </c>
      <c r="R1" s="851">
        <v>2023</v>
      </c>
      <c r="S1" s="851">
        <v>2024</v>
      </c>
      <c r="T1" s="851">
        <v>2025</v>
      </c>
      <c r="U1" s="851">
        <v>2026</v>
      </c>
      <c r="V1" s="851">
        <v>2027</v>
      </c>
      <c r="W1" s="851">
        <v>2028</v>
      </c>
      <c r="X1" s="851">
        <v>2029</v>
      </c>
      <c r="Y1" s="851">
        <v>2030</v>
      </c>
      <c r="Z1" s="851">
        <v>2031</v>
      </c>
      <c r="AA1" s="851">
        <v>2032</v>
      </c>
      <c r="AB1" s="851">
        <v>2033</v>
      </c>
      <c r="AC1" s="851">
        <v>2024</v>
      </c>
      <c r="AD1" s="851">
        <v>2025</v>
      </c>
      <c r="AE1" s="851">
        <v>2026</v>
      </c>
      <c r="AF1" s="851">
        <v>2027</v>
      </c>
      <c r="AG1" s="851">
        <v>2028</v>
      </c>
      <c r="AH1" s="851">
        <v>2029</v>
      </c>
      <c r="AI1" s="851">
        <v>2030</v>
      </c>
      <c r="AJ1" s="851">
        <v>2031</v>
      </c>
      <c r="AK1" s="851">
        <v>2032</v>
      </c>
      <c r="AL1" s="851">
        <v>2033</v>
      </c>
      <c r="AM1" s="851"/>
    </row>
    <row r="2" spans="1:39" hidden="1">
      <c r="A2" s="851"/>
      <c r="B2" s="851"/>
      <c r="C2" s="851"/>
      <c r="D2" s="851"/>
      <c r="E2" s="851"/>
      <c r="F2" s="851"/>
      <c r="G2" s="851"/>
      <c r="H2" s="851"/>
      <c r="I2" s="851"/>
      <c r="J2" s="851"/>
      <c r="K2" s="851"/>
      <c r="L2" s="851"/>
      <c r="M2" s="851"/>
      <c r="N2" s="851"/>
      <c r="O2" s="851" t="s">
        <v>286</v>
      </c>
      <c r="P2" s="851" t="s">
        <v>324</v>
      </c>
      <c r="Q2" s="851" t="s">
        <v>304</v>
      </c>
      <c r="R2" s="851" t="s">
        <v>286</v>
      </c>
      <c r="S2" s="851" t="s">
        <v>287</v>
      </c>
      <c r="T2" s="851" t="s">
        <v>287</v>
      </c>
      <c r="U2" s="851" t="s">
        <v>287</v>
      </c>
      <c r="V2" s="851" t="s">
        <v>287</v>
      </c>
      <c r="W2" s="851" t="s">
        <v>287</v>
      </c>
      <c r="X2" s="851" t="s">
        <v>287</v>
      </c>
      <c r="Y2" s="851" t="s">
        <v>287</v>
      </c>
      <c r="Z2" s="851" t="s">
        <v>287</v>
      </c>
      <c r="AA2" s="851" t="s">
        <v>287</v>
      </c>
      <c r="AB2" s="851" t="s">
        <v>287</v>
      </c>
      <c r="AC2" s="851" t="s">
        <v>286</v>
      </c>
      <c r="AD2" s="851" t="s">
        <v>286</v>
      </c>
      <c r="AE2" s="851" t="s">
        <v>286</v>
      </c>
      <c r="AF2" s="851" t="s">
        <v>286</v>
      </c>
      <c r="AG2" s="851" t="s">
        <v>286</v>
      </c>
      <c r="AH2" s="851" t="s">
        <v>286</v>
      </c>
      <c r="AI2" s="851" t="s">
        <v>286</v>
      </c>
      <c r="AJ2" s="851" t="s">
        <v>286</v>
      </c>
      <c r="AK2" s="851" t="s">
        <v>286</v>
      </c>
      <c r="AL2" s="851" t="s">
        <v>286</v>
      </c>
      <c r="AM2" s="851"/>
    </row>
    <row r="3" spans="1:39" hidden="1">
      <c r="A3" s="851"/>
      <c r="B3" s="851"/>
      <c r="C3" s="851"/>
      <c r="D3" s="851"/>
      <c r="E3" s="851"/>
      <c r="F3" s="851"/>
      <c r="G3" s="851"/>
      <c r="H3" s="851"/>
      <c r="I3" s="851"/>
      <c r="J3" s="851"/>
      <c r="K3" s="851"/>
      <c r="L3" s="851"/>
      <c r="M3" s="851"/>
      <c r="N3" s="851"/>
      <c r="O3" s="851" t="s">
        <v>2570</v>
      </c>
      <c r="P3" s="851" t="s">
        <v>2571</v>
      </c>
      <c r="Q3" s="851" t="s">
        <v>2572</v>
      </c>
      <c r="R3" s="851" t="s">
        <v>2574</v>
      </c>
      <c r="S3" s="851" t="s">
        <v>2575</v>
      </c>
      <c r="T3" s="851" t="s">
        <v>2580</v>
      </c>
      <c r="U3" s="851" t="s">
        <v>2582</v>
      </c>
      <c r="V3" s="851" t="s">
        <v>2584</v>
      </c>
      <c r="W3" s="851" t="s">
        <v>2586</v>
      </c>
      <c r="X3" s="851" t="s">
        <v>2588</v>
      </c>
      <c r="Y3" s="851" t="s">
        <v>2590</v>
      </c>
      <c r="Z3" s="851" t="s">
        <v>2592</v>
      </c>
      <c r="AA3" s="851" t="s">
        <v>2594</v>
      </c>
      <c r="AB3" s="851" t="s">
        <v>2596</v>
      </c>
      <c r="AC3" s="851" t="s">
        <v>2576</v>
      </c>
      <c r="AD3" s="851" t="s">
        <v>2581</v>
      </c>
      <c r="AE3" s="851" t="s">
        <v>2583</v>
      </c>
      <c r="AF3" s="851" t="s">
        <v>2585</v>
      </c>
      <c r="AG3" s="851" t="s">
        <v>2587</v>
      </c>
      <c r="AH3" s="851" t="s">
        <v>2589</v>
      </c>
      <c r="AI3" s="851" t="s">
        <v>2591</v>
      </c>
      <c r="AJ3" s="851" t="s">
        <v>2593</v>
      </c>
      <c r="AK3" s="851" t="s">
        <v>2595</v>
      </c>
      <c r="AL3" s="851" t="s">
        <v>2597</v>
      </c>
      <c r="AM3" s="851"/>
    </row>
    <row r="4" spans="1:39" hidden="1">
      <c r="A4" s="851"/>
      <c r="B4" s="851"/>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row>
    <row r="5" spans="1:39" hidden="1">
      <c r="A5" s="851"/>
      <c r="B5" s="851"/>
      <c r="C5" s="851"/>
      <c r="D5" s="851"/>
      <c r="E5" s="851"/>
      <c r="F5" s="851"/>
      <c r="G5" s="851"/>
      <c r="H5" s="851"/>
      <c r="I5" s="851"/>
      <c r="J5" s="851"/>
      <c r="K5" s="851"/>
      <c r="L5" s="851"/>
      <c r="M5" s="851"/>
      <c r="N5" s="851"/>
      <c r="O5" s="851"/>
      <c r="P5" s="851"/>
      <c r="Q5" s="851"/>
      <c r="R5" s="851"/>
      <c r="S5" s="851"/>
      <c r="T5" s="851"/>
      <c r="U5" s="851"/>
      <c r="V5" s="851"/>
      <c r="W5" s="851"/>
      <c r="X5" s="851"/>
      <c r="Y5" s="851"/>
      <c r="Z5" s="851"/>
      <c r="AA5" s="851"/>
      <c r="AB5" s="851"/>
      <c r="AC5" s="851"/>
      <c r="AD5" s="851"/>
      <c r="AE5" s="851"/>
      <c r="AF5" s="851"/>
      <c r="AG5" s="851"/>
      <c r="AH5" s="851"/>
      <c r="AI5" s="851"/>
      <c r="AJ5" s="851"/>
      <c r="AK5" s="851"/>
      <c r="AL5" s="851"/>
      <c r="AM5" s="851"/>
    </row>
    <row r="6" spans="1:39" hidden="1">
      <c r="A6" s="851"/>
      <c r="B6" s="851"/>
      <c r="C6" s="851"/>
      <c r="D6" s="851"/>
      <c r="E6" s="851"/>
      <c r="F6" s="851"/>
      <c r="G6" s="851"/>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row>
    <row r="7" spans="1:39" hidden="1">
      <c r="A7" s="851"/>
      <c r="B7" s="851"/>
      <c r="C7" s="851"/>
      <c r="D7" s="851"/>
      <c r="E7" s="851"/>
      <c r="F7" s="851"/>
      <c r="G7" s="851"/>
      <c r="H7" s="851"/>
      <c r="I7" s="851"/>
      <c r="J7" s="851"/>
      <c r="K7" s="851"/>
      <c r="L7" s="851"/>
      <c r="M7" s="851"/>
      <c r="N7" s="851"/>
      <c r="O7" s="851"/>
      <c r="P7" s="851"/>
      <c r="Q7" s="851"/>
      <c r="R7" s="851"/>
      <c r="S7" s="800" t="b">
        <v>1</v>
      </c>
      <c r="T7" s="800" t="b">
        <v>0</v>
      </c>
      <c r="U7" s="800" t="b">
        <v>0</v>
      </c>
      <c r="V7" s="800" t="b">
        <v>0</v>
      </c>
      <c r="W7" s="800" t="b">
        <v>0</v>
      </c>
      <c r="X7" s="800" t="b">
        <v>0</v>
      </c>
      <c r="Y7" s="800" t="b">
        <v>0</v>
      </c>
      <c r="Z7" s="800" t="b">
        <v>0</v>
      </c>
      <c r="AA7" s="800" t="b">
        <v>0</v>
      </c>
      <c r="AB7" s="800" t="b">
        <v>0</v>
      </c>
      <c r="AC7" s="800" t="b">
        <v>1</v>
      </c>
      <c r="AD7" s="800" t="b">
        <v>0</v>
      </c>
      <c r="AE7" s="800" t="b">
        <v>0</v>
      </c>
      <c r="AF7" s="800" t="b">
        <v>0</v>
      </c>
      <c r="AG7" s="800" t="b">
        <v>0</v>
      </c>
      <c r="AH7" s="800" t="b">
        <v>0</v>
      </c>
      <c r="AI7" s="800" t="b">
        <v>0</v>
      </c>
      <c r="AJ7" s="800" t="b">
        <v>0</v>
      </c>
      <c r="AK7" s="800" t="b">
        <v>0</v>
      </c>
      <c r="AL7" s="800" t="b">
        <v>0</v>
      </c>
      <c r="AM7" s="851"/>
    </row>
    <row r="8" spans="1:39" hidden="1">
      <c r="A8" s="851"/>
      <c r="B8" s="851"/>
      <c r="C8" s="851"/>
      <c r="D8" s="851"/>
      <c r="E8" s="851"/>
      <c r="F8" s="851"/>
      <c r="G8" s="851"/>
      <c r="H8" s="851"/>
      <c r="I8" s="851"/>
      <c r="J8" s="851"/>
      <c r="K8" s="851"/>
      <c r="L8" s="851"/>
      <c r="M8" s="851"/>
      <c r="N8" s="851"/>
      <c r="O8" s="851"/>
      <c r="P8" s="851"/>
      <c r="Q8" s="851"/>
      <c r="R8" s="851"/>
      <c r="S8" s="851"/>
      <c r="T8" s="851"/>
      <c r="U8" s="851"/>
      <c r="V8" s="851"/>
      <c r="W8" s="851"/>
      <c r="X8" s="851"/>
      <c r="Y8" s="851"/>
      <c r="Z8" s="851"/>
      <c r="AA8" s="851"/>
      <c r="AB8" s="851"/>
      <c r="AC8" s="851"/>
      <c r="AD8" s="851"/>
      <c r="AE8" s="851"/>
      <c r="AF8" s="851"/>
      <c r="AG8" s="851"/>
      <c r="AH8" s="851"/>
      <c r="AI8" s="851"/>
      <c r="AJ8" s="851"/>
      <c r="AK8" s="851"/>
      <c r="AL8" s="851"/>
      <c r="AM8" s="851"/>
    </row>
    <row r="9" spans="1:39" hidden="1">
      <c r="A9" s="851"/>
      <c r="B9" s="851"/>
      <c r="C9" s="851"/>
      <c r="D9" s="851"/>
      <c r="E9" s="851"/>
      <c r="F9" s="851"/>
      <c r="G9" s="851"/>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row>
    <row r="10" spans="1:39" hidden="1">
      <c r="A10" s="851"/>
      <c r="B10" s="851"/>
      <c r="C10" s="851"/>
      <c r="D10" s="851"/>
      <c r="E10" s="851"/>
      <c r="F10" s="851"/>
      <c r="G10" s="851"/>
      <c r="H10" s="851"/>
      <c r="I10" s="851"/>
      <c r="J10" s="851"/>
      <c r="K10" s="851"/>
      <c r="L10" s="851"/>
      <c r="M10" s="851"/>
      <c r="N10" s="851"/>
      <c r="O10" s="851"/>
      <c r="P10" s="851"/>
      <c r="Q10" s="851"/>
      <c r="R10" s="851"/>
      <c r="S10" s="851"/>
      <c r="T10" s="851"/>
      <c r="U10" s="851"/>
      <c r="V10" s="851"/>
      <c r="W10" s="851"/>
      <c r="X10" s="851"/>
      <c r="Y10" s="851"/>
      <c r="Z10" s="851"/>
      <c r="AA10" s="851"/>
      <c r="AB10" s="851"/>
      <c r="AC10" s="851"/>
      <c r="AD10" s="851"/>
      <c r="AE10" s="851"/>
      <c r="AF10" s="851"/>
      <c r="AG10" s="851"/>
      <c r="AH10" s="851"/>
      <c r="AI10" s="851"/>
      <c r="AJ10" s="851"/>
      <c r="AK10" s="851"/>
      <c r="AL10" s="851"/>
      <c r="AM10" s="851"/>
    </row>
    <row r="11" spans="1:39" ht="15" hidden="1" customHeight="1">
      <c r="A11" s="851"/>
      <c r="B11" s="851"/>
      <c r="C11" s="851"/>
      <c r="D11" s="851"/>
      <c r="E11" s="851"/>
      <c r="F11" s="851"/>
      <c r="G11" s="851"/>
      <c r="H11" s="851"/>
      <c r="I11" s="851"/>
      <c r="J11" s="851"/>
      <c r="K11" s="851"/>
      <c r="L11" s="851"/>
      <c r="M11" s="806"/>
      <c r="N11" s="851"/>
      <c r="O11" s="851"/>
      <c r="P11" s="851"/>
      <c r="Q11" s="851"/>
      <c r="R11" s="851"/>
      <c r="S11" s="851"/>
      <c r="T11" s="851"/>
      <c r="U11" s="851"/>
      <c r="V11" s="851"/>
      <c r="W11" s="851"/>
      <c r="X11" s="851"/>
      <c r="Y11" s="851"/>
      <c r="Z11" s="851"/>
      <c r="AA11" s="851"/>
      <c r="AB11" s="851"/>
      <c r="AC11" s="851"/>
      <c r="AD11" s="851"/>
      <c r="AE11" s="851"/>
      <c r="AF11" s="851"/>
      <c r="AG11" s="851"/>
      <c r="AH11" s="851"/>
      <c r="AI11" s="851"/>
      <c r="AJ11" s="851"/>
      <c r="AK11" s="851"/>
      <c r="AL11" s="851"/>
      <c r="AM11" s="851"/>
    </row>
    <row r="12" spans="1:39" s="89" customFormat="1" ht="20.100000000000001" customHeight="1">
      <c r="A12" s="852"/>
      <c r="B12" s="852"/>
      <c r="C12" s="852"/>
      <c r="D12" s="852"/>
      <c r="E12" s="852"/>
      <c r="F12" s="852"/>
      <c r="G12" s="852"/>
      <c r="H12" s="852"/>
      <c r="I12" s="852"/>
      <c r="J12" s="852"/>
      <c r="K12" s="852"/>
      <c r="L12" s="482" t="s">
        <v>1280</v>
      </c>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821"/>
      <c r="B14" s="821"/>
      <c r="C14" s="821"/>
      <c r="D14" s="821"/>
      <c r="E14" s="821"/>
      <c r="F14" s="821"/>
      <c r="G14" s="821"/>
      <c r="H14" s="821"/>
      <c r="I14" s="821"/>
      <c r="J14" s="821"/>
      <c r="K14" s="821"/>
      <c r="L14" s="886" t="s">
        <v>16</v>
      </c>
      <c r="M14" s="886" t="s">
        <v>121</v>
      </c>
      <c r="N14" s="886" t="s">
        <v>143</v>
      </c>
      <c r="O14" s="856" t="s">
        <v>2567</v>
      </c>
      <c r="P14" s="856" t="s">
        <v>2567</v>
      </c>
      <c r="Q14" s="856" t="s">
        <v>2567</v>
      </c>
      <c r="R14" s="857" t="s">
        <v>2568</v>
      </c>
      <c r="S14" s="817" t="s">
        <v>2569</v>
      </c>
      <c r="T14" s="817" t="s">
        <v>2598</v>
      </c>
      <c r="U14" s="817" t="s">
        <v>2599</v>
      </c>
      <c r="V14" s="817" t="s">
        <v>2600</v>
      </c>
      <c r="W14" s="817" t="s">
        <v>2601</v>
      </c>
      <c r="X14" s="817" t="s">
        <v>2602</v>
      </c>
      <c r="Y14" s="817" t="s">
        <v>2603</v>
      </c>
      <c r="Z14" s="817" t="s">
        <v>2604</v>
      </c>
      <c r="AA14" s="817" t="s">
        <v>2605</v>
      </c>
      <c r="AB14" s="817" t="s">
        <v>2606</v>
      </c>
      <c r="AC14" s="817" t="s">
        <v>2569</v>
      </c>
      <c r="AD14" s="817" t="s">
        <v>2598</v>
      </c>
      <c r="AE14" s="817" t="s">
        <v>2599</v>
      </c>
      <c r="AF14" s="817" t="s">
        <v>2600</v>
      </c>
      <c r="AG14" s="817" t="s">
        <v>2601</v>
      </c>
      <c r="AH14" s="817" t="s">
        <v>2602</v>
      </c>
      <c r="AI14" s="817" t="s">
        <v>2603</v>
      </c>
      <c r="AJ14" s="817" t="s">
        <v>2604</v>
      </c>
      <c r="AK14" s="817" t="s">
        <v>2605</v>
      </c>
      <c r="AL14" s="817" t="s">
        <v>2606</v>
      </c>
      <c r="AM14" s="858" t="s">
        <v>323</v>
      </c>
    </row>
    <row r="15" spans="1:39" s="90" customFormat="1" ht="50.1" customHeight="1">
      <c r="A15" s="821"/>
      <c r="B15" s="821"/>
      <c r="C15" s="821"/>
      <c r="D15" s="821"/>
      <c r="E15" s="821"/>
      <c r="F15" s="821"/>
      <c r="G15" s="821"/>
      <c r="H15" s="821"/>
      <c r="I15" s="821"/>
      <c r="J15" s="821"/>
      <c r="K15" s="821"/>
      <c r="L15" s="886"/>
      <c r="M15" s="886"/>
      <c r="N15" s="886"/>
      <c r="O15" s="817" t="s">
        <v>286</v>
      </c>
      <c r="P15" s="817" t="s">
        <v>324</v>
      </c>
      <c r="Q15" s="817" t="s">
        <v>304</v>
      </c>
      <c r="R15" s="817" t="s">
        <v>286</v>
      </c>
      <c r="S15" s="860" t="s">
        <v>287</v>
      </c>
      <c r="T15" s="860" t="s">
        <v>287</v>
      </c>
      <c r="U15" s="860" t="s">
        <v>287</v>
      </c>
      <c r="V15" s="860" t="s">
        <v>287</v>
      </c>
      <c r="W15" s="860" t="s">
        <v>287</v>
      </c>
      <c r="X15" s="860" t="s">
        <v>287</v>
      </c>
      <c r="Y15" s="860" t="s">
        <v>287</v>
      </c>
      <c r="Z15" s="860" t="s">
        <v>287</v>
      </c>
      <c r="AA15" s="860" t="s">
        <v>287</v>
      </c>
      <c r="AB15" s="860" t="s">
        <v>287</v>
      </c>
      <c r="AC15" s="860" t="s">
        <v>286</v>
      </c>
      <c r="AD15" s="860" t="s">
        <v>286</v>
      </c>
      <c r="AE15" s="860" t="s">
        <v>286</v>
      </c>
      <c r="AF15" s="860" t="s">
        <v>286</v>
      </c>
      <c r="AG15" s="860" t="s">
        <v>286</v>
      </c>
      <c r="AH15" s="860" t="s">
        <v>286</v>
      </c>
      <c r="AI15" s="860" t="s">
        <v>286</v>
      </c>
      <c r="AJ15" s="860" t="s">
        <v>286</v>
      </c>
      <c r="AK15" s="860" t="s">
        <v>286</v>
      </c>
      <c r="AL15" s="860" t="s">
        <v>286</v>
      </c>
      <c r="AM15" s="858"/>
    </row>
    <row r="16" spans="1:39" s="90" customFormat="1">
      <c r="A16" s="861" t="s">
        <v>18</v>
      </c>
      <c r="B16" s="821"/>
      <c r="C16" s="821"/>
      <c r="D16" s="821"/>
      <c r="E16" s="821"/>
      <c r="F16" s="821"/>
      <c r="G16" s="821"/>
      <c r="H16" s="821"/>
      <c r="I16" s="821"/>
      <c r="J16" s="821"/>
      <c r="K16" s="821"/>
      <c r="L16" s="773" t="s">
        <v>2545</v>
      </c>
      <c r="M16" s="755"/>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756"/>
      <c r="AK16" s="756"/>
      <c r="AL16" s="756"/>
      <c r="AM16" s="822"/>
    </row>
    <row r="17" spans="1:39" s="92" customFormat="1">
      <c r="A17" s="895">
        <v>1</v>
      </c>
      <c r="B17" s="888"/>
      <c r="C17" s="888"/>
      <c r="D17" s="888"/>
      <c r="E17" s="888"/>
      <c r="F17" s="888"/>
      <c r="G17" s="888"/>
      <c r="H17" s="888"/>
      <c r="I17" s="888"/>
      <c r="J17" s="888"/>
      <c r="K17" s="888"/>
      <c r="L17" s="889" t="s">
        <v>18</v>
      </c>
      <c r="M17" s="190" t="s">
        <v>1055</v>
      </c>
      <c r="N17" s="819" t="s">
        <v>370</v>
      </c>
      <c r="O17" s="192">
        <v>0</v>
      </c>
      <c r="P17" s="192">
        <v>5298.89</v>
      </c>
      <c r="Q17" s="192">
        <v>3699.6</v>
      </c>
      <c r="R17" s="192">
        <v>11554.04</v>
      </c>
      <c r="S17" s="192">
        <v>6287.77</v>
      </c>
      <c r="T17" s="192">
        <v>0</v>
      </c>
      <c r="U17" s="192">
        <v>0</v>
      </c>
      <c r="V17" s="192">
        <v>0</v>
      </c>
      <c r="W17" s="192">
        <v>0</v>
      </c>
      <c r="X17" s="192">
        <v>0</v>
      </c>
      <c r="Y17" s="192">
        <v>0</v>
      </c>
      <c r="Z17" s="192">
        <v>0</v>
      </c>
      <c r="AA17" s="192">
        <v>0</v>
      </c>
      <c r="AB17" s="192">
        <v>0</v>
      </c>
      <c r="AC17" s="192">
        <v>6253.01</v>
      </c>
      <c r="AD17" s="192">
        <v>12016.201600000002</v>
      </c>
      <c r="AE17" s="192">
        <v>12496.849664000003</v>
      </c>
      <c r="AF17" s="192">
        <v>12996.723650560003</v>
      </c>
      <c r="AG17" s="192">
        <v>0</v>
      </c>
      <c r="AH17" s="192">
        <v>0</v>
      </c>
      <c r="AI17" s="192">
        <v>0</v>
      </c>
      <c r="AJ17" s="192">
        <v>0</v>
      </c>
      <c r="AK17" s="192">
        <v>0</v>
      </c>
      <c r="AL17" s="192">
        <v>0</v>
      </c>
      <c r="AM17" s="868"/>
    </row>
    <row r="18" spans="1:39" s="92" customFormat="1" ht="22.5">
      <c r="A18" s="895">
        <v>1</v>
      </c>
      <c r="B18" s="888"/>
      <c r="C18" s="888"/>
      <c r="D18" s="888"/>
      <c r="E18" s="888"/>
      <c r="F18" s="888"/>
      <c r="G18" s="888"/>
      <c r="H18" s="888"/>
      <c r="I18" s="888"/>
      <c r="J18" s="888"/>
      <c r="K18" s="888"/>
      <c r="L18" s="889" t="s">
        <v>102</v>
      </c>
      <c r="M18" s="190" t="s">
        <v>1172</v>
      </c>
      <c r="N18" s="817" t="s">
        <v>1244</v>
      </c>
      <c r="O18" s="192">
        <v>0</v>
      </c>
      <c r="P18" s="192">
        <v>1563.09</v>
      </c>
      <c r="Q18" s="192">
        <v>1091.3499999999999</v>
      </c>
      <c r="R18" s="192">
        <v>1756.5804000000001</v>
      </c>
      <c r="S18" s="192">
        <v>1626.3316</v>
      </c>
      <c r="T18" s="192">
        <v>0</v>
      </c>
      <c r="U18" s="192">
        <v>0</v>
      </c>
      <c r="V18" s="192">
        <v>0</v>
      </c>
      <c r="W18" s="192">
        <v>0</v>
      </c>
      <c r="X18" s="192">
        <v>0</v>
      </c>
      <c r="Y18" s="192">
        <v>0</v>
      </c>
      <c r="Z18" s="192">
        <v>0</v>
      </c>
      <c r="AA18" s="192">
        <v>0</v>
      </c>
      <c r="AB18" s="192">
        <v>0</v>
      </c>
      <c r="AC18" s="192">
        <v>1626.33</v>
      </c>
      <c r="AD18" s="192">
        <v>1756.5804000000001</v>
      </c>
      <c r="AE18" s="192">
        <v>1756.5804000000001</v>
      </c>
      <c r="AF18" s="192">
        <v>1756.5804000000001</v>
      </c>
      <c r="AG18" s="192">
        <v>0</v>
      </c>
      <c r="AH18" s="192">
        <v>0</v>
      </c>
      <c r="AI18" s="192">
        <v>0</v>
      </c>
      <c r="AJ18" s="192">
        <v>0</v>
      </c>
      <c r="AK18" s="192">
        <v>0</v>
      </c>
      <c r="AL18" s="192">
        <v>0</v>
      </c>
      <c r="AM18" s="868"/>
    </row>
    <row r="19" spans="1:39" s="92" customFormat="1">
      <c r="A19" s="895">
        <v>1</v>
      </c>
      <c r="B19" s="888"/>
      <c r="C19" s="888"/>
      <c r="D19" s="888"/>
      <c r="E19" s="888"/>
      <c r="F19" s="888"/>
      <c r="G19" s="888"/>
      <c r="H19" s="888"/>
      <c r="I19" s="888"/>
      <c r="J19" s="888"/>
      <c r="K19" s="888"/>
      <c r="L19" s="889" t="s">
        <v>103</v>
      </c>
      <c r="M19" s="190" t="s">
        <v>1173</v>
      </c>
      <c r="N19" s="817" t="s">
        <v>504</v>
      </c>
      <c r="O19" s="896"/>
      <c r="P19" s="896">
        <v>2139.91</v>
      </c>
      <c r="Q19" s="896">
        <v>2139.91</v>
      </c>
      <c r="R19" s="896">
        <v>2311.29</v>
      </c>
      <c r="S19" s="896">
        <v>2139.91</v>
      </c>
      <c r="T19" s="896"/>
      <c r="U19" s="896"/>
      <c r="V19" s="896"/>
      <c r="W19" s="896"/>
      <c r="X19" s="896"/>
      <c r="Y19" s="896"/>
      <c r="Z19" s="896"/>
      <c r="AA19" s="896"/>
      <c r="AB19" s="896"/>
      <c r="AC19" s="896">
        <v>2139.91</v>
      </c>
      <c r="AD19" s="896">
        <v>2311.29</v>
      </c>
      <c r="AE19" s="896">
        <v>2311.29</v>
      </c>
      <c r="AF19" s="896">
        <v>2311.29</v>
      </c>
      <c r="AG19" s="896"/>
      <c r="AH19" s="896"/>
      <c r="AI19" s="896"/>
      <c r="AJ19" s="896"/>
      <c r="AK19" s="896"/>
      <c r="AL19" s="896"/>
      <c r="AM19" s="868"/>
    </row>
    <row r="20" spans="1:39" s="92" customFormat="1">
      <c r="A20" s="895">
        <v>1</v>
      </c>
      <c r="B20" s="888"/>
      <c r="C20" s="888"/>
      <c r="D20" s="888"/>
      <c r="E20" s="888"/>
      <c r="F20" s="888"/>
      <c r="G20" s="888"/>
      <c r="H20" s="888"/>
      <c r="I20" s="888"/>
      <c r="J20" s="888"/>
      <c r="K20" s="888"/>
      <c r="L20" s="889" t="s">
        <v>104</v>
      </c>
      <c r="M20" s="190" t="s">
        <v>372</v>
      </c>
      <c r="N20" s="817" t="s">
        <v>506</v>
      </c>
      <c r="O20" s="192">
        <v>0</v>
      </c>
      <c r="P20" s="192">
        <v>3.3900095324005659</v>
      </c>
      <c r="Q20" s="192">
        <v>3.3899299033307373</v>
      </c>
      <c r="R20" s="192">
        <v>6.5775753845369112</v>
      </c>
      <c r="S20" s="192">
        <v>3.8662287567922804</v>
      </c>
      <c r="T20" s="192">
        <v>0</v>
      </c>
      <c r="U20" s="192">
        <v>0</v>
      </c>
      <c r="V20" s="192">
        <v>0</v>
      </c>
      <c r="W20" s="192">
        <v>0</v>
      </c>
      <c r="X20" s="192">
        <v>0</v>
      </c>
      <c r="Y20" s="192">
        <v>0</v>
      </c>
      <c r="Z20" s="192">
        <v>0</v>
      </c>
      <c r="AA20" s="192">
        <v>0</v>
      </c>
      <c r="AB20" s="192">
        <v>0</v>
      </c>
      <c r="AC20" s="192">
        <v>3.8448592844010752</v>
      </c>
      <c r="AD20" s="192">
        <v>6.8406783999183878</v>
      </c>
      <c r="AE20" s="192">
        <v>7.1143055359151237</v>
      </c>
      <c r="AF20" s="192">
        <v>7.3988777573517286</v>
      </c>
      <c r="AG20" s="192">
        <v>0</v>
      </c>
      <c r="AH20" s="192">
        <v>0</v>
      </c>
      <c r="AI20" s="192">
        <v>0</v>
      </c>
      <c r="AJ20" s="192">
        <v>0</v>
      </c>
      <c r="AK20" s="192">
        <v>0</v>
      </c>
      <c r="AL20" s="192">
        <v>0</v>
      </c>
      <c r="AM20" s="868"/>
    </row>
    <row r="21" spans="1:39" s="92" customFormat="1">
      <c r="A21" s="895">
        <v>1</v>
      </c>
      <c r="B21" s="888"/>
      <c r="C21" s="888"/>
      <c r="D21" s="888"/>
      <c r="E21" s="888"/>
      <c r="F21" s="888"/>
      <c r="G21" s="888"/>
      <c r="H21" s="888"/>
      <c r="I21" s="888"/>
      <c r="J21" s="888"/>
      <c r="K21" s="888"/>
      <c r="L21" s="889" t="s">
        <v>120</v>
      </c>
      <c r="M21" s="190" t="s">
        <v>373</v>
      </c>
      <c r="N21" s="817" t="s">
        <v>502</v>
      </c>
      <c r="O21" s="897">
        <v>0</v>
      </c>
      <c r="P21" s="897">
        <v>0.73044660756760804</v>
      </c>
      <c r="Q21" s="897">
        <v>0.50999808403157143</v>
      </c>
      <c r="R21" s="897">
        <v>0.76</v>
      </c>
      <c r="S21" s="897">
        <v>0.76</v>
      </c>
      <c r="T21" s="897">
        <v>0</v>
      </c>
      <c r="U21" s="897">
        <v>0</v>
      </c>
      <c r="V21" s="897">
        <v>0</v>
      </c>
      <c r="W21" s="897">
        <v>0</v>
      </c>
      <c r="X21" s="897">
        <v>0</v>
      </c>
      <c r="Y21" s="897">
        <v>0</v>
      </c>
      <c r="Z21" s="897">
        <v>0</v>
      </c>
      <c r="AA21" s="897">
        <v>0</v>
      </c>
      <c r="AB21" s="897">
        <v>0</v>
      </c>
      <c r="AC21" s="897">
        <v>0.75999925230500354</v>
      </c>
      <c r="AD21" s="897">
        <v>0.76</v>
      </c>
      <c r="AE21" s="897">
        <v>0.76</v>
      </c>
      <c r="AF21" s="897">
        <v>0.76</v>
      </c>
      <c r="AG21" s="897">
        <v>0</v>
      </c>
      <c r="AH21" s="897">
        <v>0</v>
      </c>
      <c r="AI21" s="897">
        <v>0</v>
      </c>
      <c r="AJ21" s="897">
        <v>0</v>
      </c>
      <c r="AK21" s="897">
        <v>0</v>
      </c>
      <c r="AL21" s="897">
        <v>0</v>
      </c>
      <c r="AM21" s="868"/>
    </row>
    <row r="22" spans="1:39" s="92" customFormat="1" ht="22.5">
      <c r="A22" s="895">
        <v>1</v>
      </c>
      <c r="B22" s="888"/>
      <c r="C22" s="888"/>
      <c r="D22" s="888"/>
      <c r="E22" s="888"/>
      <c r="F22" s="888"/>
      <c r="G22" s="888"/>
      <c r="H22" s="888"/>
      <c r="I22" s="888"/>
      <c r="J22" s="898" t="s">
        <v>1059</v>
      </c>
      <c r="K22" s="888"/>
      <c r="L22" s="899"/>
      <c r="M22" s="900" t="s">
        <v>1157</v>
      </c>
      <c r="N22" s="901"/>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3"/>
    </row>
    <row r="23" spans="1:39" s="92" customFormat="1" ht="14.25">
      <c r="A23" s="757">
        <v>1</v>
      </c>
      <c r="B23" s="888"/>
      <c r="C23" s="888"/>
      <c r="D23" s="888"/>
      <c r="E23" s="888"/>
      <c r="F23" s="888"/>
      <c r="G23" s="888"/>
      <c r="H23" s="888"/>
      <c r="I23" s="888"/>
      <c r="J23" s="904" t="s">
        <v>195</v>
      </c>
      <c r="K23" s="724"/>
      <c r="L23" s="889" t="s">
        <v>195</v>
      </c>
      <c r="M23" s="905" t="s">
        <v>1226</v>
      </c>
      <c r="N23" s="819" t="s">
        <v>370</v>
      </c>
      <c r="O23" s="906"/>
      <c r="P23" s="906">
        <v>5298.89</v>
      </c>
      <c r="Q23" s="906">
        <v>3699.6</v>
      </c>
      <c r="R23" s="906">
        <v>11554.04</v>
      </c>
      <c r="S23" s="906">
        <v>6287.77</v>
      </c>
      <c r="T23" s="906"/>
      <c r="U23" s="906"/>
      <c r="V23" s="906"/>
      <c r="W23" s="906"/>
      <c r="X23" s="906"/>
      <c r="Y23" s="906"/>
      <c r="Z23" s="906"/>
      <c r="AA23" s="906"/>
      <c r="AB23" s="906"/>
      <c r="AC23" s="906">
        <v>6253.01</v>
      </c>
      <c r="AD23" s="906">
        <v>12016.201600000002</v>
      </c>
      <c r="AE23" s="906">
        <v>12496.849664000003</v>
      </c>
      <c r="AF23" s="906">
        <v>12996.723650560003</v>
      </c>
      <c r="AG23" s="906"/>
      <c r="AH23" s="906"/>
      <c r="AI23" s="906"/>
      <c r="AJ23" s="906"/>
      <c r="AK23" s="906"/>
      <c r="AL23" s="906"/>
      <c r="AM23" s="868"/>
    </row>
    <row r="24" spans="1:39" s="92" customFormat="1">
      <c r="A24" s="757">
        <v>1</v>
      </c>
      <c r="B24" s="888"/>
      <c r="C24" s="888"/>
      <c r="D24" s="888"/>
      <c r="E24" s="888"/>
      <c r="F24" s="888"/>
      <c r="G24" s="888"/>
      <c r="H24" s="888"/>
      <c r="I24" s="888"/>
      <c r="J24" s="904"/>
      <c r="K24" s="888"/>
      <c r="L24" s="907" t="s">
        <v>1318</v>
      </c>
      <c r="M24" s="209" t="s">
        <v>1060</v>
      </c>
      <c r="N24" s="817" t="s">
        <v>506</v>
      </c>
      <c r="O24" s="890">
        <v>0</v>
      </c>
      <c r="P24" s="890">
        <v>3.3900095324005659</v>
      </c>
      <c r="Q24" s="890">
        <v>3.3899299033307373</v>
      </c>
      <c r="R24" s="890">
        <v>6.5775753845369112</v>
      </c>
      <c r="S24" s="890">
        <v>3.8662287567922804</v>
      </c>
      <c r="T24" s="890">
        <v>0</v>
      </c>
      <c r="U24" s="890">
        <v>0</v>
      </c>
      <c r="V24" s="890">
        <v>0</v>
      </c>
      <c r="W24" s="890">
        <v>0</v>
      </c>
      <c r="X24" s="890">
        <v>0</v>
      </c>
      <c r="Y24" s="890">
        <v>0</v>
      </c>
      <c r="Z24" s="890">
        <v>0</v>
      </c>
      <c r="AA24" s="890">
        <v>0</v>
      </c>
      <c r="AB24" s="890">
        <v>0</v>
      </c>
      <c r="AC24" s="890">
        <v>3.8448592844010752</v>
      </c>
      <c r="AD24" s="890">
        <v>6.8406783999183878</v>
      </c>
      <c r="AE24" s="890">
        <v>7.1143055359151237</v>
      </c>
      <c r="AF24" s="890">
        <v>7.3988777573517286</v>
      </c>
      <c r="AG24" s="890">
        <v>0</v>
      </c>
      <c r="AH24" s="890">
        <v>0</v>
      </c>
      <c r="AI24" s="890">
        <v>0</v>
      </c>
      <c r="AJ24" s="890">
        <v>0</v>
      </c>
      <c r="AK24" s="890">
        <v>0</v>
      </c>
      <c r="AL24" s="890">
        <v>0</v>
      </c>
      <c r="AM24" s="868"/>
    </row>
    <row r="25" spans="1:39" s="92" customFormat="1">
      <c r="A25" s="757">
        <v>1</v>
      </c>
      <c r="B25" s="888"/>
      <c r="C25" s="888"/>
      <c r="D25" s="888"/>
      <c r="E25" s="888"/>
      <c r="F25" s="888"/>
      <c r="G25" s="888"/>
      <c r="H25" s="888"/>
      <c r="I25" s="888"/>
      <c r="J25" s="904"/>
      <c r="K25" s="888"/>
      <c r="L25" s="907" t="s">
        <v>1319</v>
      </c>
      <c r="M25" s="209" t="s">
        <v>1174</v>
      </c>
      <c r="N25" s="817" t="s">
        <v>1244</v>
      </c>
      <c r="O25" s="906"/>
      <c r="P25" s="906">
        <v>1563.09</v>
      </c>
      <c r="Q25" s="906">
        <v>1091.3499999999999</v>
      </c>
      <c r="R25" s="906">
        <v>1756.5804000000001</v>
      </c>
      <c r="S25" s="906">
        <v>1626.3316</v>
      </c>
      <c r="T25" s="906"/>
      <c r="U25" s="906"/>
      <c r="V25" s="906"/>
      <c r="W25" s="906"/>
      <c r="X25" s="906"/>
      <c r="Y25" s="906"/>
      <c r="Z25" s="906"/>
      <c r="AA25" s="906"/>
      <c r="AB25" s="906"/>
      <c r="AC25" s="906">
        <v>1626.33</v>
      </c>
      <c r="AD25" s="906">
        <v>1756.5804000000001</v>
      </c>
      <c r="AE25" s="906">
        <v>1756.5804000000001</v>
      </c>
      <c r="AF25" s="906">
        <v>1756.5804000000001</v>
      </c>
      <c r="AG25" s="906"/>
      <c r="AH25" s="906"/>
      <c r="AI25" s="906"/>
      <c r="AJ25" s="906"/>
      <c r="AK25" s="906"/>
      <c r="AL25" s="906"/>
      <c r="AM25" s="868"/>
    </row>
    <row r="26" spans="1:39" s="92" customFormat="1" ht="22.5">
      <c r="A26" s="895">
        <v>1</v>
      </c>
      <c r="B26" s="888"/>
      <c r="C26" s="888"/>
      <c r="D26" s="888"/>
      <c r="E26" s="888"/>
      <c r="F26" s="888"/>
      <c r="G26" s="888"/>
      <c r="H26" s="888"/>
      <c r="I26" s="888"/>
      <c r="J26" s="898" t="s">
        <v>1141</v>
      </c>
      <c r="K26" s="888"/>
      <c r="L26" s="899"/>
      <c r="M26" s="900" t="s">
        <v>1158</v>
      </c>
      <c r="N26" s="901"/>
      <c r="O26" s="902"/>
      <c r="P26" s="902"/>
      <c r="Q26" s="902"/>
      <c r="R26" s="902"/>
      <c r="S26" s="902"/>
      <c r="T26" s="902"/>
      <c r="U26" s="902"/>
      <c r="V26" s="902"/>
      <c r="W26" s="902"/>
      <c r="X26" s="902"/>
      <c r="Y26" s="902"/>
      <c r="Z26" s="902"/>
      <c r="AA26" s="902"/>
      <c r="AB26" s="902"/>
      <c r="AC26" s="902"/>
      <c r="AD26" s="902"/>
      <c r="AE26" s="902"/>
      <c r="AF26" s="902"/>
      <c r="AG26" s="902"/>
      <c r="AH26" s="902"/>
      <c r="AI26" s="902"/>
      <c r="AJ26" s="902"/>
      <c r="AK26" s="902"/>
      <c r="AL26" s="902"/>
      <c r="AM26" s="903"/>
    </row>
    <row r="27" spans="1:39">
      <c r="A27" s="851"/>
      <c r="B27" s="851"/>
      <c r="C27" s="851"/>
      <c r="D27" s="851"/>
      <c r="E27" s="851"/>
      <c r="F27" s="851"/>
      <c r="G27" s="851"/>
      <c r="H27" s="851"/>
      <c r="I27" s="851"/>
      <c r="J27" s="851"/>
      <c r="K27" s="851"/>
      <c r="L27" s="851"/>
      <c r="M27" s="851"/>
      <c r="N27" s="851"/>
      <c r="O27" s="851"/>
      <c r="P27" s="851"/>
      <c r="Q27" s="851"/>
      <c r="R27" s="851"/>
      <c r="S27" s="851"/>
      <c r="T27" s="851"/>
      <c r="U27" s="851"/>
      <c r="V27" s="851"/>
      <c r="W27" s="851"/>
      <c r="X27" s="851"/>
      <c r="Y27" s="851"/>
      <c r="Z27" s="851"/>
      <c r="AA27" s="851"/>
      <c r="AB27" s="851"/>
      <c r="AC27" s="851"/>
      <c r="AD27" s="851"/>
      <c r="AE27" s="851"/>
      <c r="AF27" s="851"/>
      <c r="AG27" s="851"/>
      <c r="AH27" s="851"/>
      <c r="AI27" s="851"/>
      <c r="AJ27" s="851"/>
      <c r="AK27" s="851"/>
      <c r="AL27" s="851"/>
      <c r="AM27" s="851"/>
    </row>
    <row r="28" spans="1:39">
      <c r="A28" s="851"/>
      <c r="B28" s="851"/>
      <c r="C28" s="851"/>
      <c r="D28" s="851"/>
      <c r="E28" s="851"/>
      <c r="F28" s="851"/>
      <c r="G28" s="851"/>
      <c r="H28" s="851"/>
      <c r="I28" s="851"/>
      <c r="J28" s="851"/>
      <c r="K28" s="851"/>
      <c r="L28" s="851"/>
      <c r="M28" s="851"/>
      <c r="N28" s="851"/>
      <c r="O28" s="851"/>
      <c r="P28" s="851"/>
      <c r="Q28" s="851"/>
      <c r="R28" s="851"/>
      <c r="S28" s="851"/>
      <c r="T28" s="851"/>
      <c r="U28" s="851"/>
      <c r="V28" s="851"/>
      <c r="W28" s="851"/>
      <c r="X28" s="851"/>
      <c r="Y28" s="851"/>
      <c r="Z28" s="851"/>
      <c r="AA28" s="851"/>
      <c r="AB28" s="851"/>
      <c r="AC28" s="851"/>
      <c r="AD28" s="851"/>
      <c r="AE28" s="851"/>
      <c r="AF28" s="851"/>
      <c r="AG28" s="851"/>
      <c r="AH28" s="851"/>
      <c r="AI28" s="851"/>
      <c r="AJ28" s="851"/>
      <c r="AK28" s="851"/>
      <c r="AL28" s="851"/>
      <c r="AM28" s="851"/>
    </row>
    <row r="29" spans="1:39" ht="15" customHeight="1">
      <c r="A29" s="851"/>
      <c r="B29" s="851"/>
      <c r="C29" s="851"/>
      <c r="D29" s="851"/>
      <c r="E29" s="851"/>
      <c r="F29" s="851"/>
      <c r="G29" s="851"/>
      <c r="H29" s="851"/>
      <c r="I29" s="851"/>
      <c r="J29" s="851"/>
      <c r="K29" s="851"/>
      <c r="L29" s="891" t="s">
        <v>1402</v>
      </c>
      <c r="M29" s="891"/>
      <c r="N29" s="891"/>
      <c r="O29" s="891"/>
      <c r="P29" s="891"/>
      <c r="Q29" s="891"/>
      <c r="R29" s="891"/>
      <c r="S29" s="892"/>
      <c r="T29" s="892"/>
      <c r="U29" s="892"/>
      <c r="V29" s="892"/>
      <c r="W29" s="892"/>
      <c r="X29" s="892"/>
      <c r="Y29" s="892"/>
      <c r="Z29" s="892"/>
      <c r="AA29" s="892"/>
      <c r="AB29" s="892"/>
      <c r="AC29" s="892"/>
      <c r="AD29" s="892"/>
      <c r="AE29" s="892"/>
      <c r="AF29" s="892"/>
      <c r="AG29" s="892"/>
      <c r="AH29" s="892"/>
      <c r="AI29" s="892"/>
      <c r="AJ29" s="892"/>
      <c r="AK29" s="892"/>
      <c r="AL29" s="892"/>
      <c r="AM29" s="892"/>
    </row>
    <row r="30" spans="1:39" ht="81" customHeight="1">
      <c r="A30" s="851"/>
      <c r="B30" s="851"/>
      <c r="C30" s="851"/>
      <c r="D30" s="851"/>
      <c r="E30" s="851"/>
      <c r="F30" s="851"/>
      <c r="G30" s="851"/>
      <c r="H30" s="851"/>
      <c r="I30" s="851"/>
      <c r="J30" s="851"/>
      <c r="K30" s="724"/>
      <c r="L30" s="908" t="s">
        <v>2534</v>
      </c>
      <c r="M30" s="893"/>
      <c r="N30" s="893"/>
      <c r="O30" s="893"/>
      <c r="P30" s="893"/>
      <c r="Q30" s="893"/>
      <c r="R30" s="893"/>
      <c r="S30" s="894"/>
      <c r="T30" s="894"/>
      <c r="U30" s="894"/>
      <c r="V30" s="894"/>
      <c r="W30" s="894"/>
      <c r="X30" s="894"/>
      <c r="Y30" s="894"/>
      <c r="Z30" s="894"/>
      <c r="AA30" s="894"/>
      <c r="AB30" s="894"/>
      <c r="AC30" s="894"/>
      <c r="AD30" s="894"/>
      <c r="AE30" s="894"/>
      <c r="AF30" s="894"/>
      <c r="AG30" s="894"/>
      <c r="AH30" s="894"/>
      <c r="AI30" s="894"/>
      <c r="AJ30" s="894"/>
      <c r="AK30" s="894"/>
      <c r="AL30" s="894"/>
      <c r="AM30" s="894"/>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5:AL25 O23:AL23">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87"/>
  <sheetViews>
    <sheetView showGridLines="0" view="pageBreakPreview" topLeftCell="A11" zoomScale="60" zoomScaleNormal="100" workbookViewId="0">
      <pane xSplit="14" ySplit="5" topLeftCell="O34" activePane="bottomRight" state="frozen"/>
      <selection activeCell="M11" sqref="M11"/>
      <selection pane="topRight" activeCell="M11" sqref="M11"/>
      <selection pane="bottomLeft" activeCell="M11" sqref="M11"/>
      <selection pane="bottomRight" activeCell="Q62" sqref="Q62"/>
    </sheetView>
  </sheetViews>
  <sheetFormatPr defaultColWidth="8.7109375" defaultRowHeight="11.25"/>
  <cols>
    <col min="1" max="10" width="2.7109375" style="93" hidden="1" customWidth="1"/>
    <col min="11" max="11" width="3.7109375" style="93" hidden="1" customWidth="1"/>
    <col min="12" max="12" width="7.85546875" style="93" customWidth="1"/>
    <col min="13" max="13" width="42.42578125" style="93" customWidth="1"/>
    <col min="14" max="14" width="11.7109375" style="94" bestFit="1" customWidth="1"/>
    <col min="15" max="19" width="13.28515625" style="94" customWidth="1"/>
    <col min="20" max="28" width="13.28515625" style="94" hidden="1" customWidth="1"/>
    <col min="29" max="29" width="13.28515625" style="94" customWidth="1"/>
    <col min="30" max="38" width="13.28515625" style="94" hidden="1" customWidth="1"/>
    <col min="39" max="39" width="20.7109375" style="93" customWidth="1"/>
    <col min="40" max="16384" width="8.7109375" style="93"/>
  </cols>
  <sheetData>
    <row r="1" spans="1:39" hidden="1">
      <c r="A1" s="909"/>
      <c r="B1" s="909"/>
      <c r="C1" s="909"/>
      <c r="D1" s="909"/>
      <c r="E1" s="909"/>
      <c r="F1" s="909"/>
      <c r="G1" s="909"/>
      <c r="H1" s="909"/>
      <c r="I1" s="909"/>
      <c r="J1" s="909"/>
      <c r="K1" s="909"/>
      <c r="L1" s="909"/>
      <c r="M1" s="909"/>
      <c r="N1" s="910"/>
      <c r="O1" s="910"/>
      <c r="P1" s="910"/>
      <c r="Q1" s="910"/>
      <c r="R1" s="910"/>
      <c r="S1" s="851">
        <v>2024</v>
      </c>
      <c r="T1" s="851">
        <v>2025</v>
      </c>
      <c r="U1" s="851">
        <v>2026</v>
      </c>
      <c r="V1" s="851">
        <v>2027</v>
      </c>
      <c r="W1" s="851">
        <v>2028</v>
      </c>
      <c r="X1" s="851">
        <v>2029</v>
      </c>
      <c r="Y1" s="851">
        <v>2030</v>
      </c>
      <c r="Z1" s="851">
        <v>2031</v>
      </c>
      <c r="AA1" s="851">
        <v>2032</v>
      </c>
      <c r="AB1" s="851">
        <v>2033</v>
      </c>
      <c r="AC1" s="851">
        <v>2024</v>
      </c>
      <c r="AD1" s="851">
        <v>2025</v>
      </c>
      <c r="AE1" s="851">
        <v>2026</v>
      </c>
      <c r="AF1" s="851">
        <v>2027</v>
      </c>
      <c r="AG1" s="851">
        <v>2028</v>
      </c>
      <c r="AH1" s="851">
        <v>2029</v>
      </c>
      <c r="AI1" s="851">
        <v>2030</v>
      </c>
      <c r="AJ1" s="851">
        <v>2031</v>
      </c>
      <c r="AK1" s="851">
        <v>2032</v>
      </c>
      <c r="AL1" s="851">
        <v>2033</v>
      </c>
      <c r="AM1" s="909"/>
    </row>
    <row r="2" spans="1:39" hidden="1">
      <c r="A2" s="909"/>
      <c r="B2" s="909"/>
      <c r="C2" s="909"/>
      <c r="D2" s="909"/>
      <c r="E2" s="909"/>
      <c r="F2" s="909"/>
      <c r="G2" s="909"/>
      <c r="H2" s="909"/>
      <c r="I2" s="909"/>
      <c r="J2" s="909"/>
      <c r="K2" s="909"/>
      <c r="L2" s="909"/>
      <c r="M2" s="909"/>
      <c r="N2" s="910"/>
      <c r="O2" s="910"/>
      <c r="P2" s="910"/>
      <c r="Q2" s="910"/>
      <c r="R2" s="910"/>
      <c r="S2" s="851"/>
      <c r="T2" s="851"/>
      <c r="U2" s="851"/>
      <c r="V2" s="851"/>
      <c r="W2" s="851"/>
      <c r="X2" s="851"/>
      <c r="Y2" s="851"/>
      <c r="Z2" s="851"/>
      <c r="AA2" s="851"/>
      <c r="AB2" s="851"/>
      <c r="AC2" s="851"/>
      <c r="AD2" s="851"/>
      <c r="AE2" s="851"/>
      <c r="AF2" s="851"/>
      <c r="AG2" s="851"/>
      <c r="AH2" s="851"/>
      <c r="AI2" s="851"/>
      <c r="AJ2" s="851"/>
      <c r="AK2" s="851"/>
      <c r="AL2" s="851"/>
      <c r="AM2" s="909"/>
    </row>
    <row r="3" spans="1:39" hidden="1">
      <c r="A3" s="909"/>
      <c r="B3" s="909"/>
      <c r="C3" s="909"/>
      <c r="D3" s="909"/>
      <c r="E3" s="909"/>
      <c r="F3" s="909"/>
      <c r="G3" s="909"/>
      <c r="H3" s="909"/>
      <c r="I3" s="909"/>
      <c r="J3" s="909"/>
      <c r="K3" s="909"/>
      <c r="L3" s="909"/>
      <c r="M3" s="909"/>
      <c r="N3" s="910"/>
      <c r="O3" s="910"/>
      <c r="P3" s="910"/>
      <c r="Q3" s="910"/>
      <c r="R3" s="910"/>
      <c r="S3" s="851"/>
      <c r="T3" s="851"/>
      <c r="U3" s="851"/>
      <c r="V3" s="851"/>
      <c r="W3" s="851"/>
      <c r="X3" s="851"/>
      <c r="Y3" s="851"/>
      <c r="Z3" s="851"/>
      <c r="AA3" s="851"/>
      <c r="AB3" s="851"/>
      <c r="AC3" s="851"/>
      <c r="AD3" s="851"/>
      <c r="AE3" s="851"/>
      <c r="AF3" s="851"/>
      <c r="AG3" s="851"/>
      <c r="AH3" s="851"/>
      <c r="AI3" s="851"/>
      <c r="AJ3" s="851"/>
      <c r="AK3" s="851"/>
      <c r="AL3" s="851"/>
      <c r="AM3" s="909"/>
    </row>
    <row r="4" spans="1:39" hidden="1">
      <c r="A4" s="909"/>
      <c r="B4" s="909"/>
      <c r="C4" s="909"/>
      <c r="D4" s="909"/>
      <c r="E4" s="909"/>
      <c r="F4" s="909"/>
      <c r="G4" s="909"/>
      <c r="H4" s="909"/>
      <c r="I4" s="909"/>
      <c r="J4" s="909"/>
      <c r="K4" s="909"/>
      <c r="L4" s="909"/>
      <c r="M4" s="909"/>
      <c r="N4" s="910"/>
      <c r="O4" s="910"/>
      <c r="P4" s="910"/>
      <c r="Q4" s="910"/>
      <c r="R4" s="910"/>
      <c r="S4" s="851"/>
      <c r="T4" s="851"/>
      <c r="U4" s="851"/>
      <c r="V4" s="851"/>
      <c r="W4" s="851"/>
      <c r="X4" s="851"/>
      <c r="Y4" s="851"/>
      <c r="Z4" s="851"/>
      <c r="AA4" s="851"/>
      <c r="AB4" s="851"/>
      <c r="AC4" s="851"/>
      <c r="AD4" s="851"/>
      <c r="AE4" s="851"/>
      <c r="AF4" s="851"/>
      <c r="AG4" s="851"/>
      <c r="AH4" s="851"/>
      <c r="AI4" s="851"/>
      <c r="AJ4" s="851"/>
      <c r="AK4" s="851"/>
      <c r="AL4" s="851"/>
      <c r="AM4" s="909"/>
    </row>
    <row r="5" spans="1:39" hidden="1">
      <c r="A5" s="909"/>
      <c r="B5" s="909"/>
      <c r="C5" s="909"/>
      <c r="D5" s="909"/>
      <c r="E5" s="909"/>
      <c r="F5" s="909"/>
      <c r="G5" s="909"/>
      <c r="H5" s="909"/>
      <c r="I5" s="909"/>
      <c r="J5" s="909"/>
      <c r="K5" s="909"/>
      <c r="L5" s="909"/>
      <c r="M5" s="909"/>
      <c r="N5" s="910"/>
      <c r="O5" s="910"/>
      <c r="P5" s="910"/>
      <c r="Q5" s="910"/>
      <c r="R5" s="910"/>
      <c r="S5" s="851"/>
      <c r="T5" s="851"/>
      <c r="U5" s="851"/>
      <c r="V5" s="851"/>
      <c r="W5" s="851"/>
      <c r="X5" s="851"/>
      <c r="Y5" s="851"/>
      <c r="Z5" s="851"/>
      <c r="AA5" s="851"/>
      <c r="AB5" s="851"/>
      <c r="AC5" s="851"/>
      <c r="AD5" s="851"/>
      <c r="AE5" s="851"/>
      <c r="AF5" s="851"/>
      <c r="AG5" s="851"/>
      <c r="AH5" s="851"/>
      <c r="AI5" s="851"/>
      <c r="AJ5" s="851"/>
      <c r="AK5" s="851"/>
      <c r="AL5" s="851"/>
      <c r="AM5" s="909"/>
    </row>
    <row r="6" spans="1:39" hidden="1">
      <c r="A6" s="909"/>
      <c r="B6" s="909"/>
      <c r="C6" s="909"/>
      <c r="D6" s="909"/>
      <c r="E6" s="909"/>
      <c r="F6" s="909"/>
      <c r="G6" s="909"/>
      <c r="H6" s="909"/>
      <c r="I6" s="909"/>
      <c r="J6" s="909"/>
      <c r="K6" s="909"/>
      <c r="L6" s="909"/>
      <c r="M6" s="909"/>
      <c r="N6" s="910"/>
      <c r="O6" s="910"/>
      <c r="P6" s="910"/>
      <c r="Q6" s="910"/>
      <c r="R6" s="910"/>
      <c r="S6" s="851"/>
      <c r="T6" s="851"/>
      <c r="U6" s="851"/>
      <c r="V6" s="851"/>
      <c r="W6" s="851"/>
      <c r="X6" s="851"/>
      <c r="Y6" s="851"/>
      <c r="Z6" s="851"/>
      <c r="AA6" s="851"/>
      <c r="AB6" s="851"/>
      <c r="AC6" s="851"/>
      <c r="AD6" s="851"/>
      <c r="AE6" s="851"/>
      <c r="AF6" s="851"/>
      <c r="AG6" s="851"/>
      <c r="AH6" s="851"/>
      <c r="AI6" s="851"/>
      <c r="AJ6" s="851"/>
      <c r="AK6" s="851"/>
      <c r="AL6" s="851"/>
      <c r="AM6" s="909"/>
    </row>
    <row r="7" spans="1:39" hidden="1">
      <c r="A7" s="909"/>
      <c r="B7" s="909"/>
      <c r="C7" s="909"/>
      <c r="D7" s="909"/>
      <c r="E7" s="909"/>
      <c r="F7" s="909"/>
      <c r="G7" s="909"/>
      <c r="H7" s="909"/>
      <c r="I7" s="909"/>
      <c r="J7" s="909"/>
      <c r="K7" s="909"/>
      <c r="L7" s="909"/>
      <c r="M7" s="909"/>
      <c r="N7" s="910"/>
      <c r="O7" s="910"/>
      <c r="P7" s="910"/>
      <c r="Q7" s="910"/>
      <c r="R7" s="910"/>
      <c r="S7" s="800" t="b">
        <v>1</v>
      </c>
      <c r="T7" s="800" t="b">
        <v>0</v>
      </c>
      <c r="U7" s="800" t="b">
        <v>0</v>
      </c>
      <c r="V7" s="800" t="b">
        <v>0</v>
      </c>
      <c r="W7" s="800" t="b">
        <v>0</v>
      </c>
      <c r="X7" s="800" t="b">
        <v>0</v>
      </c>
      <c r="Y7" s="800" t="b">
        <v>0</v>
      </c>
      <c r="Z7" s="800" t="b">
        <v>0</v>
      </c>
      <c r="AA7" s="800" t="b">
        <v>0</v>
      </c>
      <c r="AB7" s="800" t="b">
        <v>0</v>
      </c>
      <c r="AC7" s="800" t="b">
        <v>1</v>
      </c>
      <c r="AD7" s="800" t="b">
        <v>0</v>
      </c>
      <c r="AE7" s="800" t="b">
        <v>0</v>
      </c>
      <c r="AF7" s="800" t="b">
        <v>0</v>
      </c>
      <c r="AG7" s="800" t="b">
        <v>0</v>
      </c>
      <c r="AH7" s="800" t="b">
        <v>0</v>
      </c>
      <c r="AI7" s="800" t="b">
        <v>0</v>
      </c>
      <c r="AJ7" s="800" t="b">
        <v>0</v>
      </c>
      <c r="AK7" s="800" t="b">
        <v>0</v>
      </c>
      <c r="AL7" s="800" t="b">
        <v>0</v>
      </c>
      <c r="AM7" s="909"/>
    </row>
    <row r="8" spans="1:39" hidden="1">
      <c r="A8" s="909"/>
      <c r="B8" s="909"/>
      <c r="C8" s="909"/>
      <c r="D8" s="909"/>
      <c r="E8" s="909"/>
      <c r="F8" s="909"/>
      <c r="G8" s="909"/>
      <c r="H8" s="909"/>
      <c r="I8" s="909"/>
      <c r="J8" s="909"/>
      <c r="K8" s="909"/>
      <c r="L8" s="909"/>
      <c r="M8" s="909"/>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09"/>
    </row>
    <row r="9" spans="1:39" hidden="1">
      <c r="A9" s="909"/>
      <c r="B9" s="909"/>
      <c r="C9" s="909"/>
      <c r="D9" s="909"/>
      <c r="E9" s="909"/>
      <c r="F9" s="909"/>
      <c r="G9" s="909"/>
      <c r="H9" s="909"/>
      <c r="I9" s="909"/>
      <c r="J9" s="909"/>
      <c r="K9" s="909"/>
      <c r="L9" s="909"/>
      <c r="M9" s="909"/>
      <c r="N9" s="910"/>
      <c r="O9" s="910"/>
      <c r="P9" s="910"/>
      <c r="Q9" s="910"/>
      <c r="R9" s="910"/>
      <c r="S9" s="910"/>
      <c r="T9" s="910"/>
      <c r="U9" s="910"/>
      <c r="V9" s="910"/>
      <c r="W9" s="910"/>
      <c r="X9" s="910"/>
      <c r="Y9" s="910"/>
      <c r="Z9" s="910"/>
      <c r="AA9" s="910"/>
      <c r="AB9" s="910"/>
      <c r="AC9" s="910"/>
      <c r="AD9" s="910"/>
      <c r="AE9" s="910"/>
      <c r="AF9" s="910"/>
      <c r="AG9" s="910"/>
      <c r="AH9" s="910"/>
      <c r="AI9" s="910"/>
      <c r="AJ9" s="910"/>
      <c r="AK9" s="910"/>
      <c r="AL9" s="910"/>
      <c r="AM9" s="909"/>
    </row>
    <row r="10" spans="1:39" hidden="1">
      <c r="A10" s="909"/>
      <c r="B10" s="909"/>
      <c r="C10" s="909"/>
      <c r="D10" s="909"/>
      <c r="E10" s="909"/>
      <c r="F10" s="909"/>
      <c r="G10" s="909"/>
      <c r="H10" s="909"/>
      <c r="I10" s="909"/>
      <c r="J10" s="909"/>
      <c r="K10" s="909"/>
      <c r="L10" s="909"/>
      <c r="M10" s="909"/>
      <c r="N10" s="910"/>
      <c r="O10" s="910"/>
      <c r="P10" s="910"/>
      <c r="Q10" s="910"/>
      <c r="R10" s="910"/>
      <c r="S10" s="910"/>
      <c r="T10" s="910"/>
      <c r="U10" s="910"/>
      <c r="V10" s="910"/>
      <c r="W10" s="910"/>
      <c r="X10" s="910"/>
      <c r="Y10" s="910"/>
      <c r="Z10" s="910"/>
      <c r="AA10" s="910"/>
      <c r="AB10" s="910"/>
      <c r="AC10" s="910"/>
      <c r="AD10" s="910"/>
      <c r="AE10" s="910"/>
      <c r="AF10" s="910"/>
      <c r="AG10" s="910"/>
      <c r="AH10" s="910"/>
      <c r="AI10" s="910"/>
      <c r="AJ10" s="910"/>
      <c r="AK10" s="910"/>
      <c r="AL10" s="910"/>
      <c r="AM10" s="909"/>
    </row>
    <row r="11" spans="1:39" ht="15" hidden="1" customHeight="1">
      <c r="A11" s="909"/>
      <c r="B11" s="909"/>
      <c r="C11" s="909"/>
      <c r="D11" s="909"/>
      <c r="E11" s="909"/>
      <c r="F11" s="909"/>
      <c r="G11" s="909"/>
      <c r="H11" s="909"/>
      <c r="I11" s="909"/>
      <c r="J11" s="909"/>
      <c r="K11" s="909"/>
      <c r="L11" s="909"/>
      <c r="M11" s="911"/>
      <c r="N11" s="910"/>
      <c r="O11" s="910"/>
      <c r="P11" s="910"/>
      <c r="Q11" s="910"/>
      <c r="R11" s="910"/>
      <c r="S11" s="910"/>
      <c r="T11" s="910"/>
      <c r="U11" s="910"/>
      <c r="V11" s="910"/>
      <c r="W11" s="910"/>
      <c r="X11" s="910"/>
      <c r="Y11" s="910"/>
      <c r="Z11" s="910"/>
      <c r="AA11" s="910"/>
      <c r="AB11" s="910"/>
      <c r="AC11" s="910"/>
      <c r="AD11" s="910"/>
      <c r="AE11" s="910"/>
      <c r="AF11" s="910"/>
      <c r="AG11" s="910"/>
      <c r="AH11" s="910"/>
      <c r="AI11" s="910"/>
      <c r="AJ11" s="910"/>
      <c r="AK11" s="910"/>
      <c r="AL11" s="910"/>
      <c r="AM11" s="909"/>
    </row>
    <row r="12" spans="1:39" s="212" customFormat="1" ht="20.100000000000001" customHeight="1">
      <c r="A12" s="912"/>
      <c r="B12" s="912"/>
      <c r="C12" s="912"/>
      <c r="D12" s="912"/>
      <c r="E12" s="912"/>
      <c r="F12" s="912"/>
      <c r="G12" s="912"/>
      <c r="H12" s="912"/>
      <c r="I12" s="912"/>
      <c r="J12" s="912"/>
      <c r="K12" s="912"/>
      <c r="L12" s="483" t="s">
        <v>1281</v>
      </c>
      <c r="M12" s="213"/>
      <c r="N12" s="215"/>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4"/>
    </row>
    <row r="13" spans="1:39" s="212" customFormat="1">
      <c r="A13" s="912"/>
      <c r="B13" s="912"/>
      <c r="C13" s="912"/>
      <c r="D13" s="912"/>
      <c r="E13" s="912"/>
      <c r="F13" s="912"/>
      <c r="G13" s="912"/>
      <c r="H13" s="912"/>
      <c r="I13" s="912"/>
      <c r="J13" s="912"/>
      <c r="K13" s="912"/>
      <c r="L13" s="913"/>
      <c r="M13" s="913"/>
      <c r="N13" s="913"/>
      <c r="O13" s="913"/>
      <c r="P13" s="913"/>
      <c r="Q13" s="913"/>
      <c r="R13" s="913"/>
      <c r="S13" s="913"/>
      <c r="T13" s="913"/>
      <c r="U13" s="913"/>
      <c r="V13" s="913"/>
      <c r="W13" s="913"/>
      <c r="X13" s="913"/>
      <c r="Y13" s="913"/>
      <c r="Z13" s="913"/>
      <c r="AA13" s="913"/>
      <c r="AB13" s="913"/>
      <c r="AC13" s="913"/>
      <c r="AD13" s="913"/>
      <c r="AE13" s="913"/>
      <c r="AF13" s="913"/>
      <c r="AG13" s="913"/>
      <c r="AH13" s="913"/>
      <c r="AI13" s="913"/>
      <c r="AJ13" s="913"/>
      <c r="AK13" s="913"/>
      <c r="AL13" s="913"/>
      <c r="AM13" s="912"/>
    </row>
    <row r="14" spans="1:39" ht="15" customHeight="1">
      <c r="A14" s="909"/>
      <c r="B14" s="909"/>
      <c r="C14" s="909"/>
      <c r="D14" s="909"/>
      <c r="E14" s="909"/>
      <c r="F14" s="909"/>
      <c r="G14" s="909"/>
      <c r="H14" s="909"/>
      <c r="I14" s="909"/>
      <c r="J14" s="909"/>
      <c r="K14" s="909"/>
      <c r="L14" s="914" t="s">
        <v>374</v>
      </c>
      <c r="M14" s="915" t="s">
        <v>230</v>
      </c>
      <c r="N14" s="914" t="s">
        <v>143</v>
      </c>
      <c r="O14" s="856" t="s">
        <v>2567</v>
      </c>
      <c r="P14" s="856" t="s">
        <v>2567</v>
      </c>
      <c r="Q14" s="856" t="s">
        <v>2567</v>
      </c>
      <c r="R14" s="857" t="s">
        <v>2568</v>
      </c>
      <c r="S14" s="817" t="s">
        <v>2569</v>
      </c>
      <c r="T14" s="817" t="s">
        <v>2598</v>
      </c>
      <c r="U14" s="817" t="s">
        <v>2599</v>
      </c>
      <c r="V14" s="817" t="s">
        <v>2600</v>
      </c>
      <c r="W14" s="817" t="s">
        <v>2601</v>
      </c>
      <c r="X14" s="817" t="s">
        <v>2602</v>
      </c>
      <c r="Y14" s="817" t="s">
        <v>2603</v>
      </c>
      <c r="Z14" s="817" t="s">
        <v>2604</v>
      </c>
      <c r="AA14" s="817" t="s">
        <v>2605</v>
      </c>
      <c r="AB14" s="817" t="s">
        <v>2606</v>
      </c>
      <c r="AC14" s="817" t="s">
        <v>2569</v>
      </c>
      <c r="AD14" s="817" t="s">
        <v>2598</v>
      </c>
      <c r="AE14" s="817" t="s">
        <v>2599</v>
      </c>
      <c r="AF14" s="817" t="s">
        <v>2600</v>
      </c>
      <c r="AG14" s="817" t="s">
        <v>2601</v>
      </c>
      <c r="AH14" s="817" t="s">
        <v>2602</v>
      </c>
      <c r="AI14" s="817" t="s">
        <v>2603</v>
      </c>
      <c r="AJ14" s="817" t="s">
        <v>2604</v>
      </c>
      <c r="AK14" s="817" t="s">
        <v>2605</v>
      </c>
      <c r="AL14" s="817" t="s">
        <v>2606</v>
      </c>
      <c r="AM14" s="916" t="s">
        <v>323</v>
      </c>
    </row>
    <row r="15" spans="1:39" ht="50.1" customHeight="1">
      <c r="A15" s="909"/>
      <c r="B15" s="909"/>
      <c r="C15" s="909"/>
      <c r="D15" s="909"/>
      <c r="E15" s="909"/>
      <c r="F15" s="909"/>
      <c r="G15" s="909"/>
      <c r="H15" s="909"/>
      <c r="I15" s="909"/>
      <c r="J15" s="909"/>
      <c r="K15" s="909"/>
      <c r="L15" s="914"/>
      <c r="M15" s="915"/>
      <c r="N15" s="914"/>
      <c r="O15" s="817" t="s">
        <v>286</v>
      </c>
      <c r="P15" s="817" t="s">
        <v>324</v>
      </c>
      <c r="Q15" s="817" t="s">
        <v>304</v>
      </c>
      <c r="R15" s="817" t="s">
        <v>286</v>
      </c>
      <c r="S15" s="860" t="s">
        <v>287</v>
      </c>
      <c r="T15" s="860" t="s">
        <v>287</v>
      </c>
      <c r="U15" s="860" t="s">
        <v>287</v>
      </c>
      <c r="V15" s="860" t="s">
        <v>287</v>
      </c>
      <c r="W15" s="860" t="s">
        <v>287</v>
      </c>
      <c r="X15" s="860" t="s">
        <v>287</v>
      </c>
      <c r="Y15" s="860" t="s">
        <v>287</v>
      </c>
      <c r="Z15" s="860" t="s">
        <v>287</v>
      </c>
      <c r="AA15" s="860" t="s">
        <v>287</v>
      </c>
      <c r="AB15" s="860" t="s">
        <v>287</v>
      </c>
      <c r="AC15" s="860" t="s">
        <v>286</v>
      </c>
      <c r="AD15" s="860" t="s">
        <v>286</v>
      </c>
      <c r="AE15" s="860" t="s">
        <v>286</v>
      </c>
      <c r="AF15" s="860" t="s">
        <v>286</v>
      </c>
      <c r="AG15" s="860" t="s">
        <v>286</v>
      </c>
      <c r="AH15" s="860" t="s">
        <v>286</v>
      </c>
      <c r="AI15" s="860" t="s">
        <v>286</v>
      </c>
      <c r="AJ15" s="860" t="s">
        <v>286</v>
      </c>
      <c r="AK15" s="860" t="s">
        <v>286</v>
      </c>
      <c r="AL15" s="860" t="s">
        <v>286</v>
      </c>
      <c r="AM15" s="917"/>
    </row>
    <row r="16" spans="1:39">
      <c r="A16" s="861" t="s">
        <v>18</v>
      </c>
      <c r="B16" s="909"/>
      <c r="C16" s="909"/>
      <c r="D16" s="909"/>
      <c r="E16" s="909"/>
      <c r="F16" s="909"/>
      <c r="G16" s="909"/>
      <c r="H16" s="909"/>
      <c r="I16" s="909"/>
      <c r="J16" s="909"/>
      <c r="K16" s="909"/>
      <c r="L16" s="918" t="s">
        <v>2545</v>
      </c>
      <c r="M16" s="755"/>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756"/>
      <c r="AK16" s="756"/>
      <c r="AL16" s="756"/>
      <c r="AM16" s="919"/>
    </row>
    <row r="17" spans="1:39" s="95" customFormat="1" ht="22.5">
      <c r="A17" s="895">
        <v>1</v>
      </c>
      <c r="B17" s="920"/>
      <c r="C17" s="920"/>
      <c r="D17" s="920"/>
      <c r="E17" s="920"/>
      <c r="F17" s="920"/>
      <c r="G17" s="920"/>
      <c r="H17" s="920"/>
      <c r="I17" s="920"/>
      <c r="J17" s="920"/>
      <c r="K17" s="920"/>
      <c r="L17" s="921">
        <v>1</v>
      </c>
      <c r="M17" s="218" t="s">
        <v>375</v>
      </c>
      <c r="N17" s="819" t="s">
        <v>370</v>
      </c>
      <c r="O17" s="922">
        <v>0</v>
      </c>
      <c r="P17" s="922">
        <v>4738.5599999999995</v>
      </c>
      <c r="Q17" s="922">
        <v>4738.5599999999995</v>
      </c>
      <c r="R17" s="922">
        <v>6622.43</v>
      </c>
      <c r="S17" s="922">
        <v>4908.9799999999996</v>
      </c>
      <c r="T17" s="922">
        <v>0</v>
      </c>
      <c r="U17" s="922">
        <v>0</v>
      </c>
      <c r="V17" s="922">
        <v>0</v>
      </c>
      <c r="W17" s="922">
        <v>0</v>
      </c>
      <c r="X17" s="922">
        <v>0</v>
      </c>
      <c r="Y17" s="922">
        <v>0</v>
      </c>
      <c r="Z17" s="922">
        <v>0</v>
      </c>
      <c r="AA17" s="922">
        <v>0</v>
      </c>
      <c r="AB17" s="922">
        <v>0</v>
      </c>
      <c r="AC17" s="922">
        <v>4908.9799999999996</v>
      </c>
      <c r="AD17" s="922">
        <v>0</v>
      </c>
      <c r="AE17" s="922">
        <v>0</v>
      </c>
      <c r="AF17" s="922">
        <v>0</v>
      </c>
      <c r="AG17" s="922">
        <v>0</v>
      </c>
      <c r="AH17" s="922">
        <v>0</v>
      </c>
      <c r="AI17" s="922">
        <v>0</v>
      </c>
      <c r="AJ17" s="922">
        <v>0</v>
      </c>
      <c r="AK17" s="922">
        <v>0</v>
      </c>
      <c r="AL17" s="922">
        <v>0</v>
      </c>
      <c r="AM17" s="868"/>
    </row>
    <row r="18" spans="1:39">
      <c r="A18" s="895">
        <v>1</v>
      </c>
      <c r="B18" s="909"/>
      <c r="C18" s="909"/>
      <c r="D18" s="909"/>
      <c r="E18" s="909"/>
      <c r="F18" s="909"/>
      <c r="G18" s="909"/>
      <c r="H18" s="909"/>
      <c r="I18" s="909"/>
      <c r="J18" s="909"/>
      <c r="K18" s="909"/>
      <c r="L18" s="923">
        <v>1.1000000000000001</v>
      </c>
      <c r="M18" s="222" t="s">
        <v>376</v>
      </c>
      <c r="N18" s="819" t="s">
        <v>370</v>
      </c>
      <c r="O18" s="924"/>
      <c r="P18" s="924">
        <v>1419.65</v>
      </c>
      <c r="Q18" s="924">
        <v>1419.65</v>
      </c>
      <c r="R18" s="924">
        <v>1909.7</v>
      </c>
      <c r="S18" s="924">
        <v>1419.65</v>
      </c>
      <c r="T18" s="924"/>
      <c r="U18" s="924"/>
      <c r="V18" s="924"/>
      <c r="W18" s="924"/>
      <c r="X18" s="924"/>
      <c r="Y18" s="924"/>
      <c r="Z18" s="924"/>
      <c r="AA18" s="924"/>
      <c r="AB18" s="924"/>
      <c r="AC18" s="924">
        <v>1419.65</v>
      </c>
      <c r="AD18" s="924"/>
      <c r="AE18" s="924"/>
      <c r="AF18" s="924"/>
      <c r="AG18" s="924"/>
      <c r="AH18" s="924"/>
      <c r="AI18" s="924"/>
      <c r="AJ18" s="924"/>
      <c r="AK18" s="924"/>
      <c r="AL18" s="924"/>
      <c r="AM18" s="868"/>
    </row>
    <row r="19" spans="1:39">
      <c r="A19" s="895">
        <v>1</v>
      </c>
      <c r="B19" s="909"/>
      <c r="C19" s="909"/>
      <c r="D19" s="909"/>
      <c r="E19" s="909"/>
      <c r="F19" s="909"/>
      <c r="G19" s="909"/>
      <c r="H19" s="909"/>
      <c r="I19" s="909"/>
      <c r="J19" s="909"/>
      <c r="K19" s="909"/>
      <c r="L19" s="923">
        <v>1.2</v>
      </c>
      <c r="M19" s="222" t="s">
        <v>377</v>
      </c>
      <c r="N19" s="819" t="s">
        <v>370</v>
      </c>
      <c r="O19" s="924"/>
      <c r="P19" s="924">
        <v>2218.39</v>
      </c>
      <c r="Q19" s="924">
        <v>2218.39</v>
      </c>
      <c r="R19" s="924">
        <v>3059.88</v>
      </c>
      <c r="S19" s="924">
        <v>2218.39</v>
      </c>
      <c r="T19" s="924"/>
      <c r="U19" s="924"/>
      <c r="V19" s="924"/>
      <c r="W19" s="924"/>
      <c r="X19" s="924"/>
      <c r="Y19" s="924"/>
      <c r="Z19" s="924"/>
      <c r="AA19" s="924"/>
      <c r="AB19" s="924"/>
      <c r="AC19" s="924">
        <v>2218.39</v>
      </c>
      <c r="AD19" s="924"/>
      <c r="AE19" s="924"/>
      <c r="AF19" s="924"/>
      <c r="AG19" s="924"/>
      <c r="AH19" s="924"/>
      <c r="AI19" s="924"/>
      <c r="AJ19" s="924"/>
      <c r="AK19" s="924"/>
      <c r="AL19" s="924"/>
      <c r="AM19" s="868"/>
    </row>
    <row r="20" spans="1:39">
      <c r="A20" s="895">
        <v>1</v>
      </c>
      <c r="B20" s="909"/>
      <c r="C20" s="909"/>
      <c r="D20" s="909"/>
      <c r="E20" s="909"/>
      <c r="F20" s="909"/>
      <c r="G20" s="909"/>
      <c r="H20" s="909"/>
      <c r="I20" s="909"/>
      <c r="J20" s="909"/>
      <c r="K20" s="909"/>
      <c r="L20" s="923">
        <v>1.3</v>
      </c>
      <c r="M20" s="222" t="s">
        <v>379</v>
      </c>
      <c r="N20" s="819" t="s">
        <v>370</v>
      </c>
      <c r="O20" s="924"/>
      <c r="P20" s="924">
        <v>1100.52</v>
      </c>
      <c r="Q20" s="924">
        <v>1100.52</v>
      </c>
      <c r="R20" s="924">
        <v>1652.85</v>
      </c>
      <c r="S20" s="924">
        <v>1270.94</v>
      </c>
      <c r="T20" s="924"/>
      <c r="U20" s="924"/>
      <c r="V20" s="924"/>
      <c r="W20" s="924"/>
      <c r="X20" s="924"/>
      <c r="Y20" s="924"/>
      <c r="Z20" s="924"/>
      <c r="AA20" s="924"/>
      <c r="AB20" s="924"/>
      <c r="AC20" s="924">
        <v>1270.94</v>
      </c>
      <c r="AD20" s="924"/>
      <c r="AE20" s="924"/>
      <c r="AF20" s="924"/>
      <c r="AG20" s="924"/>
      <c r="AH20" s="924"/>
      <c r="AI20" s="924"/>
      <c r="AJ20" s="924"/>
      <c r="AK20" s="924"/>
      <c r="AL20" s="924"/>
      <c r="AM20" s="868"/>
    </row>
    <row r="21" spans="1:39">
      <c r="A21" s="895">
        <v>1</v>
      </c>
      <c r="B21" s="909"/>
      <c r="C21" s="909"/>
      <c r="D21" s="909"/>
      <c r="E21" s="909"/>
      <c r="F21" s="909"/>
      <c r="G21" s="909"/>
      <c r="H21" s="909"/>
      <c r="I21" s="909"/>
      <c r="J21" s="909"/>
      <c r="K21" s="909"/>
      <c r="L21" s="923">
        <v>1.4</v>
      </c>
      <c r="M21" s="222" t="s">
        <v>381</v>
      </c>
      <c r="N21" s="819" t="s">
        <v>370</v>
      </c>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868"/>
    </row>
    <row r="22" spans="1:39">
      <c r="A22" s="895">
        <v>1</v>
      </c>
      <c r="B22" s="909"/>
      <c r="C22" s="909"/>
      <c r="D22" s="909"/>
      <c r="E22" s="909"/>
      <c r="F22" s="909"/>
      <c r="G22" s="909"/>
      <c r="H22" s="909"/>
      <c r="I22" s="909"/>
      <c r="J22" s="909"/>
      <c r="K22" s="909"/>
      <c r="L22" s="923">
        <v>1.5</v>
      </c>
      <c r="M22" s="222" t="s">
        <v>383</v>
      </c>
      <c r="N22" s="819" t="s">
        <v>370</v>
      </c>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868"/>
    </row>
    <row r="23" spans="1:39" s="95" customFormat="1">
      <c r="A23" s="895">
        <v>1</v>
      </c>
      <c r="B23" s="920"/>
      <c r="C23" s="920"/>
      <c r="D23" s="920"/>
      <c r="E23" s="920"/>
      <c r="F23" s="920"/>
      <c r="G23" s="920"/>
      <c r="H23" s="920"/>
      <c r="I23" s="920"/>
      <c r="J23" s="920"/>
      <c r="K23" s="920"/>
      <c r="L23" s="921">
        <v>2</v>
      </c>
      <c r="M23" s="218" t="s">
        <v>384</v>
      </c>
      <c r="N23" s="819" t="s">
        <v>370</v>
      </c>
      <c r="O23" s="922">
        <v>0</v>
      </c>
      <c r="P23" s="922">
        <v>170.42</v>
      </c>
      <c r="Q23" s="922">
        <v>170.42</v>
      </c>
      <c r="R23" s="922">
        <v>0</v>
      </c>
      <c r="S23" s="922">
        <v>0</v>
      </c>
      <c r="T23" s="922">
        <v>0</v>
      </c>
      <c r="U23" s="922">
        <v>0</v>
      </c>
      <c r="V23" s="922">
        <v>0</v>
      </c>
      <c r="W23" s="922">
        <v>0</v>
      </c>
      <c r="X23" s="922">
        <v>0</v>
      </c>
      <c r="Y23" s="922">
        <v>0</v>
      </c>
      <c r="Z23" s="922">
        <v>0</v>
      </c>
      <c r="AA23" s="922">
        <v>0</v>
      </c>
      <c r="AB23" s="922">
        <v>0</v>
      </c>
      <c r="AC23" s="922">
        <v>0</v>
      </c>
      <c r="AD23" s="922">
        <v>0</v>
      </c>
      <c r="AE23" s="922">
        <v>0</v>
      </c>
      <c r="AF23" s="922">
        <v>0</v>
      </c>
      <c r="AG23" s="922">
        <v>0</v>
      </c>
      <c r="AH23" s="922">
        <v>0</v>
      </c>
      <c r="AI23" s="922">
        <v>0</v>
      </c>
      <c r="AJ23" s="922">
        <v>0</v>
      </c>
      <c r="AK23" s="922">
        <v>0</v>
      </c>
      <c r="AL23" s="922">
        <v>0</v>
      </c>
      <c r="AM23" s="868"/>
    </row>
    <row r="24" spans="1:39">
      <c r="A24" s="895">
        <v>1</v>
      </c>
      <c r="B24" s="909"/>
      <c r="C24" s="909"/>
      <c r="D24" s="909"/>
      <c r="E24" s="909"/>
      <c r="F24" s="909"/>
      <c r="G24" s="909"/>
      <c r="H24" s="909"/>
      <c r="I24" s="909"/>
      <c r="J24" s="909"/>
      <c r="K24" s="909"/>
      <c r="L24" s="923">
        <v>2.1</v>
      </c>
      <c r="M24" s="222" t="s">
        <v>376</v>
      </c>
      <c r="N24" s="819" t="s">
        <v>370</v>
      </c>
      <c r="O24" s="924"/>
      <c r="P24" s="924"/>
      <c r="Q24" s="924"/>
      <c r="R24" s="924"/>
      <c r="S24" s="924"/>
      <c r="T24" s="924"/>
      <c r="U24" s="924"/>
      <c r="V24" s="924"/>
      <c r="W24" s="924"/>
      <c r="X24" s="924"/>
      <c r="Y24" s="924"/>
      <c r="Z24" s="924"/>
      <c r="AA24" s="924"/>
      <c r="AB24" s="924"/>
      <c r="AC24" s="924"/>
      <c r="AD24" s="924"/>
      <c r="AE24" s="924"/>
      <c r="AF24" s="924"/>
      <c r="AG24" s="924"/>
      <c r="AH24" s="924"/>
      <c r="AI24" s="924"/>
      <c r="AJ24" s="924"/>
      <c r="AK24" s="924"/>
      <c r="AL24" s="924"/>
      <c r="AM24" s="868"/>
    </row>
    <row r="25" spans="1:39">
      <c r="A25" s="895">
        <v>1</v>
      </c>
      <c r="B25" s="909"/>
      <c r="C25" s="909"/>
      <c r="D25" s="909"/>
      <c r="E25" s="909"/>
      <c r="F25" s="909"/>
      <c r="G25" s="909"/>
      <c r="H25" s="909"/>
      <c r="I25" s="909"/>
      <c r="J25" s="909"/>
      <c r="K25" s="909"/>
      <c r="L25" s="923">
        <v>2.2000000000000002</v>
      </c>
      <c r="M25" s="222" t="s">
        <v>377</v>
      </c>
      <c r="N25" s="819" t="s">
        <v>370</v>
      </c>
      <c r="O25" s="924"/>
      <c r="P25" s="924"/>
      <c r="Q25" s="924"/>
      <c r="R25" s="924"/>
      <c r="S25" s="924"/>
      <c r="T25" s="924"/>
      <c r="U25" s="924"/>
      <c r="V25" s="924"/>
      <c r="W25" s="924"/>
      <c r="X25" s="924"/>
      <c r="Y25" s="924"/>
      <c r="Z25" s="924"/>
      <c r="AA25" s="924"/>
      <c r="AB25" s="924"/>
      <c r="AC25" s="924"/>
      <c r="AD25" s="924"/>
      <c r="AE25" s="924"/>
      <c r="AF25" s="924"/>
      <c r="AG25" s="924"/>
      <c r="AH25" s="924"/>
      <c r="AI25" s="924"/>
      <c r="AJ25" s="924"/>
      <c r="AK25" s="924"/>
      <c r="AL25" s="924"/>
      <c r="AM25" s="868"/>
    </row>
    <row r="26" spans="1:39">
      <c r="A26" s="895">
        <v>1</v>
      </c>
      <c r="B26" s="909"/>
      <c r="C26" s="909"/>
      <c r="D26" s="909"/>
      <c r="E26" s="909"/>
      <c r="F26" s="909"/>
      <c r="G26" s="909"/>
      <c r="H26" s="909"/>
      <c r="I26" s="909"/>
      <c r="J26" s="909"/>
      <c r="K26" s="909"/>
      <c r="L26" s="923">
        <v>2.2999999999999998</v>
      </c>
      <c r="M26" s="222" t="s">
        <v>379</v>
      </c>
      <c r="N26" s="819" t="s">
        <v>370</v>
      </c>
      <c r="O26" s="924"/>
      <c r="P26" s="924">
        <v>170.42</v>
      </c>
      <c r="Q26" s="924">
        <v>170.42</v>
      </c>
      <c r="R26" s="924"/>
      <c r="S26" s="924"/>
      <c r="T26" s="924"/>
      <c r="U26" s="924"/>
      <c r="V26" s="924"/>
      <c r="W26" s="924"/>
      <c r="X26" s="924"/>
      <c r="Y26" s="924"/>
      <c r="Z26" s="924"/>
      <c r="AA26" s="924"/>
      <c r="AB26" s="924"/>
      <c r="AC26" s="924"/>
      <c r="AD26" s="924"/>
      <c r="AE26" s="924"/>
      <c r="AF26" s="924"/>
      <c r="AG26" s="924"/>
      <c r="AH26" s="924"/>
      <c r="AI26" s="924"/>
      <c r="AJ26" s="924"/>
      <c r="AK26" s="924"/>
      <c r="AL26" s="924"/>
      <c r="AM26" s="868"/>
    </row>
    <row r="27" spans="1:39">
      <c r="A27" s="895">
        <v>1</v>
      </c>
      <c r="B27" s="909"/>
      <c r="C27" s="909"/>
      <c r="D27" s="909"/>
      <c r="E27" s="909"/>
      <c r="F27" s="909"/>
      <c r="G27" s="909"/>
      <c r="H27" s="909"/>
      <c r="I27" s="909"/>
      <c r="J27" s="909"/>
      <c r="K27" s="909"/>
      <c r="L27" s="923">
        <v>2.4</v>
      </c>
      <c r="M27" s="222" t="s">
        <v>381</v>
      </c>
      <c r="N27" s="819" t="s">
        <v>370</v>
      </c>
      <c r="O27" s="924"/>
      <c r="P27" s="924"/>
      <c r="Q27" s="924"/>
      <c r="R27" s="924"/>
      <c r="S27" s="924"/>
      <c r="T27" s="924"/>
      <c r="U27" s="924"/>
      <c r="V27" s="924"/>
      <c r="W27" s="924"/>
      <c r="X27" s="924"/>
      <c r="Y27" s="924"/>
      <c r="Z27" s="924"/>
      <c r="AA27" s="924"/>
      <c r="AB27" s="924"/>
      <c r="AC27" s="924"/>
      <c r="AD27" s="924"/>
      <c r="AE27" s="924"/>
      <c r="AF27" s="924"/>
      <c r="AG27" s="924"/>
      <c r="AH27" s="924"/>
      <c r="AI27" s="924"/>
      <c r="AJ27" s="924"/>
      <c r="AK27" s="924"/>
      <c r="AL27" s="924"/>
      <c r="AM27" s="868"/>
    </row>
    <row r="28" spans="1:39">
      <c r="A28" s="895">
        <v>1</v>
      </c>
      <c r="B28" s="909"/>
      <c r="C28" s="909"/>
      <c r="D28" s="909"/>
      <c r="E28" s="909"/>
      <c r="F28" s="909"/>
      <c r="G28" s="909"/>
      <c r="H28" s="909"/>
      <c r="I28" s="909"/>
      <c r="J28" s="909"/>
      <c r="K28" s="909"/>
      <c r="L28" s="923">
        <v>2.5</v>
      </c>
      <c r="M28" s="222" t="s">
        <v>383</v>
      </c>
      <c r="N28" s="819" t="s">
        <v>370</v>
      </c>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868"/>
    </row>
    <row r="29" spans="1:39" s="95" customFormat="1">
      <c r="A29" s="895">
        <v>1</v>
      </c>
      <c r="B29" s="920"/>
      <c r="C29" s="920"/>
      <c r="D29" s="920"/>
      <c r="E29" s="920"/>
      <c r="F29" s="920"/>
      <c r="G29" s="920"/>
      <c r="H29" s="920"/>
      <c r="I29" s="920"/>
      <c r="J29" s="920"/>
      <c r="K29" s="920"/>
      <c r="L29" s="921">
        <v>3</v>
      </c>
      <c r="M29" s="218" t="s">
        <v>386</v>
      </c>
      <c r="N29" s="819" t="s">
        <v>370</v>
      </c>
      <c r="O29" s="922">
        <v>0</v>
      </c>
      <c r="P29" s="922">
        <v>0</v>
      </c>
      <c r="Q29" s="922">
        <v>0</v>
      </c>
      <c r="R29" s="922">
        <v>0</v>
      </c>
      <c r="S29" s="922">
        <v>0</v>
      </c>
      <c r="T29" s="922">
        <v>0</v>
      </c>
      <c r="U29" s="922">
        <v>0</v>
      </c>
      <c r="V29" s="922">
        <v>0</v>
      </c>
      <c r="W29" s="922">
        <v>0</v>
      </c>
      <c r="X29" s="922">
        <v>0</v>
      </c>
      <c r="Y29" s="922">
        <v>0</v>
      </c>
      <c r="Z29" s="922">
        <v>0</v>
      </c>
      <c r="AA29" s="922">
        <v>0</v>
      </c>
      <c r="AB29" s="922">
        <v>0</v>
      </c>
      <c r="AC29" s="922">
        <v>0</v>
      </c>
      <c r="AD29" s="922">
        <v>0</v>
      </c>
      <c r="AE29" s="922">
        <v>0</v>
      </c>
      <c r="AF29" s="922">
        <v>0</v>
      </c>
      <c r="AG29" s="922">
        <v>0</v>
      </c>
      <c r="AH29" s="922">
        <v>0</v>
      </c>
      <c r="AI29" s="922">
        <v>0</v>
      </c>
      <c r="AJ29" s="922">
        <v>0</v>
      </c>
      <c r="AK29" s="922">
        <v>0</v>
      </c>
      <c r="AL29" s="922">
        <v>0</v>
      </c>
      <c r="AM29" s="868"/>
    </row>
    <row r="30" spans="1:39">
      <c r="A30" s="895">
        <v>1</v>
      </c>
      <c r="B30" s="909"/>
      <c r="C30" s="909"/>
      <c r="D30" s="909"/>
      <c r="E30" s="909"/>
      <c r="F30" s="909"/>
      <c r="G30" s="909"/>
      <c r="H30" s="909"/>
      <c r="I30" s="909"/>
      <c r="J30" s="909"/>
      <c r="K30" s="909"/>
      <c r="L30" s="923">
        <v>3.1</v>
      </c>
      <c r="M30" s="222" t="s">
        <v>376</v>
      </c>
      <c r="N30" s="819" t="s">
        <v>370</v>
      </c>
      <c r="O30" s="924"/>
      <c r="P30" s="924"/>
      <c r="Q30" s="924"/>
      <c r="R30" s="924"/>
      <c r="S30" s="924"/>
      <c r="T30" s="924"/>
      <c r="U30" s="924"/>
      <c r="V30" s="924"/>
      <c r="W30" s="924"/>
      <c r="X30" s="924"/>
      <c r="Y30" s="924"/>
      <c r="Z30" s="924"/>
      <c r="AA30" s="924"/>
      <c r="AB30" s="924"/>
      <c r="AC30" s="924"/>
      <c r="AD30" s="924"/>
      <c r="AE30" s="924"/>
      <c r="AF30" s="924"/>
      <c r="AG30" s="924"/>
      <c r="AH30" s="924"/>
      <c r="AI30" s="924"/>
      <c r="AJ30" s="924"/>
      <c r="AK30" s="924"/>
      <c r="AL30" s="924"/>
      <c r="AM30" s="868"/>
    </row>
    <row r="31" spans="1:39">
      <c r="A31" s="895">
        <v>1</v>
      </c>
      <c r="B31" s="909"/>
      <c r="C31" s="909"/>
      <c r="D31" s="909"/>
      <c r="E31" s="909"/>
      <c r="F31" s="909"/>
      <c r="G31" s="909"/>
      <c r="H31" s="909"/>
      <c r="I31" s="909"/>
      <c r="J31" s="909"/>
      <c r="K31" s="909"/>
      <c r="L31" s="923">
        <v>3.2</v>
      </c>
      <c r="M31" s="222" t="s">
        <v>377</v>
      </c>
      <c r="N31" s="819" t="s">
        <v>370</v>
      </c>
      <c r="O31" s="924"/>
      <c r="P31" s="924"/>
      <c r="Q31" s="924"/>
      <c r="R31" s="924"/>
      <c r="S31" s="924"/>
      <c r="T31" s="924"/>
      <c r="U31" s="924"/>
      <c r="V31" s="924"/>
      <c r="W31" s="924"/>
      <c r="X31" s="924"/>
      <c r="Y31" s="924"/>
      <c r="Z31" s="924"/>
      <c r="AA31" s="924"/>
      <c r="AB31" s="924"/>
      <c r="AC31" s="924"/>
      <c r="AD31" s="924"/>
      <c r="AE31" s="924"/>
      <c r="AF31" s="924"/>
      <c r="AG31" s="924"/>
      <c r="AH31" s="924"/>
      <c r="AI31" s="924"/>
      <c r="AJ31" s="924"/>
      <c r="AK31" s="924"/>
      <c r="AL31" s="924"/>
      <c r="AM31" s="868"/>
    </row>
    <row r="32" spans="1:39">
      <c r="A32" s="895">
        <v>1</v>
      </c>
      <c r="B32" s="909"/>
      <c r="C32" s="909"/>
      <c r="D32" s="909"/>
      <c r="E32" s="909"/>
      <c r="F32" s="909"/>
      <c r="G32" s="909"/>
      <c r="H32" s="909"/>
      <c r="I32" s="909"/>
      <c r="J32" s="909"/>
      <c r="K32" s="909"/>
      <c r="L32" s="923">
        <v>3.3</v>
      </c>
      <c r="M32" s="222" t="s">
        <v>379</v>
      </c>
      <c r="N32" s="819" t="s">
        <v>370</v>
      </c>
      <c r="O32" s="924"/>
      <c r="P32" s="924"/>
      <c r="Q32" s="924"/>
      <c r="R32" s="924"/>
      <c r="S32" s="924"/>
      <c r="T32" s="924"/>
      <c r="U32" s="924"/>
      <c r="V32" s="924"/>
      <c r="W32" s="924"/>
      <c r="X32" s="924"/>
      <c r="Y32" s="924"/>
      <c r="Z32" s="924"/>
      <c r="AA32" s="924"/>
      <c r="AB32" s="924"/>
      <c r="AC32" s="924"/>
      <c r="AD32" s="924"/>
      <c r="AE32" s="924"/>
      <c r="AF32" s="924"/>
      <c r="AG32" s="924"/>
      <c r="AH32" s="924"/>
      <c r="AI32" s="924"/>
      <c r="AJ32" s="924"/>
      <c r="AK32" s="924"/>
      <c r="AL32" s="924"/>
      <c r="AM32" s="868"/>
    </row>
    <row r="33" spans="1:39">
      <c r="A33" s="895">
        <v>1</v>
      </c>
      <c r="B33" s="909"/>
      <c r="C33" s="909"/>
      <c r="D33" s="909"/>
      <c r="E33" s="909"/>
      <c r="F33" s="909"/>
      <c r="G33" s="909"/>
      <c r="H33" s="909"/>
      <c r="I33" s="909"/>
      <c r="J33" s="909"/>
      <c r="K33" s="909"/>
      <c r="L33" s="923">
        <v>3.4</v>
      </c>
      <c r="M33" s="222" t="s">
        <v>381</v>
      </c>
      <c r="N33" s="819" t="s">
        <v>370</v>
      </c>
      <c r="O33" s="924"/>
      <c r="P33" s="924"/>
      <c r="Q33" s="924"/>
      <c r="R33" s="924"/>
      <c r="S33" s="924"/>
      <c r="T33" s="924"/>
      <c r="U33" s="924"/>
      <c r="V33" s="924"/>
      <c r="W33" s="924"/>
      <c r="X33" s="924"/>
      <c r="Y33" s="924"/>
      <c r="Z33" s="924"/>
      <c r="AA33" s="924"/>
      <c r="AB33" s="924"/>
      <c r="AC33" s="924"/>
      <c r="AD33" s="924"/>
      <c r="AE33" s="924"/>
      <c r="AF33" s="924"/>
      <c r="AG33" s="924"/>
      <c r="AH33" s="924"/>
      <c r="AI33" s="924"/>
      <c r="AJ33" s="924"/>
      <c r="AK33" s="924"/>
      <c r="AL33" s="924"/>
      <c r="AM33" s="868"/>
    </row>
    <row r="34" spans="1:39">
      <c r="A34" s="895">
        <v>1</v>
      </c>
      <c r="B34" s="909"/>
      <c r="C34" s="909"/>
      <c r="D34" s="909"/>
      <c r="E34" s="909"/>
      <c r="F34" s="909"/>
      <c r="G34" s="909"/>
      <c r="H34" s="909"/>
      <c r="I34" s="909"/>
      <c r="J34" s="909"/>
      <c r="K34" s="909"/>
      <c r="L34" s="923">
        <v>3.5</v>
      </c>
      <c r="M34" s="222" t="s">
        <v>383</v>
      </c>
      <c r="N34" s="819" t="s">
        <v>370</v>
      </c>
      <c r="O34" s="924"/>
      <c r="P34" s="924"/>
      <c r="Q34" s="924"/>
      <c r="R34" s="924"/>
      <c r="S34" s="924"/>
      <c r="T34" s="924"/>
      <c r="U34" s="924"/>
      <c r="V34" s="924"/>
      <c r="W34" s="924"/>
      <c r="X34" s="924"/>
      <c r="Y34" s="924"/>
      <c r="Z34" s="924"/>
      <c r="AA34" s="924"/>
      <c r="AB34" s="924"/>
      <c r="AC34" s="924"/>
      <c r="AD34" s="924"/>
      <c r="AE34" s="924"/>
      <c r="AF34" s="924"/>
      <c r="AG34" s="924"/>
      <c r="AH34" s="924"/>
      <c r="AI34" s="924"/>
      <c r="AJ34" s="924"/>
      <c r="AK34" s="924"/>
      <c r="AL34" s="924"/>
      <c r="AM34" s="868"/>
    </row>
    <row r="35" spans="1:39" s="95" customFormat="1" ht="22.5">
      <c r="A35" s="895">
        <v>1</v>
      </c>
      <c r="B35" s="920"/>
      <c r="C35" s="920"/>
      <c r="D35" s="920"/>
      <c r="E35" s="920"/>
      <c r="F35" s="920"/>
      <c r="G35" s="920"/>
      <c r="H35" s="920"/>
      <c r="I35" s="920"/>
      <c r="J35" s="920"/>
      <c r="K35" s="920"/>
      <c r="L35" s="921">
        <v>4</v>
      </c>
      <c r="M35" s="218" t="s">
        <v>390</v>
      </c>
      <c r="N35" s="819" t="s">
        <v>370</v>
      </c>
      <c r="O35" s="922">
        <v>0</v>
      </c>
      <c r="P35" s="922">
        <v>4908.9799999999996</v>
      </c>
      <c r="Q35" s="922">
        <v>4908.9799999999996</v>
      </c>
      <c r="R35" s="922">
        <v>6622.43</v>
      </c>
      <c r="S35" s="922">
        <v>4908.9799999999996</v>
      </c>
      <c r="T35" s="922">
        <v>0</v>
      </c>
      <c r="U35" s="922">
        <v>0</v>
      </c>
      <c r="V35" s="922">
        <v>0</v>
      </c>
      <c r="W35" s="922">
        <v>0</v>
      </c>
      <c r="X35" s="922">
        <v>0</v>
      </c>
      <c r="Y35" s="922">
        <v>0</v>
      </c>
      <c r="Z35" s="922">
        <v>0</v>
      </c>
      <c r="AA35" s="922">
        <v>0</v>
      </c>
      <c r="AB35" s="922">
        <v>0</v>
      </c>
      <c r="AC35" s="922">
        <v>4908.9799999999996</v>
      </c>
      <c r="AD35" s="922">
        <v>0</v>
      </c>
      <c r="AE35" s="922">
        <v>0</v>
      </c>
      <c r="AF35" s="922">
        <v>0</v>
      </c>
      <c r="AG35" s="922">
        <v>0</v>
      </c>
      <c r="AH35" s="922">
        <v>0</v>
      </c>
      <c r="AI35" s="922">
        <v>0</v>
      </c>
      <c r="AJ35" s="922">
        <v>0</v>
      </c>
      <c r="AK35" s="922">
        <v>0</v>
      </c>
      <c r="AL35" s="922">
        <v>0</v>
      </c>
      <c r="AM35" s="868"/>
    </row>
    <row r="36" spans="1:39">
      <c r="A36" s="895">
        <v>1</v>
      </c>
      <c r="B36" s="909"/>
      <c r="C36" s="909"/>
      <c r="D36" s="909"/>
      <c r="E36" s="909"/>
      <c r="F36" s="909"/>
      <c r="G36" s="909"/>
      <c r="H36" s="909"/>
      <c r="I36" s="909"/>
      <c r="J36" s="909"/>
      <c r="K36" s="909"/>
      <c r="L36" s="923">
        <v>4.0999999999999996</v>
      </c>
      <c r="M36" s="222" t="s">
        <v>376</v>
      </c>
      <c r="N36" s="819" t="s">
        <v>370</v>
      </c>
      <c r="O36" s="924">
        <v>0</v>
      </c>
      <c r="P36" s="924">
        <v>1419.65</v>
      </c>
      <c r="Q36" s="924">
        <v>1419.65</v>
      </c>
      <c r="R36" s="924">
        <v>1909.7</v>
      </c>
      <c r="S36" s="924">
        <v>1419.65</v>
      </c>
      <c r="T36" s="924">
        <v>0</v>
      </c>
      <c r="U36" s="924">
        <v>0</v>
      </c>
      <c r="V36" s="924">
        <v>0</v>
      </c>
      <c r="W36" s="924">
        <v>0</v>
      </c>
      <c r="X36" s="924">
        <v>0</v>
      </c>
      <c r="Y36" s="924">
        <v>0</v>
      </c>
      <c r="Z36" s="924">
        <v>0</v>
      </c>
      <c r="AA36" s="924">
        <v>0</v>
      </c>
      <c r="AB36" s="924">
        <v>0</v>
      </c>
      <c r="AC36" s="924">
        <v>1419.65</v>
      </c>
      <c r="AD36" s="924">
        <v>0</v>
      </c>
      <c r="AE36" s="924">
        <v>0</v>
      </c>
      <c r="AF36" s="924">
        <v>0</v>
      </c>
      <c r="AG36" s="924">
        <v>0</v>
      </c>
      <c r="AH36" s="924">
        <v>0</v>
      </c>
      <c r="AI36" s="924">
        <v>0</v>
      </c>
      <c r="AJ36" s="924">
        <v>0</v>
      </c>
      <c r="AK36" s="924">
        <v>0</v>
      </c>
      <c r="AL36" s="924">
        <v>0</v>
      </c>
      <c r="AM36" s="868"/>
    </row>
    <row r="37" spans="1:39">
      <c r="A37" s="895">
        <v>1</v>
      </c>
      <c r="B37" s="909"/>
      <c r="C37" s="909"/>
      <c r="D37" s="909"/>
      <c r="E37" s="909"/>
      <c r="F37" s="909"/>
      <c r="G37" s="909"/>
      <c r="H37" s="909"/>
      <c r="I37" s="909"/>
      <c r="J37" s="909"/>
      <c r="K37" s="909"/>
      <c r="L37" s="923">
        <v>4.2</v>
      </c>
      <c r="M37" s="222" t="s">
        <v>377</v>
      </c>
      <c r="N37" s="819" t="s">
        <v>370</v>
      </c>
      <c r="O37" s="924">
        <v>0</v>
      </c>
      <c r="P37" s="924">
        <v>2218.39</v>
      </c>
      <c r="Q37" s="924">
        <v>2218.39</v>
      </c>
      <c r="R37" s="924">
        <v>3059.88</v>
      </c>
      <c r="S37" s="924">
        <v>2218.39</v>
      </c>
      <c r="T37" s="924">
        <v>0</v>
      </c>
      <c r="U37" s="924">
        <v>0</v>
      </c>
      <c r="V37" s="924">
        <v>0</v>
      </c>
      <c r="W37" s="924">
        <v>0</v>
      </c>
      <c r="X37" s="924">
        <v>0</v>
      </c>
      <c r="Y37" s="924">
        <v>0</v>
      </c>
      <c r="Z37" s="924">
        <v>0</v>
      </c>
      <c r="AA37" s="924">
        <v>0</v>
      </c>
      <c r="AB37" s="924">
        <v>0</v>
      </c>
      <c r="AC37" s="924">
        <v>2218.39</v>
      </c>
      <c r="AD37" s="924">
        <v>0</v>
      </c>
      <c r="AE37" s="924">
        <v>0</v>
      </c>
      <c r="AF37" s="924">
        <v>0</v>
      </c>
      <c r="AG37" s="924">
        <v>0</v>
      </c>
      <c r="AH37" s="924">
        <v>0</v>
      </c>
      <c r="AI37" s="924">
        <v>0</v>
      </c>
      <c r="AJ37" s="924">
        <v>0</v>
      </c>
      <c r="AK37" s="924">
        <v>0</v>
      </c>
      <c r="AL37" s="924">
        <v>0</v>
      </c>
      <c r="AM37" s="868"/>
    </row>
    <row r="38" spans="1:39">
      <c r="A38" s="895">
        <v>1</v>
      </c>
      <c r="B38" s="909"/>
      <c r="C38" s="909"/>
      <c r="D38" s="909"/>
      <c r="E38" s="909"/>
      <c r="F38" s="909"/>
      <c r="G38" s="909"/>
      <c r="H38" s="909"/>
      <c r="I38" s="909"/>
      <c r="J38" s="909"/>
      <c r="K38" s="909"/>
      <c r="L38" s="923">
        <v>4.3</v>
      </c>
      <c r="M38" s="222" t="s">
        <v>379</v>
      </c>
      <c r="N38" s="819" t="s">
        <v>370</v>
      </c>
      <c r="O38" s="924">
        <v>0</v>
      </c>
      <c r="P38" s="924">
        <v>1270.94</v>
      </c>
      <c r="Q38" s="924">
        <v>1270.94</v>
      </c>
      <c r="R38" s="924">
        <v>1652.85</v>
      </c>
      <c r="S38" s="924">
        <v>1270.94</v>
      </c>
      <c r="T38" s="924">
        <v>0</v>
      </c>
      <c r="U38" s="924">
        <v>0</v>
      </c>
      <c r="V38" s="924">
        <v>0</v>
      </c>
      <c r="W38" s="924">
        <v>0</v>
      </c>
      <c r="X38" s="924">
        <v>0</v>
      </c>
      <c r="Y38" s="924">
        <v>0</v>
      </c>
      <c r="Z38" s="924">
        <v>0</v>
      </c>
      <c r="AA38" s="924">
        <v>0</v>
      </c>
      <c r="AB38" s="924">
        <v>0</v>
      </c>
      <c r="AC38" s="924">
        <v>1270.94</v>
      </c>
      <c r="AD38" s="924">
        <v>0</v>
      </c>
      <c r="AE38" s="924">
        <v>0</v>
      </c>
      <c r="AF38" s="924">
        <v>0</v>
      </c>
      <c r="AG38" s="924">
        <v>0</v>
      </c>
      <c r="AH38" s="924">
        <v>0</v>
      </c>
      <c r="AI38" s="924">
        <v>0</v>
      </c>
      <c r="AJ38" s="924">
        <v>0</v>
      </c>
      <c r="AK38" s="924">
        <v>0</v>
      </c>
      <c r="AL38" s="924">
        <v>0</v>
      </c>
      <c r="AM38" s="868"/>
    </row>
    <row r="39" spans="1:39">
      <c r="A39" s="895">
        <v>1</v>
      </c>
      <c r="B39" s="909"/>
      <c r="C39" s="909"/>
      <c r="D39" s="909"/>
      <c r="E39" s="909"/>
      <c r="F39" s="909"/>
      <c r="G39" s="909"/>
      <c r="H39" s="909"/>
      <c r="I39" s="909"/>
      <c r="J39" s="909"/>
      <c r="K39" s="909"/>
      <c r="L39" s="923">
        <v>4.4000000000000004</v>
      </c>
      <c r="M39" s="222" t="s">
        <v>381</v>
      </c>
      <c r="N39" s="819" t="s">
        <v>370</v>
      </c>
      <c r="O39" s="924">
        <v>0</v>
      </c>
      <c r="P39" s="924">
        <v>0</v>
      </c>
      <c r="Q39" s="924">
        <v>0</v>
      </c>
      <c r="R39" s="924">
        <v>0</v>
      </c>
      <c r="S39" s="924">
        <v>0</v>
      </c>
      <c r="T39" s="924">
        <v>0</v>
      </c>
      <c r="U39" s="924">
        <v>0</v>
      </c>
      <c r="V39" s="924">
        <v>0</v>
      </c>
      <c r="W39" s="924">
        <v>0</v>
      </c>
      <c r="X39" s="924">
        <v>0</v>
      </c>
      <c r="Y39" s="924">
        <v>0</v>
      </c>
      <c r="Z39" s="924">
        <v>0</v>
      </c>
      <c r="AA39" s="924">
        <v>0</v>
      </c>
      <c r="AB39" s="924">
        <v>0</v>
      </c>
      <c r="AC39" s="924">
        <v>0</v>
      </c>
      <c r="AD39" s="924">
        <v>0</v>
      </c>
      <c r="AE39" s="924">
        <v>0</v>
      </c>
      <c r="AF39" s="924">
        <v>0</v>
      </c>
      <c r="AG39" s="924">
        <v>0</v>
      </c>
      <c r="AH39" s="924">
        <v>0</v>
      </c>
      <c r="AI39" s="924">
        <v>0</v>
      </c>
      <c r="AJ39" s="924">
        <v>0</v>
      </c>
      <c r="AK39" s="924">
        <v>0</v>
      </c>
      <c r="AL39" s="924">
        <v>0</v>
      </c>
      <c r="AM39" s="868"/>
    </row>
    <row r="40" spans="1:39">
      <c r="A40" s="895">
        <v>1</v>
      </c>
      <c r="B40" s="909"/>
      <c r="C40" s="909"/>
      <c r="D40" s="909"/>
      <c r="E40" s="909"/>
      <c r="F40" s="909"/>
      <c r="G40" s="909"/>
      <c r="H40" s="909"/>
      <c r="I40" s="909"/>
      <c r="J40" s="909"/>
      <c r="K40" s="909"/>
      <c r="L40" s="923">
        <v>4.5</v>
      </c>
      <c r="M40" s="222" t="s">
        <v>383</v>
      </c>
      <c r="N40" s="819" t="s">
        <v>370</v>
      </c>
      <c r="O40" s="924">
        <v>0</v>
      </c>
      <c r="P40" s="924">
        <v>0</v>
      </c>
      <c r="Q40" s="924">
        <v>0</v>
      </c>
      <c r="R40" s="924">
        <v>0</v>
      </c>
      <c r="S40" s="924">
        <v>0</v>
      </c>
      <c r="T40" s="924">
        <v>0</v>
      </c>
      <c r="U40" s="924">
        <v>0</v>
      </c>
      <c r="V40" s="924">
        <v>0</v>
      </c>
      <c r="W40" s="924">
        <v>0</v>
      </c>
      <c r="X40" s="924">
        <v>0</v>
      </c>
      <c r="Y40" s="924">
        <v>0</v>
      </c>
      <c r="Z40" s="924">
        <v>0</v>
      </c>
      <c r="AA40" s="924">
        <v>0</v>
      </c>
      <c r="AB40" s="924">
        <v>0</v>
      </c>
      <c r="AC40" s="924">
        <v>0</v>
      </c>
      <c r="AD40" s="924">
        <v>0</v>
      </c>
      <c r="AE40" s="924">
        <v>0</v>
      </c>
      <c r="AF40" s="924">
        <v>0</v>
      </c>
      <c r="AG40" s="924">
        <v>0</v>
      </c>
      <c r="AH40" s="924">
        <v>0</v>
      </c>
      <c r="AI40" s="924">
        <v>0</v>
      </c>
      <c r="AJ40" s="924">
        <v>0</v>
      </c>
      <c r="AK40" s="924">
        <v>0</v>
      </c>
      <c r="AL40" s="924">
        <v>0</v>
      </c>
      <c r="AM40" s="868"/>
    </row>
    <row r="41" spans="1:39" s="95" customFormat="1">
      <c r="A41" s="895">
        <v>1</v>
      </c>
      <c r="B41" s="920"/>
      <c r="C41" s="920"/>
      <c r="D41" s="920"/>
      <c r="E41" s="920"/>
      <c r="F41" s="920"/>
      <c r="G41" s="920"/>
      <c r="H41" s="920"/>
      <c r="I41" s="920"/>
      <c r="J41" s="920"/>
      <c r="K41" s="920"/>
      <c r="L41" s="921">
        <v>5</v>
      </c>
      <c r="M41" s="218" t="s">
        <v>395</v>
      </c>
      <c r="N41" s="819" t="s">
        <v>370</v>
      </c>
      <c r="O41" s="922">
        <v>0</v>
      </c>
      <c r="P41" s="922">
        <v>4908.9799999999996</v>
      </c>
      <c r="Q41" s="922">
        <v>4908.9799999999996</v>
      </c>
      <c r="R41" s="922">
        <v>6622.43</v>
      </c>
      <c r="S41" s="922">
        <v>4908.9799999999996</v>
      </c>
      <c r="T41" s="922">
        <v>0</v>
      </c>
      <c r="U41" s="922">
        <v>0</v>
      </c>
      <c r="V41" s="922">
        <v>0</v>
      </c>
      <c r="W41" s="922">
        <v>0</v>
      </c>
      <c r="X41" s="922">
        <v>0</v>
      </c>
      <c r="Y41" s="922">
        <v>0</v>
      </c>
      <c r="Z41" s="922">
        <v>0</v>
      </c>
      <c r="AA41" s="922">
        <v>0</v>
      </c>
      <c r="AB41" s="922">
        <v>0</v>
      </c>
      <c r="AC41" s="922">
        <v>4908.9799999999996</v>
      </c>
      <c r="AD41" s="922">
        <v>0</v>
      </c>
      <c r="AE41" s="922">
        <v>0</v>
      </c>
      <c r="AF41" s="922">
        <v>0</v>
      </c>
      <c r="AG41" s="922">
        <v>0</v>
      </c>
      <c r="AH41" s="922">
        <v>0</v>
      </c>
      <c r="AI41" s="922">
        <v>0</v>
      </c>
      <c r="AJ41" s="922">
        <v>0</v>
      </c>
      <c r="AK41" s="922">
        <v>0</v>
      </c>
      <c r="AL41" s="922">
        <v>0</v>
      </c>
      <c r="AM41" s="868"/>
    </row>
    <row r="42" spans="1:39">
      <c r="A42" s="895">
        <v>1</v>
      </c>
      <c r="B42" s="909"/>
      <c r="C42" s="909"/>
      <c r="D42" s="909"/>
      <c r="E42" s="909"/>
      <c r="F42" s="909"/>
      <c r="G42" s="909"/>
      <c r="H42" s="909"/>
      <c r="I42" s="909"/>
      <c r="J42" s="909"/>
      <c r="K42" s="909"/>
      <c r="L42" s="923">
        <v>5.0999999999999996</v>
      </c>
      <c r="M42" s="222" t="s">
        <v>376</v>
      </c>
      <c r="N42" s="819" t="s">
        <v>370</v>
      </c>
      <c r="O42" s="924">
        <v>0</v>
      </c>
      <c r="P42" s="924">
        <v>1419.65</v>
      </c>
      <c r="Q42" s="924">
        <v>1419.65</v>
      </c>
      <c r="R42" s="924">
        <v>1909.7</v>
      </c>
      <c r="S42" s="924">
        <v>1419.65</v>
      </c>
      <c r="T42" s="924">
        <v>0</v>
      </c>
      <c r="U42" s="924">
        <v>0</v>
      </c>
      <c r="V42" s="924">
        <v>0</v>
      </c>
      <c r="W42" s="924">
        <v>0</v>
      </c>
      <c r="X42" s="924">
        <v>0</v>
      </c>
      <c r="Y42" s="924">
        <v>0</v>
      </c>
      <c r="Z42" s="924">
        <v>0</v>
      </c>
      <c r="AA42" s="924">
        <v>0</v>
      </c>
      <c r="AB42" s="924">
        <v>0</v>
      </c>
      <c r="AC42" s="924">
        <v>1419.65</v>
      </c>
      <c r="AD42" s="924">
        <v>0</v>
      </c>
      <c r="AE42" s="924">
        <v>0</v>
      </c>
      <c r="AF42" s="924">
        <v>0</v>
      </c>
      <c r="AG42" s="924">
        <v>0</v>
      </c>
      <c r="AH42" s="924">
        <v>0</v>
      </c>
      <c r="AI42" s="924">
        <v>0</v>
      </c>
      <c r="AJ42" s="924">
        <v>0</v>
      </c>
      <c r="AK42" s="924">
        <v>0</v>
      </c>
      <c r="AL42" s="924">
        <v>0</v>
      </c>
      <c r="AM42" s="868"/>
    </row>
    <row r="43" spans="1:39">
      <c r="A43" s="895">
        <v>1</v>
      </c>
      <c r="B43" s="909"/>
      <c r="C43" s="909"/>
      <c r="D43" s="909"/>
      <c r="E43" s="909"/>
      <c r="F43" s="909"/>
      <c r="G43" s="909"/>
      <c r="H43" s="909"/>
      <c r="I43" s="909"/>
      <c r="J43" s="909"/>
      <c r="K43" s="909"/>
      <c r="L43" s="923">
        <v>5.2</v>
      </c>
      <c r="M43" s="222" t="s">
        <v>377</v>
      </c>
      <c r="N43" s="819" t="s">
        <v>370</v>
      </c>
      <c r="O43" s="924">
        <v>0</v>
      </c>
      <c r="P43" s="924">
        <v>2218.39</v>
      </c>
      <c r="Q43" s="924">
        <v>2218.39</v>
      </c>
      <c r="R43" s="924">
        <v>3059.88</v>
      </c>
      <c r="S43" s="924">
        <v>2218.39</v>
      </c>
      <c r="T43" s="924">
        <v>0</v>
      </c>
      <c r="U43" s="924">
        <v>0</v>
      </c>
      <c r="V43" s="924">
        <v>0</v>
      </c>
      <c r="W43" s="924">
        <v>0</v>
      </c>
      <c r="X43" s="924">
        <v>0</v>
      </c>
      <c r="Y43" s="924">
        <v>0</v>
      </c>
      <c r="Z43" s="924">
        <v>0</v>
      </c>
      <c r="AA43" s="924">
        <v>0</v>
      </c>
      <c r="AB43" s="924">
        <v>0</v>
      </c>
      <c r="AC43" s="924">
        <v>2218.39</v>
      </c>
      <c r="AD43" s="924">
        <v>0</v>
      </c>
      <c r="AE43" s="924">
        <v>0</v>
      </c>
      <c r="AF43" s="924">
        <v>0</v>
      </c>
      <c r="AG43" s="924">
        <v>0</v>
      </c>
      <c r="AH43" s="924">
        <v>0</v>
      </c>
      <c r="AI43" s="924">
        <v>0</v>
      </c>
      <c r="AJ43" s="924">
        <v>0</v>
      </c>
      <c r="AK43" s="924">
        <v>0</v>
      </c>
      <c r="AL43" s="924">
        <v>0</v>
      </c>
      <c r="AM43" s="868"/>
    </row>
    <row r="44" spans="1:39">
      <c r="A44" s="895">
        <v>1</v>
      </c>
      <c r="B44" s="909"/>
      <c r="C44" s="909"/>
      <c r="D44" s="909"/>
      <c r="E44" s="909"/>
      <c r="F44" s="909"/>
      <c r="G44" s="909"/>
      <c r="H44" s="909"/>
      <c r="I44" s="909"/>
      <c r="J44" s="909"/>
      <c r="K44" s="909"/>
      <c r="L44" s="923">
        <v>5.3</v>
      </c>
      <c r="M44" s="222" t="s">
        <v>379</v>
      </c>
      <c r="N44" s="819" t="s">
        <v>370</v>
      </c>
      <c r="O44" s="924">
        <v>0</v>
      </c>
      <c r="P44" s="924">
        <v>1270.94</v>
      </c>
      <c r="Q44" s="924">
        <v>1270.94</v>
      </c>
      <c r="R44" s="924">
        <v>1652.85</v>
      </c>
      <c r="S44" s="924">
        <v>1270.94</v>
      </c>
      <c r="T44" s="924">
        <v>0</v>
      </c>
      <c r="U44" s="924">
        <v>0</v>
      </c>
      <c r="V44" s="924">
        <v>0</v>
      </c>
      <c r="W44" s="924">
        <v>0</v>
      </c>
      <c r="X44" s="924">
        <v>0</v>
      </c>
      <c r="Y44" s="924">
        <v>0</v>
      </c>
      <c r="Z44" s="924">
        <v>0</v>
      </c>
      <c r="AA44" s="924">
        <v>0</v>
      </c>
      <c r="AB44" s="924">
        <v>0</v>
      </c>
      <c r="AC44" s="924">
        <v>1270.94</v>
      </c>
      <c r="AD44" s="924">
        <v>0</v>
      </c>
      <c r="AE44" s="924">
        <v>0</v>
      </c>
      <c r="AF44" s="924">
        <v>0</v>
      </c>
      <c r="AG44" s="924">
        <v>0</v>
      </c>
      <c r="AH44" s="924">
        <v>0</v>
      </c>
      <c r="AI44" s="924">
        <v>0</v>
      </c>
      <c r="AJ44" s="924">
        <v>0</v>
      </c>
      <c r="AK44" s="924">
        <v>0</v>
      </c>
      <c r="AL44" s="924">
        <v>0</v>
      </c>
      <c r="AM44" s="868"/>
    </row>
    <row r="45" spans="1:39">
      <c r="A45" s="895">
        <v>1</v>
      </c>
      <c r="B45" s="909"/>
      <c r="C45" s="909"/>
      <c r="D45" s="909"/>
      <c r="E45" s="909"/>
      <c r="F45" s="909"/>
      <c r="G45" s="909"/>
      <c r="H45" s="909"/>
      <c r="I45" s="909"/>
      <c r="J45" s="909"/>
      <c r="K45" s="909"/>
      <c r="L45" s="923">
        <v>5.4</v>
      </c>
      <c r="M45" s="222" t="s">
        <v>381</v>
      </c>
      <c r="N45" s="819" t="s">
        <v>370</v>
      </c>
      <c r="O45" s="924">
        <v>0</v>
      </c>
      <c r="P45" s="924">
        <v>0</v>
      </c>
      <c r="Q45" s="924">
        <v>0</v>
      </c>
      <c r="R45" s="924">
        <v>0</v>
      </c>
      <c r="S45" s="924">
        <v>0</v>
      </c>
      <c r="T45" s="924">
        <v>0</v>
      </c>
      <c r="U45" s="924">
        <v>0</v>
      </c>
      <c r="V45" s="924">
        <v>0</v>
      </c>
      <c r="W45" s="924">
        <v>0</v>
      </c>
      <c r="X45" s="924">
        <v>0</v>
      </c>
      <c r="Y45" s="924">
        <v>0</v>
      </c>
      <c r="Z45" s="924">
        <v>0</v>
      </c>
      <c r="AA45" s="924">
        <v>0</v>
      </c>
      <c r="AB45" s="924">
        <v>0</v>
      </c>
      <c r="AC45" s="924">
        <v>0</v>
      </c>
      <c r="AD45" s="924">
        <v>0</v>
      </c>
      <c r="AE45" s="924">
        <v>0</v>
      </c>
      <c r="AF45" s="924">
        <v>0</v>
      </c>
      <c r="AG45" s="924">
        <v>0</v>
      </c>
      <c r="AH45" s="924">
        <v>0</v>
      </c>
      <c r="AI45" s="924">
        <v>0</v>
      </c>
      <c r="AJ45" s="924">
        <v>0</v>
      </c>
      <c r="AK45" s="924">
        <v>0</v>
      </c>
      <c r="AL45" s="924">
        <v>0</v>
      </c>
      <c r="AM45" s="868"/>
    </row>
    <row r="46" spans="1:39">
      <c r="A46" s="895">
        <v>1</v>
      </c>
      <c r="B46" s="909"/>
      <c r="C46" s="909"/>
      <c r="D46" s="909"/>
      <c r="E46" s="909"/>
      <c r="F46" s="909"/>
      <c r="G46" s="909"/>
      <c r="H46" s="909"/>
      <c r="I46" s="909"/>
      <c r="J46" s="909"/>
      <c r="K46" s="909"/>
      <c r="L46" s="923">
        <v>5.5</v>
      </c>
      <c r="M46" s="222" t="s">
        <v>383</v>
      </c>
      <c r="N46" s="819" t="s">
        <v>370</v>
      </c>
      <c r="O46" s="924">
        <v>0</v>
      </c>
      <c r="P46" s="924">
        <v>0</v>
      </c>
      <c r="Q46" s="924">
        <v>0</v>
      </c>
      <c r="R46" s="924">
        <v>0</v>
      </c>
      <c r="S46" s="924">
        <v>0</v>
      </c>
      <c r="T46" s="924">
        <v>0</v>
      </c>
      <c r="U46" s="924">
        <v>0</v>
      </c>
      <c r="V46" s="924">
        <v>0</v>
      </c>
      <c r="W46" s="924">
        <v>0</v>
      </c>
      <c r="X46" s="924">
        <v>0</v>
      </c>
      <c r="Y46" s="924">
        <v>0</v>
      </c>
      <c r="Z46" s="924">
        <v>0</v>
      </c>
      <c r="AA46" s="924">
        <v>0</v>
      </c>
      <c r="AB46" s="924">
        <v>0</v>
      </c>
      <c r="AC46" s="924">
        <v>0</v>
      </c>
      <c r="AD46" s="924">
        <v>0</v>
      </c>
      <c r="AE46" s="924">
        <v>0</v>
      </c>
      <c r="AF46" s="924">
        <v>0</v>
      </c>
      <c r="AG46" s="924">
        <v>0</v>
      </c>
      <c r="AH46" s="924">
        <v>0</v>
      </c>
      <c r="AI46" s="924">
        <v>0</v>
      </c>
      <c r="AJ46" s="924">
        <v>0</v>
      </c>
      <c r="AK46" s="924">
        <v>0</v>
      </c>
      <c r="AL46" s="924">
        <v>0</v>
      </c>
      <c r="AM46" s="868"/>
    </row>
    <row r="47" spans="1:39" s="95" customFormat="1" ht="22.5">
      <c r="A47" s="895">
        <v>1</v>
      </c>
      <c r="B47" s="920"/>
      <c r="C47" s="920"/>
      <c r="D47" s="920"/>
      <c r="E47" s="920"/>
      <c r="F47" s="920"/>
      <c r="G47" s="920"/>
      <c r="H47" s="920"/>
      <c r="I47" s="920"/>
      <c r="J47" s="920"/>
      <c r="K47" s="920"/>
      <c r="L47" s="921">
        <v>6</v>
      </c>
      <c r="M47" s="218" t="s">
        <v>399</v>
      </c>
      <c r="N47" s="224"/>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868"/>
    </row>
    <row r="48" spans="1:39">
      <c r="A48" s="895">
        <v>1</v>
      </c>
      <c r="B48" s="909"/>
      <c r="C48" s="909"/>
      <c r="D48" s="909"/>
      <c r="E48" s="909"/>
      <c r="F48" s="909"/>
      <c r="G48" s="909"/>
      <c r="H48" s="909"/>
      <c r="I48" s="909"/>
      <c r="J48" s="909"/>
      <c r="K48" s="909"/>
      <c r="L48" s="923">
        <v>6.1</v>
      </c>
      <c r="M48" s="222" t="s">
        <v>376</v>
      </c>
      <c r="N48" s="219" t="s">
        <v>145</v>
      </c>
      <c r="O48" s="924">
        <v>0</v>
      </c>
      <c r="P48" s="924">
        <v>1.4087979431550028</v>
      </c>
      <c r="Q48" s="924">
        <v>1.4087979431550028</v>
      </c>
      <c r="R48" s="924">
        <v>0.1204377650939938</v>
      </c>
      <c r="S48" s="924">
        <v>1.4087979431550028</v>
      </c>
      <c r="T48" s="924">
        <v>0</v>
      </c>
      <c r="U48" s="924">
        <v>0</v>
      </c>
      <c r="V48" s="924">
        <v>0</v>
      </c>
      <c r="W48" s="924">
        <v>0</v>
      </c>
      <c r="X48" s="924">
        <v>0</v>
      </c>
      <c r="Y48" s="924">
        <v>0</v>
      </c>
      <c r="Z48" s="924">
        <v>0</v>
      </c>
      <c r="AA48" s="924">
        <v>0</v>
      </c>
      <c r="AB48" s="924">
        <v>0</v>
      </c>
      <c r="AC48" s="924">
        <v>1.4087979431550028</v>
      </c>
      <c r="AD48" s="924">
        <v>0</v>
      </c>
      <c r="AE48" s="924">
        <v>0</v>
      </c>
      <c r="AF48" s="924">
        <v>0</v>
      </c>
      <c r="AG48" s="924">
        <v>0</v>
      </c>
      <c r="AH48" s="924">
        <v>0</v>
      </c>
      <c r="AI48" s="924">
        <v>0</v>
      </c>
      <c r="AJ48" s="924">
        <v>0</v>
      </c>
      <c r="AK48" s="924">
        <v>0</v>
      </c>
      <c r="AL48" s="924">
        <v>0</v>
      </c>
      <c r="AM48" s="868"/>
    </row>
    <row r="49" spans="1:39">
      <c r="A49" s="895">
        <v>1</v>
      </c>
      <c r="B49" s="909"/>
      <c r="C49" s="909"/>
      <c r="D49" s="909"/>
      <c r="E49" s="909"/>
      <c r="F49" s="909"/>
      <c r="G49" s="909"/>
      <c r="H49" s="909"/>
      <c r="I49" s="909"/>
      <c r="J49" s="909"/>
      <c r="K49" s="909"/>
      <c r="L49" s="923">
        <v>6.2</v>
      </c>
      <c r="M49" s="222" t="s">
        <v>377</v>
      </c>
      <c r="N49" s="219" t="s">
        <v>145</v>
      </c>
      <c r="O49" s="924">
        <v>0</v>
      </c>
      <c r="P49" s="924">
        <v>1.6482674371954436</v>
      </c>
      <c r="Q49" s="924">
        <v>1.6482674371954436</v>
      </c>
      <c r="R49" s="924">
        <v>6.9283762761938372E-2</v>
      </c>
      <c r="S49" s="924">
        <v>1.6484928258782272</v>
      </c>
      <c r="T49" s="924">
        <v>0</v>
      </c>
      <c r="U49" s="924">
        <v>0</v>
      </c>
      <c r="V49" s="924">
        <v>0</v>
      </c>
      <c r="W49" s="924">
        <v>0</v>
      </c>
      <c r="X49" s="924">
        <v>0</v>
      </c>
      <c r="Y49" s="924">
        <v>0</v>
      </c>
      <c r="Z49" s="924">
        <v>0</v>
      </c>
      <c r="AA49" s="924">
        <v>0</v>
      </c>
      <c r="AB49" s="924">
        <v>0</v>
      </c>
      <c r="AC49" s="924">
        <v>1.6484928258782272</v>
      </c>
      <c r="AD49" s="924">
        <v>0</v>
      </c>
      <c r="AE49" s="924">
        <v>0</v>
      </c>
      <c r="AF49" s="924">
        <v>0</v>
      </c>
      <c r="AG49" s="924">
        <v>0</v>
      </c>
      <c r="AH49" s="924">
        <v>0</v>
      </c>
      <c r="AI49" s="924">
        <v>0</v>
      </c>
      <c r="AJ49" s="924">
        <v>0</v>
      </c>
      <c r="AK49" s="924">
        <v>0</v>
      </c>
      <c r="AL49" s="924">
        <v>0</v>
      </c>
      <c r="AM49" s="868"/>
    </row>
    <row r="50" spans="1:39">
      <c r="A50" s="895">
        <v>1</v>
      </c>
      <c r="B50" s="909"/>
      <c r="C50" s="909"/>
      <c r="D50" s="909"/>
      <c r="E50" s="909"/>
      <c r="F50" s="909"/>
      <c r="G50" s="909"/>
      <c r="H50" s="909"/>
      <c r="I50" s="909"/>
      <c r="J50" s="909"/>
      <c r="K50" s="909"/>
      <c r="L50" s="923">
        <v>6.3</v>
      </c>
      <c r="M50" s="222" t="s">
        <v>379</v>
      </c>
      <c r="N50" s="219" t="s">
        <v>145</v>
      </c>
      <c r="O50" s="924">
        <v>0</v>
      </c>
      <c r="P50" s="924">
        <v>14.503831809526806</v>
      </c>
      <c r="Q50" s="924">
        <v>14.503831809526806</v>
      </c>
      <c r="R50" s="924">
        <v>14.002480563874521</v>
      </c>
      <c r="S50" s="924">
        <v>16.291878452169257</v>
      </c>
      <c r="T50" s="924">
        <v>0</v>
      </c>
      <c r="U50" s="924">
        <v>0</v>
      </c>
      <c r="V50" s="924">
        <v>0</v>
      </c>
      <c r="W50" s="924">
        <v>0</v>
      </c>
      <c r="X50" s="924">
        <v>0</v>
      </c>
      <c r="Y50" s="924">
        <v>0</v>
      </c>
      <c r="Z50" s="924">
        <v>0</v>
      </c>
      <c r="AA50" s="924">
        <v>0</v>
      </c>
      <c r="AB50" s="924">
        <v>0</v>
      </c>
      <c r="AC50" s="924">
        <v>16.291878452169257</v>
      </c>
      <c r="AD50" s="924">
        <v>0</v>
      </c>
      <c r="AE50" s="924">
        <v>0</v>
      </c>
      <c r="AF50" s="924">
        <v>0</v>
      </c>
      <c r="AG50" s="924">
        <v>0</v>
      </c>
      <c r="AH50" s="924">
        <v>0</v>
      </c>
      <c r="AI50" s="924">
        <v>0</v>
      </c>
      <c r="AJ50" s="924">
        <v>0</v>
      </c>
      <c r="AK50" s="924">
        <v>0</v>
      </c>
      <c r="AL50" s="924">
        <v>0</v>
      </c>
      <c r="AM50" s="868"/>
    </row>
    <row r="51" spans="1:39">
      <c r="A51" s="895">
        <v>1</v>
      </c>
      <c r="B51" s="909"/>
      <c r="C51" s="909"/>
      <c r="D51" s="909"/>
      <c r="E51" s="909"/>
      <c r="F51" s="909"/>
      <c r="G51" s="909"/>
      <c r="H51" s="909"/>
      <c r="I51" s="909"/>
      <c r="J51" s="909"/>
      <c r="K51" s="909"/>
      <c r="L51" s="923">
        <v>6.4</v>
      </c>
      <c r="M51" s="222" t="s">
        <v>381</v>
      </c>
      <c r="N51" s="219" t="s">
        <v>145</v>
      </c>
      <c r="O51" s="924">
        <v>0</v>
      </c>
      <c r="P51" s="924">
        <v>0</v>
      </c>
      <c r="Q51" s="924">
        <v>0</v>
      </c>
      <c r="R51" s="924">
        <v>0</v>
      </c>
      <c r="S51" s="924">
        <v>0</v>
      </c>
      <c r="T51" s="924">
        <v>0</v>
      </c>
      <c r="U51" s="924">
        <v>0</v>
      </c>
      <c r="V51" s="924">
        <v>0</v>
      </c>
      <c r="W51" s="924">
        <v>0</v>
      </c>
      <c r="X51" s="924">
        <v>0</v>
      </c>
      <c r="Y51" s="924">
        <v>0</v>
      </c>
      <c r="Z51" s="924">
        <v>0</v>
      </c>
      <c r="AA51" s="924">
        <v>0</v>
      </c>
      <c r="AB51" s="924">
        <v>0</v>
      </c>
      <c r="AC51" s="924">
        <v>0</v>
      </c>
      <c r="AD51" s="924">
        <v>0</v>
      </c>
      <c r="AE51" s="924">
        <v>0</v>
      </c>
      <c r="AF51" s="924">
        <v>0</v>
      </c>
      <c r="AG51" s="924">
        <v>0</v>
      </c>
      <c r="AH51" s="924">
        <v>0</v>
      </c>
      <c r="AI51" s="924">
        <v>0</v>
      </c>
      <c r="AJ51" s="924">
        <v>0</v>
      </c>
      <c r="AK51" s="924">
        <v>0</v>
      </c>
      <c r="AL51" s="924">
        <v>0</v>
      </c>
      <c r="AM51" s="868"/>
    </row>
    <row r="52" spans="1:39">
      <c r="A52" s="895">
        <v>1</v>
      </c>
      <c r="B52" s="909"/>
      <c r="C52" s="909"/>
      <c r="D52" s="909"/>
      <c r="E52" s="909"/>
      <c r="F52" s="909"/>
      <c r="G52" s="909"/>
      <c r="H52" s="909"/>
      <c r="I52" s="909"/>
      <c r="J52" s="909"/>
      <c r="K52" s="909"/>
      <c r="L52" s="923">
        <v>6.5</v>
      </c>
      <c r="M52" s="222" t="s">
        <v>383</v>
      </c>
      <c r="N52" s="219" t="s">
        <v>145</v>
      </c>
      <c r="O52" s="924">
        <v>0</v>
      </c>
      <c r="P52" s="924">
        <v>0</v>
      </c>
      <c r="Q52" s="924">
        <v>0</v>
      </c>
      <c r="R52" s="924">
        <v>0</v>
      </c>
      <c r="S52" s="924">
        <v>0</v>
      </c>
      <c r="T52" s="924">
        <v>0</v>
      </c>
      <c r="U52" s="924">
        <v>0</v>
      </c>
      <c r="V52" s="924">
        <v>0</v>
      </c>
      <c r="W52" s="924">
        <v>0</v>
      </c>
      <c r="X52" s="924">
        <v>0</v>
      </c>
      <c r="Y52" s="924">
        <v>0</v>
      </c>
      <c r="Z52" s="924">
        <v>0</v>
      </c>
      <c r="AA52" s="924">
        <v>0</v>
      </c>
      <c r="AB52" s="924">
        <v>0</v>
      </c>
      <c r="AC52" s="924">
        <v>0</v>
      </c>
      <c r="AD52" s="924">
        <v>0</v>
      </c>
      <c r="AE52" s="924">
        <v>0</v>
      </c>
      <c r="AF52" s="924">
        <v>0</v>
      </c>
      <c r="AG52" s="924">
        <v>0</v>
      </c>
      <c r="AH52" s="924">
        <v>0</v>
      </c>
      <c r="AI52" s="924">
        <v>0</v>
      </c>
      <c r="AJ52" s="924">
        <v>0</v>
      </c>
      <c r="AK52" s="924">
        <v>0</v>
      </c>
      <c r="AL52" s="924">
        <v>0</v>
      </c>
      <c r="AM52" s="868"/>
    </row>
    <row r="53" spans="1:39" s="95" customFormat="1">
      <c r="A53" s="895">
        <v>1</v>
      </c>
      <c r="B53" s="920"/>
      <c r="C53" s="920"/>
      <c r="D53" s="920"/>
      <c r="E53" s="920"/>
      <c r="F53" s="920"/>
      <c r="G53" s="920"/>
      <c r="H53" s="920"/>
      <c r="I53" s="920"/>
      <c r="J53" s="920"/>
      <c r="K53" s="920"/>
      <c r="L53" s="921">
        <v>7</v>
      </c>
      <c r="M53" s="218" t="s">
        <v>403</v>
      </c>
      <c r="N53" s="819" t="s">
        <v>370</v>
      </c>
      <c r="O53" s="922">
        <v>0</v>
      </c>
      <c r="P53" s="922">
        <v>240.9</v>
      </c>
      <c r="Q53" s="922">
        <v>240.9</v>
      </c>
      <c r="R53" s="922">
        <v>235.85999999999999</v>
      </c>
      <c r="S53" s="922">
        <v>263.63</v>
      </c>
      <c r="T53" s="922">
        <v>0</v>
      </c>
      <c r="U53" s="922">
        <v>0</v>
      </c>
      <c r="V53" s="922">
        <v>0</v>
      </c>
      <c r="W53" s="922">
        <v>0</v>
      </c>
      <c r="X53" s="922">
        <v>0</v>
      </c>
      <c r="Y53" s="922">
        <v>0</v>
      </c>
      <c r="Z53" s="922">
        <v>0</v>
      </c>
      <c r="AA53" s="922">
        <v>0</v>
      </c>
      <c r="AB53" s="922">
        <v>0</v>
      </c>
      <c r="AC53" s="922">
        <v>263.63</v>
      </c>
      <c r="AD53" s="922">
        <v>0</v>
      </c>
      <c r="AE53" s="922">
        <v>0</v>
      </c>
      <c r="AF53" s="922">
        <v>0</v>
      </c>
      <c r="AG53" s="922">
        <v>0</v>
      </c>
      <c r="AH53" s="922">
        <v>0</v>
      </c>
      <c r="AI53" s="922">
        <v>0</v>
      </c>
      <c r="AJ53" s="922">
        <v>0</v>
      </c>
      <c r="AK53" s="922">
        <v>0</v>
      </c>
      <c r="AL53" s="922">
        <v>0</v>
      </c>
      <c r="AM53" s="868"/>
    </row>
    <row r="54" spans="1:39">
      <c r="A54" s="895">
        <v>1</v>
      </c>
      <c r="B54" s="909"/>
      <c r="C54" s="909"/>
      <c r="D54" s="909"/>
      <c r="E54" s="909"/>
      <c r="F54" s="909"/>
      <c r="G54" s="909"/>
      <c r="H54" s="909"/>
      <c r="I54" s="909"/>
      <c r="J54" s="909"/>
      <c r="K54" s="909"/>
      <c r="L54" s="923">
        <v>7.1</v>
      </c>
      <c r="M54" s="222" t="s">
        <v>376</v>
      </c>
      <c r="N54" s="819" t="s">
        <v>370</v>
      </c>
      <c r="O54" s="924"/>
      <c r="P54" s="924">
        <v>20</v>
      </c>
      <c r="Q54" s="924">
        <v>20</v>
      </c>
      <c r="R54" s="924">
        <v>2.2999999999999998</v>
      </c>
      <c r="S54" s="924">
        <v>20</v>
      </c>
      <c r="T54" s="924"/>
      <c r="U54" s="924"/>
      <c r="V54" s="924"/>
      <c r="W54" s="924"/>
      <c r="X54" s="924"/>
      <c r="Y54" s="924"/>
      <c r="Z54" s="924"/>
      <c r="AA54" s="924"/>
      <c r="AB54" s="924"/>
      <c r="AC54" s="924">
        <v>20</v>
      </c>
      <c r="AD54" s="924"/>
      <c r="AE54" s="924"/>
      <c r="AF54" s="924"/>
      <c r="AG54" s="924"/>
      <c r="AH54" s="924"/>
      <c r="AI54" s="924"/>
      <c r="AJ54" s="924"/>
      <c r="AK54" s="924"/>
      <c r="AL54" s="924"/>
      <c r="AM54" s="868"/>
    </row>
    <row r="55" spans="1:39">
      <c r="A55" s="895">
        <v>1</v>
      </c>
      <c r="B55" s="909"/>
      <c r="C55" s="909"/>
      <c r="D55" s="909"/>
      <c r="E55" s="909"/>
      <c r="F55" s="909"/>
      <c r="G55" s="909"/>
      <c r="H55" s="909"/>
      <c r="I55" s="909"/>
      <c r="J55" s="909"/>
      <c r="K55" s="909"/>
      <c r="L55" s="923">
        <v>7.2</v>
      </c>
      <c r="M55" s="222" t="s">
        <v>377</v>
      </c>
      <c r="N55" s="819" t="s">
        <v>370</v>
      </c>
      <c r="O55" s="924"/>
      <c r="P55" s="924">
        <v>36.564999999999998</v>
      </c>
      <c r="Q55" s="924">
        <v>36.564999999999998</v>
      </c>
      <c r="R55" s="924">
        <v>2.12</v>
      </c>
      <c r="S55" s="924">
        <v>36.57</v>
      </c>
      <c r="T55" s="924"/>
      <c r="U55" s="924"/>
      <c r="V55" s="924"/>
      <c r="W55" s="924"/>
      <c r="X55" s="924"/>
      <c r="Y55" s="924"/>
      <c r="Z55" s="924"/>
      <c r="AA55" s="924"/>
      <c r="AB55" s="924"/>
      <c r="AC55" s="924">
        <v>36.57</v>
      </c>
      <c r="AD55" s="924"/>
      <c r="AE55" s="924"/>
      <c r="AF55" s="924"/>
      <c r="AG55" s="924"/>
      <c r="AH55" s="924"/>
      <c r="AI55" s="924"/>
      <c r="AJ55" s="924"/>
      <c r="AK55" s="924"/>
      <c r="AL55" s="924"/>
      <c r="AM55" s="868"/>
    </row>
    <row r="56" spans="1:39">
      <c r="A56" s="895">
        <v>1</v>
      </c>
      <c r="B56" s="909"/>
      <c r="C56" s="909"/>
      <c r="D56" s="909"/>
      <c r="E56" s="909"/>
      <c r="F56" s="909"/>
      <c r="G56" s="909"/>
      <c r="H56" s="909"/>
      <c r="I56" s="909"/>
      <c r="J56" s="909"/>
      <c r="K56" s="909"/>
      <c r="L56" s="923">
        <v>7.3</v>
      </c>
      <c r="M56" s="222" t="s">
        <v>379</v>
      </c>
      <c r="N56" s="819" t="s">
        <v>370</v>
      </c>
      <c r="O56" s="924"/>
      <c r="P56" s="924">
        <v>184.33500000000001</v>
      </c>
      <c r="Q56" s="924">
        <v>184.33500000000001</v>
      </c>
      <c r="R56" s="924">
        <v>231.44</v>
      </c>
      <c r="S56" s="924">
        <v>207.06</v>
      </c>
      <c r="T56" s="924"/>
      <c r="U56" s="924"/>
      <c r="V56" s="924"/>
      <c r="W56" s="924"/>
      <c r="X56" s="924"/>
      <c r="Y56" s="924"/>
      <c r="Z56" s="924"/>
      <c r="AA56" s="924"/>
      <c r="AB56" s="924"/>
      <c r="AC56" s="924">
        <v>207.06</v>
      </c>
      <c r="AD56" s="924"/>
      <c r="AE56" s="924"/>
      <c r="AF56" s="924"/>
      <c r="AG56" s="924"/>
      <c r="AH56" s="924"/>
      <c r="AI56" s="924"/>
      <c r="AJ56" s="924"/>
      <c r="AK56" s="924"/>
      <c r="AL56" s="924"/>
      <c r="AM56" s="868"/>
    </row>
    <row r="57" spans="1:39">
      <c r="A57" s="895">
        <v>1</v>
      </c>
      <c r="B57" s="909"/>
      <c r="C57" s="909"/>
      <c r="D57" s="909"/>
      <c r="E57" s="909"/>
      <c r="F57" s="909"/>
      <c r="G57" s="909"/>
      <c r="H57" s="909"/>
      <c r="I57" s="909"/>
      <c r="J57" s="909"/>
      <c r="K57" s="909"/>
      <c r="L57" s="923">
        <v>7.4</v>
      </c>
      <c r="M57" s="222" t="s">
        <v>381</v>
      </c>
      <c r="N57" s="819" t="s">
        <v>370</v>
      </c>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868"/>
    </row>
    <row r="58" spans="1:39">
      <c r="A58" s="895">
        <v>1</v>
      </c>
      <c r="B58" s="909"/>
      <c r="C58" s="909"/>
      <c r="D58" s="909"/>
      <c r="E58" s="909"/>
      <c r="F58" s="909"/>
      <c r="G58" s="909"/>
      <c r="H58" s="909"/>
      <c r="I58" s="909"/>
      <c r="J58" s="909"/>
      <c r="K58" s="909"/>
      <c r="L58" s="923">
        <v>7.5</v>
      </c>
      <c r="M58" s="222" t="s">
        <v>383</v>
      </c>
      <c r="N58" s="819" t="s">
        <v>370</v>
      </c>
      <c r="O58" s="924"/>
      <c r="P58" s="924"/>
      <c r="Q58" s="924"/>
      <c r="R58" s="924"/>
      <c r="S58" s="924"/>
      <c r="T58" s="924"/>
      <c r="U58" s="924"/>
      <c r="V58" s="924"/>
      <c r="W58" s="924"/>
      <c r="X58" s="924"/>
      <c r="Y58" s="924"/>
      <c r="Z58" s="924"/>
      <c r="AA58" s="924"/>
      <c r="AB58" s="924"/>
      <c r="AC58" s="924"/>
      <c r="AD58" s="924"/>
      <c r="AE58" s="924"/>
      <c r="AF58" s="924"/>
      <c r="AG58" s="924"/>
      <c r="AH58" s="924"/>
      <c r="AI58" s="924"/>
      <c r="AJ58" s="924"/>
      <c r="AK58" s="924"/>
      <c r="AL58" s="924"/>
      <c r="AM58" s="868"/>
    </row>
    <row r="59" spans="1:39" s="95" customFormat="1">
      <c r="A59" s="895">
        <v>1</v>
      </c>
      <c r="B59" s="920"/>
      <c r="C59" s="920"/>
      <c r="D59" s="920"/>
      <c r="E59" s="920"/>
      <c r="F59" s="920"/>
      <c r="G59" s="920"/>
      <c r="H59" s="920"/>
      <c r="I59" s="920"/>
      <c r="J59" s="920"/>
      <c r="K59" s="920"/>
      <c r="L59" s="921">
        <v>8</v>
      </c>
      <c r="M59" s="218" t="s">
        <v>407</v>
      </c>
      <c r="N59" s="819" t="s">
        <v>370</v>
      </c>
      <c r="O59" s="922">
        <v>0</v>
      </c>
      <c r="P59" s="922">
        <v>0</v>
      </c>
      <c r="Q59" s="922">
        <v>0</v>
      </c>
      <c r="R59" s="922">
        <v>0</v>
      </c>
      <c r="S59" s="922">
        <v>0</v>
      </c>
      <c r="T59" s="922">
        <v>0</v>
      </c>
      <c r="U59" s="922">
        <v>0</v>
      </c>
      <c r="V59" s="922">
        <v>0</v>
      </c>
      <c r="W59" s="922">
        <v>0</v>
      </c>
      <c r="X59" s="922">
        <v>0</v>
      </c>
      <c r="Y59" s="922">
        <v>0</v>
      </c>
      <c r="Z59" s="922">
        <v>0</v>
      </c>
      <c r="AA59" s="922">
        <v>0</v>
      </c>
      <c r="AB59" s="922">
        <v>0</v>
      </c>
      <c r="AC59" s="922">
        <v>0</v>
      </c>
      <c r="AD59" s="922">
        <v>0</v>
      </c>
      <c r="AE59" s="922">
        <v>0</v>
      </c>
      <c r="AF59" s="922">
        <v>0</v>
      </c>
      <c r="AG59" s="922">
        <v>0</v>
      </c>
      <c r="AH59" s="922">
        <v>0</v>
      </c>
      <c r="AI59" s="922">
        <v>0</v>
      </c>
      <c r="AJ59" s="922">
        <v>0</v>
      </c>
      <c r="AK59" s="922">
        <v>0</v>
      </c>
      <c r="AL59" s="922">
        <v>0</v>
      </c>
      <c r="AM59" s="868"/>
    </row>
    <row r="60" spans="1:39">
      <c r="A60" s="895">
        <v>1</v>
      </c>
      <c r="B60" s="909"/>
      <c r="C60" s="909"/>
      <c r="D60" s="909"/>
      <c r="E60" s="909"/>
      <c r="F60" s="909"/>
      <c r="G60" s="909"/>
      <c r="H60" s="909"/>
      <c r="I60" s="909"/>
      <c r="J60" s="909"/>
      <c r="K60" s="909"/>
      <c r="L60" s="923">
        <v>8.1</v>
      </c>
      <c r="M60" s="222" t="s">
        <v>376</v>
      </c>
      <c r="N60" s="819" t="s">
        <v>370</v>
      </c>
      <c r="O60" s="924"/>
      <c r="P60" s="924"/>
      <c r="Q60" s="924"/>
      <c r="R60" s="924"/>
      <c r="S60" s="924"/>
      <c r="T60" s="924"/>
      <c r="U60" s="924"/>
      <c r="V60" s="924"/>
      <c r="W60" s="924"/>
      <c r="X60" s="924"/>
      <c r="Y60" s="924"/>
      <c r="Z60" s="924"/>
      <c r="AA60" s="924"/>
      <c r="AB60" s="924"/>
      <c r="AC60" s="924"/>
      <c r="AD60" s="924"/>
      <c r="AE60" s="924"/>
      <c r="AF60" s="924"/>
      <c r="AG60" s="924"/>
      <c r="AH60" s="924"/>
      <c r="AI60" s="924"/>
      <c r="AJ60" s="924"/>
      <c r="AK60" s="924"/>
      <c r="AL60" s="924"/>
      <c r="AM60" s="868"/>
    </row>
    <row r="61" spans="1:39">
      <c r="A61" s="895">
        <v>1</v>
      </c>
      <c r="B61" s="909"/>
      <c r="C61" s="909"/>
      <c r="D61" s="909"/>
      <c r="E61" s="909"/>
      <c r="F61" s="909"/>
      <c r="G61" s="909"/>
      <c r="H61" s="909"/>
      <c r="I61" s="909"/>
      <c r="J61" s="909"/>
      <c r="K61" s="909"/>
      <c r="L61" s="923">
        <v>8.1999999999999993</v>
      </c>
      <c r="M61" s="222" t="s">
        <v>377</v>
      </c>
      <c r="N61" s="819" t="s">
        <v>370</v>
      </c>
      <c r="O61" s="924"/>
      <c r="P61" s="924"/>
      <c r="Q61" s="924"/>
      <c r="R61" s="924"/>
      <c r="S61" s="924"/>
      <c r="T61" s="924"/>
      <c r="U61" s="924"/>
      <c r="V61" s="924"/>
      <c r="W61" s="924"/>
      <c r="X61" s="924"/>
      <c r="Y61" s="924"/>
      <c r="Z61" s="924"/>
      <c r="AA61" s="924"/>
      <c r="AB61" s="924"/>
      <c r="AC61" s="924"/>
      <c r="AD61" s="924"/>
      <c r="AE61" s="924"/>
      <c r="AF61" s="924"/>
      <c r="AG61" s="924"/>
      <c r="AH61" s="924"/>
      <c r="AI61" s="924"/>
      <c r="AJ61" s="924"/>
      <c r="AK61" s="924"/>
      <c r="AL61" s="924"/>
      <c r="AM61" s="868"/>
    </row>
    <row r="62" spans="1:39">
      <c r="A62" s="895">
        <v>1</v>
      </c>
      <c r="B62" s="909"/>
      <c r="C62" s="909"/>
      <c r="D62" s="909"/>
      <c r="E62" s="909"/>
      <c r="F62" s="909"/>
      <c r="G62" s="909"/>
      <c r="H62" s="909"/>
      <c r="I62" s="909"/>
      <c r="J62" s="909"/>
      <c r="K62" s="909"/>
      <c r="L62" s="923">
        <v>8.3000000000000007</v>
      </c>
      <c r="M62" s="222" t="s">
        <v>379</v>
      </c>
      <c r="N62" s="819" t="s">
        <v>370</v>
      </c>
      <c r="O62" s="924"/>
      <c r="P62" s="924"/>
      <c r="Q62" s="924"/>
      <c r="R62" s="924"/>
      <c r="S62" s="924"/>
      <c r="T62" s="924"/>
      <c r="U62" s="924"/>
      <c r="V62" s="924"/>
      <c r="W62" s="924"/>
      <c r="X62" s="924"/>
      <c r="Y62" s="924"/>
      <c r="Z62" s="924"/>
      <c r="AA62" s="924"/>
      <c r="AB62" s="924"/>
      <c r="AC62" s="924"/>
      <c r="AD62" s="924"/>
      <c r="AE62" s="924"/>
      <c r="AF62" s="924"/>
      <c r="AG62" s="924"/>
      <c r="AH62" s="924"/>
      <c r="AI62" s="924"/>
      <c r="AJ62" s="924"/>
      <c r="AK62" s="924"/>
      <c r="AL62" s="924"/>
      <c r="AM62" s="868"/>
    </row>
    <row r="63" spans="1:39">
      <c r="A63" s="895">
        <v>1</v>
      </c>
      <c r="B63" s="909"/>
      <c r="C63" s="909"/>
      <c r="D63" s="909"/>
      <c r="E63" s="909"/>
      <c r="F63" s="909"/>
      <c r="G63" s="909"/>
      <c r="H63" s="909"/>
      <c r="I63" s="909"/>
      <c r="J63" s="909"/>
      <c r="K63" s="909"/>
      <c r="L63" s="923">
        <v>8.4</v>
      </c>
      <c r="M63" s="222" t="s">
        <v>381</v>
      </c>
      <c r="N63" s="819" t="s">
        <v>370</v>
      </c>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868"/>
    </row>
    <row r="64" spans="1:39">
      <c r="A64" s="895">
        <v>1</v>
      </c>
      <c r="B64" s="909"/>
      <c r="C64" s="909"/>
      <c r="D64" s="909"/>
      <c r="E64" s="909"/>
      <c r="F64" s="909"/>
      <c r="G64" s="909"/>
      <c r="H64" s="909"/>
      <c r="I64" s="909"/>
      <c r="J64" s="909"/>
      <c r="K64" s="909"/>
      <c r="L64" s="923">
        <v>8.5</v>
      </c>
      <c r="M64" s="222" t="s">
        <v>383</v>
      </c>
      <c r="N64" s="819" t="s">
        <v>370</v>
      </c>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868"/>
    </row>
    <row r="65" spans="1:39">
      <c r="A65" s="909"/>
      <c r="B65" s="909"/>
      <c r="C65" s="909"/>
      <c r="D65" s="909"/>
      <c r="E65" s="909"/>
      <c r="F65" s="909"/>
      <c r="G65" s="909"/>
      <c r="H65" s="909"/>
      <c r="I65" s="909"/>
      <c r="J65" s="909"/>
      <c r="K65" s="909"/>
      <c r="L65" s="925"/>
      <c r="M65" s="926"/>
      <c r="N65" s="925"/>
      <c r="O65" s="927"/>
      <c r="P65" s="927"/>
      <c r="Q65" s="927"/>
      <c r="R65" s="927"/>
      <c r="S65" s="927"/>
      <c r="T65" s="927"/>
      <c r="U65" s="927"/>
      <c r="V65" s="927"/>
      <c r="W65" s="927"/>
      <c r="X65" s="927"/>
      <c r="Y65" s="927"/>
      <c r="Z65" s="927"/>
      <c r="AA65" s="927"/>
      <c r="AB65" s="927"/>
      <c r="AC65" s="910"/>
      <c r="AD65" s="910"/>
      <c r="AE65" s="910"/>
      <c r="AF65" s="910"/>
      <c r="AG65" s="910"/>
      <c r="AH65" s="910"/>
      <c r="AI65" s="910"/>
      <c r="AJ65" s="910"/>
      <c r="AK65" s="910"/>
      <c r="AL65" s="910"/>
      <c r="AM65" s="909"/>
    </row>
    <row r="66" spans="1:39" s="88" customFormat="1" ht="15" customHeight="1">
      <c r="A66" s="851"/>
      <c r="B66" s="851"/>
      <c r="C66" s="851"/>
      <c r="D66" s="851"/>
      <c r="E66" s="851"/>
      <c r="F66" s="851"/>
      <c r="G66" s="851"/>
      <c r="H66" s="851"/>
      <c r="I66" s="851"/>
      <c r="J66" s="851"/>
      <c r="K66" s="851"/>
      <c r="L66" s="891" t="s">
        <v>1402</v>
      </c>
      <c r="M66" s="891"/>
      <c r="N66" s="891"/>
      <c r="O66" s="891"/>
      <c r="P66" s="891"/>
      <c r="Q66" s="891"/>
      <c r="R66" s="891"/>
      <c r="S66" s="892"/>
      <c r="T66" s="892"/>
      <c r="U66" s="892"/>
      <c r="V66" s="892"/>
      <c r="W66" s="892"/>
      <c r="X66" s="892"/>
      <c r="Y66" s="892"/>
      <c r="Z66" s="892"/>
      <c r="AA66" s="892"/>
      <c r="AB66" s="892"/>
      <c r="AC66" s="892"/>
      <c r="AD66" s="892"/>
      <c r="AE66" s="892"/>
      <c r="AF66" s="892"/>
      <c r="AG66" s="892"/>
      <c r="AH66" s="892"/>
      <c r="AI66" s="892"/>
      <c r="AJ66" s="892"/>
      <c r="AK66" s="892"/>
      <c r="AL66" s="892"/>
      <c r="AM66" s="892"/>
    </row>
    <row r="67" spans="1:39" s="88" customFormat="1" ht="62.25" customHeight="1">
      <c r="A67" s="851"/>
      <c r="B67" s="851"/>
      <c r="C67" s="851"/>
      <c r="D67" s="851"/>
      <c r="E67" s="851"/>
      <c r="F67" s="851"/>
      <c r="G67" s="851"/>
      <c r="H67" s="851"/>
      <c r="I67" s="851"/>
      <c r="J67" s="851"/>
      <c r="K67" s="724"/>
      <c r="L67" s="908" t="s">
        <v>2531</v>
      </c>
      <c r="M67" s="893"/>
      <c r="N67" s="893"/>
      <c r="O67" s="893"/>
      <c r="P67" s="893"/>
      <c r="Q67" s="893"/>
      <c r="R67" s="893"/>
      <c r="S67" s="894"/>
      <c r="T67" s="894"/>
      <c r="U67" s="894"/>
      <c r="V67" s="894"/>
      <c r="W67" s="894"/>
      <c r="X67" s="894"/>
      <c r="Y67" s="894"/>
      <c r="Z67" s="894"/>
      <c r="AA67" s="894"/>
      <c r="AB67" s="894"/>
      <c r="AC67" s="894"/>
      <c r="AD67" s="894"/>
      <c r="AE67" s="894"/>
      <c r="AF67" s="894"/>
      <c r="AG67" s="894"/>
      <c r="AH67" s="894"/>
      <c r="AI67" s="894"/>
      <c r="AJ67" s="894"/>
      <c r="AK67" s="894"/>
      <c r="AL67" s="894"/>
      <c r="AM67" s="894"/>
    </row>
    <row r="68" spans="1:39">
      <c r="A68" s="909"/>
      <c r="B68" s="909"/>
      <c r="C68" s="909"/>
      <c r="D68" s="909"/>
      <c r="E68" s="909"/>
      <c r="F68" s="909"/>
      <c r="G68" s="909"/>
      <c r="H68" s="909"/>
      <c r="I68" s="909"/>
      <c r="J68" s="909"/>
      <c r="K68" s="909"/>
      <c r="L68" s="909"/>
      <c r="M68" s="928"/>
      <c r="N68" s="910"/>
      <c r="O68" s="910"/>
      <c r="P68" s="910"/>
      <c r="Q68" s="910"/>
      <c r="R68" s="910"/>
      <c r="S68" s="910"/>
      <c r="T68" s="910"/>
      <c r="U68" s="910"/>
      <c r="V68" s="910"/>
      <c r="W68" s="910"/>
      <c r="X68" s="910"/>
      <c r="Y68" s="910"/>
      <c r="Z68" s="910"/>
      <c r="AA68" s="910"/>
      <c r="AB68" s="910"/>
      <c r="AC68" s="910"/>
      <c r="AD68" s="910"/>
      <c r="AE68" s="910"/>
      <c r="AF68" s="910"/>
      <c r="AG68" s="910"/>
      <c r="AH68" s="910"/>
      <c r="AI68" s="910"/>
      <c r="AJ68" s="910"/>
      <c r="AK68" s="910"/>
      <c r="AL68" s="910"/>
      <c r="AM68" s="909"/>
    </row>
    <row r="69" spans="1:39">
      <c r="A69" s="909"/>
      <c r="B69" s="909"/>
      <c r="C69" s="909"/>
      <c r="D69" s="909"/>
      <c r="E69" s="909"/>
      <c r="F69" s="909"/>
      <c r="G69" s="909"/>
      <c r="H69" s="909"/>
      <c r="I69" s="909"/>
      <c r="J69" s="909"/>
      <c r="K69" s="909"/>
      <c r="L69" s="909"/>
      <c r="M69" s="928"/>
      <c r="N69" s="910"/>
      <c r="O69" s="910"/>
      <c r="P69" s="910"/>
      <c r="Q69" s="910"/>
      <c r="R69" s="910"/>
      <c r="S69" s="910"/>
      <c r="T69" s="910"/>
      <c r="U69" s="910"/>
      <c r="V69" s="910"/>
      <c r="W69" s="910"/>
      <c r="X69" s="910"/>
      <c r="Y69" s="910"/>
      <c r="Z69" s="910"/>
      <c r="AA69" s="910"/>
      <c r="AB69" s="910"/>
      <c r="AC69" s="910"/>
      <c r="AD69" s="910"/>
      <c r="AE69" s="910"/>
      <c r="AF69" s="910"/>
      <c r="AG69" s="910"/>
      <c r="AH69" s="910"/>
      <c r="AI69" s="910"/>
      <c r="AJ69" s="910"/>
      <c r="AK69" s="910"/>
      <c r="AL69" s="910"/>
      <c r="AM69" s="909"/>
    </row>
    <row r="70" spans="1:39">
      <c r="A70" s="909"/>
      <c r="B70" s="909"/>
      <c r="C70" s="909"/>
      <c r="D70" s="909"/>
      <c r="E70" s="909"/>
      <c r="F70" s="909"/>
      <c r="G70" s="909"/>
      <c r="H70" s="909"/>
      <c r="I70" s="909"/>
      <c r="J70" s="909"/>
      <c r="K70" s="909"/>
      <c r="L70" s="909"/>
      <c r="M70" s="928"/>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09"/>
    </row>
    <row r="71" spans="1:39">
      <c r="A71" s="909"/>
      <c r="B71" s="909"/>
      <c r="C71" s="909"/>
      <c r="D71" s="909"/>
      <c r="E71" s="909"/>
      <c r="F71" s="909"/>
      <c r="G71" s="909"/>
      <c r="H71" s="909"/>
      <c r="I71" s="909"/>
      <c r="J71" s="909"/>
      <c r="K71" s="909"/>
      <c r="L71" s="909"/>
      <c r="M71" s="929"/>
      <c r="N71" s="910"/>
      <c r="O71" s="910"/>
      <c r="P71" s="910"/>
      <c r="Q71" s="910"/>
      <c r="R71" s="910"/>
      <c r="S71" s="910"/>
      <c r="T71" s="910"/>
      <c r="U71" s="910"/>
      <c r="V71" s="910"/>
      <c r="W71" s="910"/>
      <c r="X71" s="910"/>
      <c r="Y71" s="910"/>
      <c r="Z71" s="910"/>
      <c r="AA71" s="910"/>
      <c r="AB71" s="910"/>
      <c r="AC71" s="910"/>
      <c r="AD71" s="910"/>
      <c r="AE71" s="910"/>
      <c r="AF71" s="910"/>
      <c r="AG71" s="910"/>
      <c r="AH71" s="910"/>
      <c r="AI71" s="910"/>
      <c r="AJ71" s="910"/>
      <c r="AK71" s="910"/>
      <c r="AL71" s="910"/>
      <c r="AM71" s="909"/>
    </row>
    <row r="72" spans="1:39">
      <c r="A72" s="909"/>
      <c r="B72" s="909"/>
      <c r="C72" s="909"/>
      <c r="D72" s="909"/>
      <c r="E72" s="909"/>
      <c r="F72" s="909"/>
      <c r="G72" s="909"/>
      <c r="H72" s="909"/>
      <c r="I72" s="909"/>
      <c r="J72" s="909"/>
      <c r="K72" s="909"/>
      <c r="L72" s="909"/>
      <c r="M72" s="928"/>
      <c r="N72" s="910"/>
      <c r="O72" s="910"/>
      <c r="P72" s="910"/>
      <c r="Q72" s="910"/>
      <c r="R72" s="910"/>
      <c r="S72" s="910"/>
      <c r="T72" s="910"/>
      <c r="U72" s="910"/>
      <c r="V72" s="910"/>
      <c r="W72" s="910"/>
      <c r="X72" s="910"/>
      <c r="Y72" s="910"/>
      <c r="Z72" s="910"/>
      <c r="AA72" s="910"/>
      <c r="AB72" s="910"/>
      <c r="AC72" s="910"/>
      <c r="AD72" s="910"/>
      <c r="AE72" s="910"/>
      <c r="AF72" s="910"/>
      <c r="AG72" s="910"/>
      <c r="AH72" s="910"/>
      <c r="AI72" s="910"/>
      <c r="AJ72" s="910"/>
      <c r="AK72" s="910"/>
      <c r="AL72" s="910"/>
      <c r="AM72" s="909"/>
    </row>
    <row r="73" spans="1:39">
      <c r="A73" s="909"/>
      <c r="B73" s="909"/>
      <c r="C73" s="909"/>
      <c r="D73" s="909"/>
      <c r="E73" s="909"/>
      <c r="F73" s="909"/>
      <c r="G73" s="909"/>
      <c r="H73" s="909"/>
      <c r="I73" s="909"/>
      <c r="J73" s="909"/>
      <c r="K73" s="909"/>
      <c r="L73" s="909"/>
      <c r="M73" s="909"/>
      <c r="N73" s="910"/>
      <c r="O73" s="910"/>
      <c r="P73" s="910"/>
      <c r="Q73" s="910"/>
      <c r="R73" s="910"/>
      <c r="S73" s="910"/>
      <c r="T73" s="910"/>
      <c r="U73" s="910"/>
      <c r="V73" s="910"/>
      <c r="W73" s="910"/>
      <c r="X73" s="910"/>
      <c r="Y73" s="910"/>
      <c r="Z73" s="910"/>
      <c r="AA73" s="910"/>
      <c r="AB73" s="910"/>
      <c r="AC73" s="910"/>
      <c r="AD73" s="910"/>
      <c r="AE73" s="910"/>
      <c r="AF73" s="910"/>
      <c r="AG73" s="910"/>
      <c r="AH73" s="910"/>
      <c r="AI73" s="910"/>
      <c r="AJ73" s="910"/>
      <c r="AK73" s="910"/>
      <c r="AL73" s="910"/>
      <c r="AM73" s="909"/>
    </row>
    <row r="74" spans="1:39">
      <c r="A74" s="909"/>
      <c r="B74" s="909"/>
      <c r="C74" s="909"/>
      <c r="D74" s="909"/>
      <c r="E74" s="909"/>
      <c r="F74" s="909"/>
      <c r="G74" s="909"/>
      <c r="H74" s="909"/>
      <c r="I74" s="909"/>
      <c r="J74" s="909"/>
      <c r="K74" s="909"/>
      <c r="L74" s="909"/>
      <c r="M74" s="928"/>
      <c r="N74" s="910"/>
      <c r="O74" s="910"/>
      <c r="P74" s="910"/>
      <c r="Q74" s="910"/>
      <c r="R74" s="910"/>
      <c r="S74" s="910"/>
      <c r="T74" s="910"/>
      <c r="U74" s="910"/>
      <c r="V74" s="910"/>
      <c r="W74" s="910"/>
      <c r="X74" s="910"/>
      <c r="Y74" s="910"/>
      <c r="Z74" s="910"/>
      <c r="AA74" s="910"/>
      <c r="AB74" s="910"/>
      <c r="AC74" s="910"/>
      <c r="AD74" s="910"/>
      <c r="AE74" s="910"/>
      <c r="AF74" s="910"/>
      <c r="AG74" s="910"/>
      <c r="AH74" s="910"/>
      <c r="AI74" s="910"/>
      <c r="AJ74" s="910"/>
      <c r="AK74" s="910"/>
      <c r="AL74" s="910"/>
      <c r="AM74" s="909"/>
    </row>
    <row r="75" spans="1:39">
      <c r="A75" s="909"/>
      <c r="B75" s="909"/>
      <c r="C75" s="909"/>
      <c r="D75" s="909"/>
      <c r="E75" s="909"/>
      <c r="F75" s="909"/>
      <c r="G75" s="909"/>
      <c r="H75" s="909"/>
      <c r="I75" s="909"/>
      <c r="J75" s="909"/>
      <c r="K75" s="909"/>
      <c r="L75" s="909"/>
      <c r="M75" s="928"/>
      <c r="N75" s="910"/>
      <c r="O75" s="910"/>
      <c r="P75" s="910"/>
      <c r="Q75" s="910"/>
      <c r="R75" s="910"/>
      <c r="S75" s="910"/>
      <c r="T75" s="910"/>
      <c r="U75" s="910"/>
      <c r="V75" s="910"/>
      <c r="W75" s="910"/>
      <c r="X75" s="910"/>
      <c r="Y75" s="910"/>
      <c r="Z75" s="910"/>
      <c r="AA75" s="910"/>
      <c r="AB75" s="910"/>
      <c r="AC75" s="910"/>
      <c r="AD75" s="910"/>
      <c r="AE75" s="910"/>
      <c r="AF75" s="910"/>
      <c r="AG75" s="910"/>
      <c r="AH75" s="910"/>
      <c r="AI75" s="910"/>
      <c r="AJ75" s="910"/>
      <c r="AK75" s="910"/>
      <c r="AL75" s="910"/>
      <c r="AM75" s="909"/>
    </row>
    <row r="76" spans="1:39">
      <c r="A76" s="909"/>
      <c r="B76" s="909"/>
      <c r="C76" s="909"/>
      <c r="D76" s="909"/>
      <c r="E76" s="909"/>
      <c r="F76" s="909"/>
      <c r="G76" s="909"/>
      <c r="H76" s="909"/>
      <c r="I76" s="909"/>
      <c r="J76" s="909"/>
      <c r="K76" s="909"/>
      <c r="L76" s="909"/>
      <c r="M76" s="909"/>
      <c r="N76" s="910"/>
      <c r="O76" s="910"/>
      <c r="P76" s="910"/>
      <c r="Q76" s="910"/>
      <c r="R76" s="910"/>
      <c r="S76" s="910"/>
      <c r="T76" s="910"/>
      <c r="U76" s="910"/>
      <c r="V76" s="910"/>
      <c r="W76" s="910"/>
      <c r="X76" s="910"/>
      <c r="Y76" s="910"/>
      <c r="Z76" s="910"/>
      <c r="AA76" s="910"/>
      <c r="AB76" s="910"/>
      <c r="AC76" s="910"/>
      <c r="AD76" s="910"/>
      <c r="AE76" s="910"/>
      <c r="AF76" s="910"/>
      <c r="AG76" s="910"/>
      <c r="AH76" s="910"/>
      <c r="AI76" s="910"/>
      <c r="AJ76" s="910"/>
      <c r="AK76" s="910"/>
      <c r="AL76" s="910"/>
      <c r="AM76" s="909"/>
    </row>
    <row r="77" spans="1:39">
      <c r="A77" s="909"/>
      <c r="B77" s="909"/>
      <c r="C77" s="909"/>
      <c r="D77" s="909"/>
      <c r="E77" s="909"/>
      <c r="F77" s="909"/>
      <c r="G77" s="909"/>
      <c r="H77" s="909"/>
      <c r="I77" s="909"/>
      <c r="J77" s="909"/>
      <c r="K77" s="909"/>
      <c r="L77" s="909"/>
      <c r="M77" s="909"/>
      <c r="N77" s="910"/>
      <c r="O77" s="910"/>
      <c r="P77" s="910"/>
      <c r="Q77" s="910"/>
      <c r="R77" s="910"/>
      <c r="S77" s="910"/>
      <c r="T77" s="910"/>
      <c r="U77" s="910"/>
      <c r="V77" s="910"/>
      <c r="W77" s="910"/>
      <c r="X77" s="910"/>
      <c r="Y77" s="910"/>
      <c r="Z77" s="910"/>
      <c r="AA77" s="910"/>
      <c r="AB77" s="910"/>
      <c r="AC77" s="910"/>
      <c r="AD77" s="910"/>
      <c r="AE77" s="910"/>
      <c r="AF77" s="910"/>
      <c r="AG77" s="910"/>
      <c r="AH77" s="910"/>
      <c r="AI77" s="910"/>
      <c r="AJ77" s="910"/>
      <c r="AK77" s="910"/>
      <c r="AL77" s="910"/>
      <c r="AM77" s="909"/>
    </row>
    <row r="78" spans="1:39">
      <c r="A78" s="909"/>
      <c r="B78" s="909"/>
      <c r="C78" s="909"/>
      <c r="D78" s="909"/>
      <c r="E78" s="909"/>
      <c r="F78" s="909"/>
      <c r="G78" s="909"/>
      <c r="H78" s="909"/>
      <c r="I78" s="909"/>
      <c r="J78" s="909"/>
      <c r="K78" s="909"/>
      <c r="L78" s="909"/>
      <c r="M78" s="909"/>
      <c r="N78" s="910"/>
      <c r="O78" s="910"/>
      <c r="P78" s="910"/>
      <c r="Q78" s="910"/>
      <c r="R78" s="910"/>
      <c r="S78" s="910"/>
      <c r="T78" s="910"/>
      <c r="U78" s="910"/>
      <c r="V78" s="910"/>
      <c r="W78" s="910"/>
      <c r="X78" s="910"/>
      <c r="Y78" s="910"/>
      <c r="Z78" s="910"/>
      <c r="AA78" s="910"/>
      <c r="AB78" s="910"/>
      <c r="AC78" s="910"/>
      <c r="AD78" s="910"/>
      <c r="AE78" s="910"/>
      <c r="AF78" s="910"/>
      <c r="AG78" s="910"/>
      <c r="AH78" s="910"/>
      <c r="AI78" s="910"/>
      <c r="AJ78" s="910"/>
      <c r="AK78" s="910"/>
      <c r="AL78" s="910"/>
      <c r="AM78" s="909"/>
    </row>
    <row r="79" spans="1:39">
      <c r="A79" s="909"/>
      <c r="B79" s="909"/>
      <c r="C79" s="909"/>
      <c r="D79" s="909"/>
      <c r="E79" s="909"/>
      <c r="F79" s="909"/>
      <c r="G79" s="909"/>
      <c r="H79" s="909"/>
      <c r="I79" s="909"/>
      <c r="J79" s="909"/>
      <c r="K79" s="909"/>
      <c r="L79" s="909"/>
      <c r="M79" s="909"/>
      <c r="N79" s="910"/>
      <c r="O79" s="910"/>
      <c r="P79" s="910"/>
      <c r="Q79" s="910"/>
      <c r="R79" s="910"/>
      <c r="S79" s="910"/>
      <c r="T79" s="910"/>
      <c r="U79" s="910"/>
      <c r="V79" s="910"/>
      <c r="W79" s="910"/>
      <c r="X79" s="910"/>
      <c r="Y79" s="910"/>
      <c r="Z79" s="910"/>
      <c r="AA79" s="910"/>
      <c r="AB79" s="910"/>
      <c r="AC79" s="910"/>
      <c r="AD79" s="910"/>
      <c r="AE79" s="910"/>
      <c r="AF79" s="910"/>
      <c r="AG79" s="910"/>
      <c r="AH79" s="910"/>
      <c r="AI79" s="910"/>
      <c r="AJ79" s="910"/>
      <c r="AK79" s="910"/>
      <c r="AL79" s="910"/>
      <c r="AM79" s="909"/>
    </row>
    <row r="80" spans="1:39">
      <c r="A80" s="909"/>
      <c r="B80" s="909"/>
      <c r="C80" s="909"/>
      <c r="D80" s="909"/>
      <c r="E80" s="909"/>
      <c r="F80" s="909"/>
      <c r="G80" s="909"/>
      <c r="H80" s="909"/>
      <c r="I80" s="909"/>
      <c r="J80" s="909"/>
      <c r="K80" s="909"/>
      <c r="L80" s="909"/>
      <c r="M80" s="928"/>
      <c r="N80" s="910"/>
      <c r="O80" s="910"/>
      <c r="P80" s="910"/>
      <c r="Q80" s="910"/>
      <c r="R80" s="910"/>
      <c r="S80" s="910"/>
      <c r="T80" s="910"/>
      <c r="U80" s="910"/>
      <c r="V80" s="910"/>
      <c r="W80" s="910"/>
      <c r="X80" s="910"/>
      <c r="Y80" s="910"/>
      <c r="Z80" s="910"/>
      <c r="AA80" s="910"/>
      <c r="AB80" s="910"/>
      <c r="AC80" s="910"/>
      <c r="AD80" s="910"/>
      <c r="AE80" s="910"/>
      <c r="AF80" s="910"/>
      <c r="AG80" s="910"/>
      <c r="AH80" s="910"/>
      <c r="AI80" s="910"/>
      <c r="AJ80" s="910"/>
      <c r="AK80" s="910"/>
      <c r="AL80" s="910"/>
      <c r="AM80" s="909"/>
    </row>
    <row r="81" spans="1:39">
      <c r="A81" s="909"/>
      <c r="B81" s="909"/>
      <c r="C81" s="909"/>
      <c r="D81" s="909"/>
      <c r="E81" s="909"/>
      <c r="F81" s="909"/>
      <c r="G81" s="909"/>
      <c r="H81" s="909"/>
      <c r="I81" s="909"/>
      <c r="J81" s="909"/>
      <c r="K81" s="909"/>
      <c r="L81" s="909"/>
      <c r="M81" s="928"/>
      <c r="N81" s="910"/>
      <c r="O81" s="910"/>
      <c r="P81" s="910"/>
      <c r="Q81" s="910"/>
      <c r="R81" s="910"/>
      <c r="S81" s="910"/>
      <c r="T81" s="910"/>
      <c r="U81" s="910"/>
      <c r="V81" s="910"/>
      <c r="W81" s="910"/>
      <c r="X81" s="910"/>
      <c r="Y81" s="910"/>
      <c r="Z81" s="910"/>
      <c r="AA81" s="910"/>
      <c r="AB81" s="910"/>
      <c r="AC81" s="910"/>
      <c r="AD81" s="910"/>
      <c r="AE81" s="910"/>
      <c r="AF81" s="910"/>
      <c r="AG81" s="910"/>
      <c r="AH81" s="910"/>
      <c r="AI81" s="910"/>
      <c r="AJ81" s="910"/>
      <c r="AK81" s="910"/>
      <c r="AL81" s="910"/>
      <c r="AM81" s="909"/>
    </row>
    <row r="82" spans="1:39">
      <c r="A82" s="909"/>
      <c r="B82" s="909"/>
      <c r="C82" s="909"/>
      <c r="D82" s="909"/>
      <c r="E82" s="909"/>
      <c r="F82" s="909"/>
      <c r="G82" s="909"/>
      <c r="H82" s="909"/>
      <c r="I82" s="909"/>
      <c r="J82" s="909"/>
      <c r="K82" s="909"/>
      <c r="L82" s="909"/>
      <c r="M82" s="929"/>
      <c r="N82" s="910"/>
      <c r="O82" s="910"/>
      <c r="P82" s="910"/>
      <c r="Q82" s="910"/>
      <c r="R82" s="910"/>
      <c r="S82" s="910"/>
      <c r="T82" s="910"/>
      <c r="U82" s="910"/>
      <c r="V82" s="910"/>
      <c r="W82" s="910"/>
      <c r="X82" s="910"/>
      <c r="Y82" s="910"/>
      <c r="Z82" s="910"/>
      <c r="AA82" s="910"/>
      <c r="AB82" s="910"/>
      <c r="AC82" s="910"/>
      <c r="AD82" s="910"/>
      <c r="AE82" s="910"/>
      <c r="AF82" s="910"/>
      <c r="AG82" s="910"/>
      <c r="AH82" s="910"/>
      <c r="AI82" s="910"/>
      <c r="AJ82" s="910"/>
      <c r="AK82" s="910"/>
      <c r="AL82" s="910"/>
      <c r="AM82" s="909"/>
    </row>
    <row r="83" spans="1:39">
      <c r="A83" s="909"/>
      <c r="B83" s="909"/>
      <c r="C83" s="909"/>
      <c r="D83" s="909"/>
      <c r="E83" s="909"/>
      <c r="F83" s="909"/>
      <c r="G83" s="909"/>
      <c r="H83" s="909"/>
      <c r="I83" s="909"/>
      <c r="J83" s="909"/>
      <c r="K83" s="909"/>
      <c r="L83" s="909"/>
      <c r="M83" s="928"/>
      <c r="N83" s="910"/>
      <c r="O83" s="910"/>
      <c r="P83" s="910"/>
      <c r="Q83" s="910"/>
      <c r="R83" s="910"/>
      <c r="S83" s="910"/>
      <c r="T83" s="910"/>
      <c r="U83" s="910"/>
      <c r="V83" s="910"/>
      <c r="W83" s="910"/>
      <c r="X83" s="910"/>
      <c r="Y83" s="910"/>
      <c r="Z83" s="910"/>
      <c r="AA83" s="910"/>
      <c r="AB83" s="910"/>
      <c r="AC83" s="910"/>
      <c r="AD83" s="910"/>
      <c r="AE83" s="910"/>
      <c r="AF83" s="910"/>
      <c r="AG83" s="910"/>
      <c r="AH83" s="910"/>
      <c r="AI83" s="910"/>
      <c r="AJ83" s="910"/>
      <c r="AK83" s="910"/>
      <c r="AL83" s="910"/>
      <c r="AM83" s="909"/>
    </row>
    <row r="84" spans="1:39">
      <c r="A84" s="909"/>
      <c r="B84" s="909"/>
      <c r="C84" s="909"/>
      <c r="D84" s="909"/>
      <c r="E84" s="909"/>
      <c r="F84" s="909"/>
      <c r="G84" s="909"/>
      <c r="H84" s="909"/>
      <c r="I84" s="909"/>
      <c r="J84" s="909"/>
      <c r="K84" s="909"/>
      <c r="L84" s="909"/>
      <c r="M84" s="928"/>
      <c r="N84" s="910"/>
      <c r="O84" s="910"/>
      <c r="P84" s="910"/>
      <c r="Q84" s="910"/>
      <c r="R84" s="910"/>
      <c r="S84" s="910"/>
      <c r="T84" s="910"/>
      <c r="U84" s="910"/>
      <c r="V84" s="910"/>
      <c r="W84" s="910"/>
      <c r="X84" s="910"/>
      <c r="Y84" s="910"/>
      <c r="Z84" s="910"/>
      <c r="AA84" s="910"/>
      <c r="AB84" s="910"/>
      <c r="AC84" s="910"/>
      <c r="AD84" s="910"/>
      <c r="AE84" s="910"/>
      <c r="AF84" s="910"/>
      <c r="AG84" s="910"/>
      <c r="AH84" s="910"/>
      <c r="AI84" s="910"/>
      <c r="AJ84" s="910"/>
      <c r="AK84" s="910"/>
      <c r="AL84" s="910"/>
      <c r="AM84" s="909"/>
    </row>
    <row r="85" spans="1:39">
      <c r="A85" s="909"/>
      <c r="B85" s="909"/>
      <c r="C85" s="909"/>
      <c r="D85" s="909"/>
      <c r="E85" s="909"/>
      <c r="F85" s="909"/>
      <c r="G85" s="909"/>
      <c r="H85" s="909"/>
      <c r="I85" s="909"/>
      <c r="J85" s="909"/>
      <c r="K85" s="909"/>
      <c r="L85" s="909"/>
      <c r="M85" s="928"/>
      <c r="N85" s="910"/>
      <c r="O85" s="910"/>
      <c r="P85" s="910"/>
      <c r="Q85" s="910"/>
      <c r="R85" s="910"/>
      <c r="S85" s="910"/>
      <c r="T85" s="910"/>
      <c r="U85" s="910"/>
      <c r="V85" s="910"/>
      <c r="W85" s="910"/>
      <c r="X85" s="910"/>
      <c r="Y85" s="910"/>
      <c r="Z85" s="910"/>
      <c r="AA85" s="910"/>
      <c r="AB85" s="910"/>
      <c r="AC85" s="910"/>
      <c r="AD85" s="910"/>
      <c r="AE85" s="910"/>
      <c r="AF85" s="910"/>
      <c r="AG85" s="910"/>
      <c r="AH85" s="910"/>
      <c r="AI85" s="910"/>
      <c r="AJ85" s="910"/>
      <c r="AK85" s="910"/>
      <c r="AL85" s="910"/>
      <c r="AM85" s="909"/>
    </row>
    <row r="86" spans="1:39">
      <c r="A86" s="909"/>
      <c r="B86" s="909"/>
      <c r="C86" s="909"/>
      <c r="D86" s="909"/>
      <c r="E86" s="909"/>
      <c r="F86" s="909"/>
      <c r="G86" s="909"/>
      <c r="H86" s="909"/>
      <c r="I86" s="909"/>
      <c r="J86" s="909"/>
      <c r="K86" s="909"/>
      <c r="L86" s="909"/>
      <c r="M86" s="928"/>
      <c r="N86" s="910"/>
      <c r="O86" s="910"/>
      <c r="P86" s="910"/>
      <c r="Q86" s="910"/>
      <c r="R86" s="910"/>
      <c r="S86" s="910"/>
      <c r="T86" s="910"/>
      <c r="U86" s="910"/>
      <c r="V86" s="910"/>
      <c r="W86" s="910"/>
      <c r="X86" s="910"/>
      <c r="Y86" s="910"/>
      <c r="Z86" s="910"/>
      <c r="AA86" s="910"/>
      <c r="AB86" s="910"/>
      <c r="AC86" s="910"/>
      <c r="AD86" s="910"/>
      <c r="AE86" s="910"/>
      <c r="AF86" s="910"/>
      <c r="AG86" s="910"/>
      <c r="AH86" s="910"/>
      <c r="AI86" s="910"/>
      <c r="AJ86" s="910"/>
      <c r="AK86" s="910"/>
      <c r="AL86" s="910"/>
      <c r="AM86" s="909"/>
    </row>
    <row r="87" spans="1:39">
      <c r="A87" s="909"/>
      <c r="B87" s="909"/>
      <c r="C87" s="909"/>
      <c r="D87" s="909"/>
      <c r="E87" s="909"/>
      <c r="F87" s="909"/>
      <c r="G87" s="909"/>
      <c r="H87" s="909"/>
      <c r="I87" s="909"/>
      <c r="J87" s="909"/>
      <c r="K87" s="909"/>
      <c r="L87" s="909"/>
      <c r="M87" s="928"/>
      <c r="N87" s="910"/>
      <c r="O87" s="910"/>
      <c r="P87" s="910"/>
      <c r="Q87" s="910"/>
      <c r="R87" s="910"/>
      <c r="S87" s="910"/>
      <c r="T87" s="910"/>
      <c r="U87" s="910"/>
      <c r="V87" s="910"/>
      <c r="W87" s="910"/>
      <c r="X87" s="910"/>
      <c r="Y87" s="910"/>
      <c r="Z87" s="910"/>
      <c r="AA87" s="910"/>
      <c r="AB87" s="910"/>
      <c r="AC87" s="910"/>
      <c r="AD87" s="910"/>
      <c r="AE87" s="910"/>
      <c r="AF87" s="910"/>
      <c r="AG87" s="910"/>
      <c r="AH87" s="910"/>
      <c r="AI87" s="910"/>
      <c r="AJ87" s="910"/>
      <c r="AK87" s="910"/>
      <c r="AL87" s="910"/>
      <c r="AM87" s="909"/>
    </row>
  </sheetData>
  <sheetProtection formatColumns="0" formatRows="0" autoFilter="0"/>
  <mergeCells count="7">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5703125" style="96" hidden="1" customWidth="1"/>
    <col min="11" max="11" width="3.7109375" style="96" hidden="1" customWidth="1"/>
    <col min="12" max="12" width="5.85546875" style="96" customWidth="1"/>
    <col min="13" max="13" width="35.7109375" style="96" customWidth="1"/>
    <col min="14" max="14" width="12.7109375" style="96" customWidth="1"/>
    <col min="15" max="15" width="13.7109375" style="97" customWidth="1"/>
    <col min="16" max="17" width="13.7109375" style="96" customWidth="1"/>
    <col min="18" max="18" width="16.5703125" style="96" customWidth="1"/>
    <col min="19" max="19" width="12.7109375" style="96" customWidth="1"/>
    <col min="20" max="28" width="12.7109375" style="96" hidden="1" customWidth="1"/>
    <col min="29" max="29" width="14.5703125" style="96" customWidth="1"/>
    <col min="30" max="38" width="14.5703125" style="96" hidden="1" customWidth="1"/>
    <col min="39" max="39" width="20.7109375" style="96" customWidth="1"/>
    <col min="40" max="16384" width="9.140625" style="96"/>
  </cols>
  <sheetData>
    <row r="1" spans="1:39" hidden="1">
      <c r="A1" s="930"/>
      <c r="B1" s="930"/>
      <c r="C1" s="930"/>
      <c r="D1" s="930"/>
      <c r="E1" s="930"/>
      <c r="F1" s="930"/>
      <c r="G1" s="930"/>
      <c r="H1" s="930"/>
      <c r="I1" s="930"/>
      <c r="J1" s="930"/>
      <c r="K1" s="930"/>
      <c r="L1" s="930"/>
      <c r="M1" s="930"/>
      <c r="N1" s="930"/>
      <c r="O1" s="931"/>
      <c r="P1" s="930"/>
      <c r="Q1" s="930"/>
      <c r="R1" s="930"/>
      <c r="S1" s="851">
        <v>2024</v>
      </c>
      <c r="T1" s="851">
        <v>2025</v>
      </c>
      <c r="U1" s="851">
        <v>2026</v>
      </c>
      <c r="V1" s="851">
        <v>2027</v>
      </c>
      <c r="W1" s="851">
        <v>2028</v>
      </c>
      <c r="X1" s="851">
        <v>2029</v>
      </c>
      <c r="Y1" s="851">
        <v>2030</v>
      </c>
      <c r="Z1" s="851">
        <v>2031</v>
      </c>
      <c r="AA1" s="851">
        <v>2032</v>
      </c>
      <c r="AB1" s="851">
        <v>2033</v>
      </c>
      <c r="AC1" s="851">
        <v>2024</v>
      </c>
      <c r="AD1" s="851">
        <v>2025</v>
      </c>
      <c r="AE1" s="851">
        <v>2026</v>
      </c>
      <c r="AF1" s="851">
        <v>2027</v>
      </c>
      <c r="AG1" s="851">
        <v>2028</v>
      </c>
      <c r="AH1" s="851">
        <v>2029</v>
      </c>
      <c r="AI1" s="851">
        <v>2030</v>
      </c>
      <c r="AJ1" s="851">
        <v>2031</v>
      </c>
      <c r="AK1" s="851">
        <v>2032</v>
      </c>
      <c r="AL1" s="851">
        <v>2033</v>
      </c>
      <c r="AM1" s="930"/>
    </row>
    <row r="2" spans="1:39" hidden="1">
      <c r="A2" s="930"/>
      <c r="B2" s="930"/>
      <c r="C2" s="930"/>
      <c r="D2" s="930"/>
      <c r="E2" s="930"/>
      <c r="F2" s="930"/>
      <c r="G2" s="930"/>
      <c r="H2" s="930"/>
      <c r="I2" s="930"/>
      <c r="J2" s="930"/>
      <c r="K2" s="930"/>
      <c r="L2" s="930"/>
      <c r="M2" s="930"/>
      <c r="N2" s="930"/>
      <c r="O2" s="931"/>
      <c r="P2" s="930"/>
      <c r="Q2" s="930"/>
      <c r="R2" s="930"/>
      <c r="S2" s="851"/>
      <c r="T2" s="851"/>
      <c r="U2" s="851"/>
      <c r="V2" s="851"/>
      <c r="W2" s="851"/>
      <c r="X2" s="851"/>
      <c r="Y2" s="851"/>
      <c r="Z2" s="851"/>
      <c r="AA2" s="851"/>
      <c r="AB2" s="851"/>
      <c r="AC2" s="851"/>
      <c r="AD2" s="851"/>
      <c r="AE2" s="851"/>
      <c r="AF2" s="851"/>
      <c r="AG2" s="851"/>
      <c r="AH2" s="851"/>
      <c r="AI2" s="851"/>
      <c r="AJ2" s="851"/>
      <c r="AK2" s="851"/>
      <c r="AL2" s="851"/>
      <c r="AM2" s="930"/>
    </row>
    <row r="3" spans="1:39" hidden="1">
      <c r="A3" s="930"/>
      <c r="B3" s="930"/>
      <c r="C3" s="930"/>
      <c r="D3" s="930"/>
      <c r="E3" s="930"/>
      <c r="F3" s="930"/>
      <c r="G3" s="930"/>
      <c r="H3" s="930"/>
      <c r="I3" s="930"/>
      <c r="J3" s="930"/>
      <c r="K3" s="930"/>
      <c r="L3" s="930"/>
      <c r="M3" s="930"/>
      <c r="N3" s="930"/>
      <c r="O3" s="931"/>
      <c r="P3" s="930"/>
      <c r="Q3" s="930"/>
      <c r="R3" s="930"/>
      <c r="S3" s="851"/>
      <c r="T3" s="851"/>
      <c r="U3" s="851"/>
      <c r="V3" s="851"/>
      <c r="W3" s="851"/>
      <c r="X3" s="851"/>
      <c r="Y3" s="851"/>
      <c r="Z3" s="851"/>
      <c r="AA3" s="851"/>
      <c r="AB3" s="851"/>
      <c r="AC3" s="851"/>
      <c r="AD3" s="851"/>
      <c r="AE3" s="851"/>
      <c r="AF3" s="851"/>
      <c r="AG3" s="851"/>
      <c r="AH3" s="851"/>
      <c r="AI3" s="851"/>
      <c r="AJ3" s="851"/>
      <c r="AK3" s="851"/>
      <c r="AL3" s="851"/>
      <c r="AM3" s="930"/>
    </row>
    <row r="4" spans="1:39" hidden="1">
      <c r="A4" s="930"/>
      <c r="B4" s="930"/>
      <c r="C4" s="930"/>
      <c r="D4" s="930"/>
      <c r="E4" s="930"/>
      <c r="F4" s="930"/>
      <c r="G4" s="930"/>
      <c r="H4" s="930"/>
      <c r="I4" s="930"/>
      <c r="J4" s="930"/>
      <c r="K4" s="930"/>
      <c r="L4" s="930"/>
      <c r="M4" s="930"/>
      <c r="N4" s="930"/>
      <c r="O4" s="931"/>
      <c r="P4" s="930"/>
      <c r="Q4" s="930"/>
      <c r="R4" s="930"/>
      <c r="S4" s="851"/>
      <c r="T4" s="851"/>
      <c r="U4" s="851"/>
      <c r="V4" s="851"/>
      <c r="W4" s="851"/>
      <c r="X4" s="851"/>
      <c r="Y4" s="851"/>
      <c r="Z4" s="851"/>
      <c r="AA4" s="851"/>
      <c r="AB4" s="851"/>
      <c r="AC4" s="851"/>
      <c r="AD4" s="851"/>
      <c r="AE4" s="851"/>
      <c r="AF4" s="851"/>
      <c r="AG4" s="851"/>
      <c r="AH4" s="851"/>
      <c r="AI4" s="851"/>
      <c r="AJ4" s="851"/>
      <c r="AK4" s="851"/>
      <c r="AL4" s="851"/>
      <c r="AM4" s="930"/>
    </row>
    <row r="5" spans="1:39" hidden="1">
      <c r="A5" s="930"/>
      <c r="B5" s="930"/>
      <c r="C5" s="930"/>
      <c r="D5" s="930"/>
      <c r="E5" s="930"/>
      <c r="F5" s="930"/>
      <c r="G5" s="930"/>
      <c r="H5" s="930"/>
      <c r="I5" s="930"/>
      <c r="J5" s="930"/>
      <c r="K5" s="930"/>
      <c r="L5" s="930"/>
      <c r="M5" s="930"/>
      <c r="N5" s="930"/>
      <c r="O5" s="931"/>
      <c r="P5" s="930"/>
      <c r="Q5" s="930"/>
      <c r="R5" s="930"/>
      <c r="S5" s="851"/>
      <c r="T5" s="851"/>
      <c r="U5" s="851"/>
      <c r="V5" s="851"/>
      <c r="W5" s="851"/>
      <c r="X5" s="851"/>
      <c r="Y5" s="851"/>
      <c r="Z5" s="851"/>
      <c r="AA5" s="851"/>
      <c r="AB5" s="851"/>
      <c r="AC5" s="851"/>
      <c r="AD5" s="851"/>
      <c r="AE5" s="851"/>
      <c r="AF5" s="851"/>
      <c r="AG5" s="851"/>
      <c r="AH5" s="851"/>
      <c r="AI5" s="851"/>
      <c r="AJ5" s="851"/>
      <c r="AK5" s="851"/>
      <c r="AL5" s="851"/>
      <c r="AM5" s="930"/>
    </row>
    <row r="6" spans="1:39" hidden="1">
      <c r="A6" s="930"/>
      <c r="B6" s="930"/>
      <c r="C6" s="930"/>
      <c r="D6" s="930"/>
      <c r="E6" s="930"/>
      <c r="F6" s="930"/>
      <c r="G6" s="930"/>
      <c r="H6" s="930"/>
      <c r="I6" s="930"/>
      <c r="J6" s="930"/>
      <c r="K6" s="930"/>
      <c r="L6" s="930"/>
      <c r="M6" s="930"/>
      <c r="N6" s="930"/>
      <c r="O6" s="931"/>
      <c r="P6" s="930"/>
      <c r="Q6" s="930"/>
      <c r="R6" s="930"/>
      <c r="S6" s="851"/>
      <c r="T6" s="851"/>
      <c r="U6" s="851"/>
      <c r="V6" s="851"/>
      <c r="W6" s="851"/>
      <c r="X6" s="851"/>
      <c r="Y6" s="851"/>
      <c r="Z6" s="851"/>
      <c r="AA6" s="851"/>
      <c r="AB6" s="851"/>
      <c r="AC6" s="851"/>
      <c r="AD6" s="851"/>
      <c r="AE6" s="851"/>
      <c r="AF6" s="851"/>
      <c r="AG6" s="851"/>
      <c r="AH6" s="851"/>
      <c r="AI6" s="851"/>
      <c r="AJ6" s="851"/>
      <c r="AK6" s="851"/>
      <c r="AL6" s="851"/>
      <c r="AM6" s="930"/>
    </row>
    <row r="7" spans="1:39" hidden="1">
      <c r="A7" s="930"/>
      <c r="B7" s="930"/>
      <c r="C7" s="930"/>
      <c r="D7" s="930"/>
      <c r="E7" s="930"/>
      <c r="F7" s="930"/>
      <c r="G7" s="930"/>
      <c r="H7" s="930"/>
      <c r="I7" s="930"/>
      <c r="J7" s="930"/>
      <c r="K7" s="930"/>
      <c r="L7" s="930"/>
      <c r="M7" s="930"/>
      <c r="N7" s="930"/>
      <c r="O7" s="931"/>
      <c r="P7" s="930"/>
      <c r="Q7" s="930"/>
      <c r="R7" s="930"/>
      <c r="S7" s="800" t="b">
        <v>1</v>
      </c>
      <c r="T7" s="800" t="b">
        <v>0</v>
      </c>
      <c r="U7" s="800" t="b">
        <v>0</v>
      </c>
      <c r="V7" s="800" t="b">
        <v>0</v>
      </c>
      <c r="W7" s="800" t="b">
        <v>0</v>
      </c>
      <c r="X7" s="800" t="b">
        <v>0</v>
      </c>
      <c r="Y7" s="800" t="b">
        <v>0</v>
      </c>
      <c r="Z7" s="800" t="b">
        <v>0</v>
      </c>
      <c r="AA7" s="800" t="b">
        <v>0</v>
      </c>
      <c r="AB7" s="800" t="b">
        <v>0</v>
      </c>
      <c r="AC7" s="800" t="b">
        <v>1</v>
      </c>
      <c r="AD7" s="800" t="b">
        <v>0</v>
      </c>
      <c r="AE7" s="800" t="b">
        <v>0</v>
      </c>
      <c r="AF7" s="800" t="b">
        <v>0</v>
      </c>
      <c r="AG7" s="800" t="b">
        <v>0</v>
      </c>
      <c r="AH7" s="800" t="b">
        <v>0</v>
      </c>
      <c r="AI7" s="800" t="b">
        <v>0</v>
      </c>
      <c r="AJ7" s="800" t="b">
        <v>0</v>
      </c>
      <c r="AK7" s="800" t="b">
        <v>0</v>
      </c>
      <c r="AL7" s="800" t="b">
        <v>0</v>
      </c>
      <c r="AM7" s="930"/>
    </row>
    <row r="8" spans="1:39" hidden="1">
      <c r="A8" s="930"/>
      <c r="B8" s="930"/>
      <c r="C8" s="930"/>
      <c r="D8" s="930"/>
      <c r="E8" s="930"/>
      <c r="F8" s="930"/>
      <c r="G8" s="930"/>
      <c r="H8" s="930"/>
      <c r="I8" s="930"/>
      <c r="J8" s="930"/>
      <c r="K8" s="930"/>
      <c r="L8" s="930"/>
      <c r="M8" s="930"/>
      <c r="N8" s="930"/>
      <c r="O8" s="931"/>
      <c r="P8" s="930"/>
      <c r="Q8" s="930"/>
      <c r="R8" s="930"/>
      <c r="S8" s="930"/>
      <c r="T8" s="930"/>
      <c r="U8" s="930"/>
      <c r="V8" s="930"/>
      <c r="W8" s="930"/>
      <c r="X8" s="930"/>
      <c r="Y8" s="930"/>
      <c r="Z8" s="930"/>
      <c r="AA8" s="930"/>
      <c r="AB8" s="930"/>
      <c r="AC8" s="930"/>
      <c r="AD8" s="930"/>
      <c r="AE8" s="930"/>
      <c r="AF8" s="930"/>
      <c r="AG8" s="930"/>
      <c r="AH8" s="930"/>
      <c r="AI8" s="930"/>
      <c r="AJ8" s="930"/>
      <c r="AK8" s="930"/>
      <c r="AL8" s="930"/>
      <c r="AM8" s="930"/>
    </row>
    <row r="9" spans="1:39" hidden="1">
      <c r="A9" s="930"/>
      <c r="B9" s="930"/>
      <c r="C9" s="930"/>
      <c r="D9" s="930"/>
      <c r="E9" s="930"/>
      <c r="F9" s="930"/>
      <c r="G9" s="930"/>
      <c r="H9" s="930"/>
      <c r="I9" s="930"/>
      <c r="J9" s="930"/>
      <c r="K9" s="930"/>
      <c r="L9" s="930"/>
      <c r="M9" s="930"/>
      <c r="N9" s="930"/>
      <c r="O9" s="931"/>
      <c r="P9" s="930"/>
      <c r="Q9" s="930"/>
      <c r="R9" s="930"/>
      <c r="S9" s="930"/>
      <c r="T9" s="930"/>
      <c r="U9" s="930"/>
      <c r="V9" s="930"/>
      <c r="W9" s="930"/>
      <c r="X9" s="930"/>
      <c r="Y9" s="930"/>
      <c r="Z9" s="930"/>
      <c r="AA9" s="930"/>
      <c r="AB9" s="930"/>
      <c r="AC9" s="930"/>
      <c r="AD9" s="930"/>
      <c r="AE9" s="930"/>
      <c r="AF9" s="930"/>
      <c r="AG9" s="930"/>
      <c r="AH9" s="930"/>
      <c r="AI9" s="930"/>
      <c r="AJ9" s="930"/>
      <c r="AK9" s="930"/>
      <c r="AL9" s="930"/>
      <c r="AM9" s="930"/>
    </row>
    <row r="10" spans="1:39" hidden="1">
      <c r="A10" s="930"/>
      <c r="B10" s="930"/>
      <c r="C10" s="930"/>
      <c r="D10" s="930"/>
      <c r="E10" s="930"/>
      <c r="F10" s="930"/>
      <c r="G10" s="930"/>
      <c r="H10" s="930"/>
      <c r="I10" s="930"/>
      <c r="J10" s="930"/>
      <c r="K10" s="930"/>
      <c r="L10" s="930"/>
      <c r="M10" s="930"/>
      <c r="N10" s="930"/>
      <c r="O10" s="931"/>
      <c r="P10" s="930"/>
      <c r="Q10" s="930"/>
      <c r="R10" s="930"/>
      <c r="S10" s="930"/>
      <c r="T10" s="930"/>
      <c r="U10" s="930"/>
      <c r="V10" s="930"/>
      <c r="W10" s="930"/>
      <c r="X10" s="930"/>
      <c r="Y10" s="930"/>
      <c r="Z10" s="930"/>
      <c r="AA10" s="930"/>
      <c r="AB10" s="930"/>
      <c r="AC10" s="930"/>
      <c r="AD10" s="930"/>
      <c r="AE10" s="930"/>
      <c r="AF10" s="930"/>
      <c r="AG10" s="930"/>
      <c r="AH10" s="930"/>
      <c r="AI10" s="930"/>
      <c r="AJ10" s="930"/>
      <c r="AK10" s="930"/>
      <c r="AL10" s="930"/>
      <c r="AM10" s="930"/>
    </row>
    <row r="11" spans="1:39" ht="15" hidden="1" customHeight="1">
      <c r="A11" s="930"/>
      <c r="B11" s="930"/>
      <c r="C11" s="930"/>
      <c r="D11" s="930"/>
      <c r="E11" s="930"/>
      <c r="F11" s="930"/>
      <c r="G11" s="930"/>
      <c r="H11" s="930"/>
      <c r="I11" s="930"/>
      <c r="J11" s="930"/>
      <c r="K11" s="930"/>
      <c r="L11" s="930"/>
      <c r="M11" s="932"/>
      <c r="N11" s="930"/>
      <c r="O11" s="931"/>
      <c r="P11" s="930"/>
      <c r="Q11" s="930"/>
      <c r="R11" s="930"/>
      <c r="S11" s="930"/>
      <c r="T11" s="930"/>
      <c r="U11" s="930"/>
      <c r="V11" s="930"/>
      <c r="W11" s="930"/>
      <c r="X11" s="930"/>
      <c r="Y11" s="930"/>
      <c r="Z11" s="930"/>
      <c r="AA11" s="930"/>
      <c r="AB11" s="930"/>
      <c r="AC11" s="930"/>
      <c r="AD11" s="930"/>
      <c r="AE11" s="930"/>
      <c r="AF11" s="930"/>
      <c r="AG11" s="930"/>
      <c r="AH11" s="930"/>
      <c r="AI11" s="930"/>
      <c r="AJ11" s="930"/>
      <c r="AK11" s="930"/>
      <c r="AL11" s="930"/>
      <c r="AM11" s="930"/>
    </row>
    <row r="12" spans="1:39" s="82" customFormat="1" ht="20.100000000000001" customHeight="1">
      <c r="A12" s="844"/>
      <c r="B12" s="844"/>
      <c r="C12" s="844"/>
      <c r="D12" s="844"/>
      <c r="E12" s="844"/>
      <c r="F12" s="844"/>
      <c r="G12" s="844"/>
      <c r="H12" s="844"/>
      <c r="I12" s="844"/>
      <c r="J12" s="844"/>
      <c r="K12" s="844"/>
      <c r="L12" s="483" t="s">
        <v>1282</v>
      </c>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row>
    <row r="13" spans="1:39" s="82" customFormat="1" ht="11.25" customHeight="1">
      <c r="A13" s="844"/>
      <c r="B13" s="844"/>
      <c r="C13" s="844"/>
      <c r="D13" s="844"/>
      <c r="E13" s="844"/>
      <c r="F13" s="844"/>
      <c r="G13" s="844"/>
      <c r="H13" s="844"/>
      <c r="I13" s="844"/>
      <c r="J13" s="844"/>
      <c r="K13" s="844"/>
      <c r="L13" s="933"/>
      <c r="M13" s="844"/>
      <c r="N13" s="844"/>
      <c r="O13" s="934"/>
      <c r="P13" s="844"/>
      <c r="Q13" s="844"/>
      <c r="R13" s="844"/>
      <c r="S13" s="844"/>
      <c r="T13" s="844"/>
      <c r="U13" s="844"/>
      <c r="V13" s="844"/>
      <c r="W13" s="844"/>
      <c r="X13" s="844"/>
      <c r="Y13" s="844"/>
      <c r="Z13" s="844"/>
      <c r="AA13" s="844"/>
      <c r="AB13" s="844"/>
      <c r="AC13" s="844"/>
      <c r="AD13" s="844"/>
      <c r="AE13" s="844"/>
      <c r="AF13" s="844"/>
      <c r="AG13" s="844"/>
      <c r="AH13" s="844"/>
      <c r="AI13" s="844"/>
      <c r="AJ13" s="844"/>
      <c r="AK13" s="844"/>
      <c r="AL13" s="844"/>
      <c r="AM13" s="844"/>
    </row>
    <row r="14" spans="1:39" s="82" customFormat="1" ht="15" customHeight="1">
      <c r="A14" s="844"/>
      <c r="B14" s="844"/>
      <c r="C14" s="844"/>
      <c r="D14" s="844"/>
      <c r="E14" s="844"/>
      <c r="F14" s="844"/>
      <c r="G14" s="844"/>
      <c r="H14" s="844"/>
      <c r="I14" s="844"/>
      <c r="J14" s="844"/>
      <c r="K14" s="844"/>
      <c r="L14" s="891" t="s">
        <v>16</v>
      </c>
      <c r="M14" s="891" t="s">
        <v>121</v>
      </c>
      <c r="N14" s="891" t="s">
        <v>285</v>
      </c>
      <c r="O14" s="856" t="s">
        <v>2567</v>
      </c>
      <c r="P14" s="856" t="s">
        <v>2567</v>
      </c>
      <c r="Q14" s="856" t="s">
        <v>2567</v>
      </c>
      <c r="R14" s="857" t="s">
        <v>2568</v>
      </c>
      <c r="S14" s="817" t="s">
        <v>2569</v>
      </c>
      <c r="T14" s="817" t="s">
        <v>2598</v>
      </c>
      <c r="U14" s="817" t="s">
        <v>2599</v>
      </c>
      <c r="V14" s="817" t="s">
        <v>2600</v>
      </c>
      <c r="W14" s="817" t="s">
        <v>2601</v>
      </c>
      <c r="X14" s="817" t="s">
        <v>2602</v>
      </c>
      <c r="Y14" s="817" t="s">
        <v>2603</v>
      </c>
      <c r="Z14" s="817" t="s">
        <v>2604</v>
      </c>
      <c r="AA14" s="817" t="s">
        <v>2605</v>
      </c>
      <c r="AB14" s="817" t="s">
        <v>2606</v>
      </c>
      <c r="AC14" s="817" t="s">
        <v>2569</v>
      </c>
      <c r="AD14" s="817" t="s">
        <v>2598</v>
      </c>
      <c r="AE14" s="817" t="s">
        <v>2599</v>
      </c>
      <c r="AF14" s="817" t="s">
        <v>2600</v>
      </c>
      <c r="AG14" s="817" t="s">
        <v>2601</v>
      </c>
      <c r="AH14" s="817" t="s">
        <v>2602</v>
      </c>
      <c r="AI14" s="817" t="s">
        <v>2603</v>
      </c>
      <c r="AJ14" s="817" t="s">
        <v>2604</v>
      </c>
      <c r="AK14" s="817" t="s">
        <v>2605</v>
      </c>
      <c r="AL14" s="817" t="s">
        <v>2606</v>
      </c>
      <c r="AM14" s="854" t="s">
        <v>323</v>
      </c>
    </row>
    <row r="15" spans="1:39" s="82" customFormat="1" ht="50.1" customHeight="1">
      <c r="A15" s="844"/>
      <c r="B15" s="844"/>
      <c r="C15" s="844"/>
      <c r="D15" s="844"/>
      <c r="E15" s="844"/>
      <c r="F15" s="844"/>
      <c r="G15" s="844"/>
      <c r="H15" s="844"/>
      <c r="I15" s="844"/>
      <c r="J15" s="844"/>
      <c r="K15" s="844"/>
      <c r="L15" s="891"/>
      <c r="M15" s="891"/>
      <c r="N15" s="891"/>
      <c r="O15" s="817" t="s">
        <v>286</v>
      </c>
      <c r="P15" s="817" t="s">
        <v>324</v>
      </c>
      <c r="Q15" s="817" t="s">
        <v>304</v>
      </c>
      <c r="R15" s="817" t="s">
        <v>286</v>
      </c>
      <c r="S15" s="860" t="s">
        <v>287</v>
      </c>
      <c r="T15" s="860" t="s">
        <v>287</v>
      </c>
      <c r="U15" s="860" t="s">
        <v>287</v>
      </c>
      <c r="V15" s="860" t="s">
        <v>287</v>
      </c>
      <c r="W15" s="860" t="s">
        <v>287</v>
      </c>
      <c r="X15" s="860" t="s">
        <v>287</v>
      </c>
      <c r="Y15" s="860" t="s">
        <v>287</v>
      </c>
      <c r="Z15" s="860" t="s">
        <v>287</v>
      </c>
      <c r="AA15" s="860" t="s">
        <v>287</v>
      </c>
      <c r="AB15" s="860" t="s">
        <v>287</v>
      </c>
      <c r="AC15" s="860" t="s">
        <v>286</v>
      </c>
      <c r="AD15" s="860" t="s">
        <v>286</v>
      </c>
      <c r="AE15" s="860" t="s">
        <v>286</v>
      </c>
      <c r="AF15" s="860" t="s">
        <v>286</v>
      </c>
      <c r="AG15" s="860" t="s">
        <v>286</v>
      </c>
      <c r="AH15" s="860" t="s">
        <v>286</v>
      </c>
      <c r="AI15" s="860" t="s">
        <v>286</v>
      </c>
      <c r="AJ15" s="860" t="s">
        <v>286</v>
      </c>
      <c r="AK15" s="860" t="s">
        <v>286</v>
      </c>
      <c r="AL15" s="860" t="s">
        <v>286</v>
      </c>
      <c r="AM15" s="854"/>
    </row>
    <row r="16" spans="1:39" s="82" customFormat="1">
      <c r="A16" s="861" t="s">
        <v>18</v>
      </c>
      <c r="B16" s="844"/>
      <c r="C16" s="844"/>
      <c r="D16" s="844"/>
      <c r="E16" s="844"/>
      <c r="F16" s="844"/>
      <c r="G16" s="844"/>
      <c r="H16" s="844"/>
      <c r="I16" s="844"/>
      <c r="J16" s="844"/>
      <c r="K16" s="844"/>
      <c r="L16" s="918" t="s">
        <v>2545</v>
      </c>
      <c r="M16" s="755"/>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756"/>
      <c r="AK16" s="756"/>
      <c r="AL16" s="756"/>
      <c r="AM16" s="919"/>
    </row>
    <row r="17" spans="1:39" s="82" customFormat="1" ht="22.5">
      <c r="A17" s="895">
        <v>1</v>
      </c>
      <c r="B17" s="844"/>
      <c r="C17" s="844"/>
      <c r="D17" s="844"/>
      <c r="E17" s="844"/>
      <c r="F17" s="844"/>
      <c r="G17" s="844"/>
      <c r="H17" s="844"/>
      <c r="I17" s="844"/>
      <c r="J17" s="844"/>
      <c r="K17" s="844"/>
      <c r="L17" s="935" t="s">
        <v>18</v>
      </c>
      <c r="M17" s="228" t="s">
        <v>411</v>
      </c>
      <c r="N17" s="936" t="s">
        <v>370</v>
      </c>
      <c r="O17" s="937">
        <v>0</v>
      </c>
      <c r="P17" s="937">
        <v>0</v>
      </c>
      <c r="Q17" s="937">
        <v>0</v>
      </c>
      <c r="R17" s="937">
        <v>0</v>
      </c>
      <c r="S17" s="937">
        <v>0</v>
      </c>
      <c r="T17" s="937">
        <v>0</v>
      </c>
      <c r="U17" s="937">
        <v>0</v>
      </c>
      <c r="V17" s="937">
        <v>0</v>
      </c>
      <c r="W17" s="937">
        <v>0</v>
      </c>
      <c r="X17" s="937">
        <v>0</v>
      </c>
      <c r="Y17" s="937">
        <v>0</v>
      </c>
      <c r="Z17" s="937">
        <v>0</v>
      </c>
      <c r="AA17" s="937">
        <v>0</v>
      </c>
      <c r="AB17" s="937">
        <v>0</v>
      </c>
      <c r="AC17" s="937">
        <v>0</v>
      </c>
      <c r="AD17" s="937">
        <v>0</v>
      </c>
      <c r="AE17" s="937">
        <v>0</v>
      </c>
      <c r="AF17" s="937">
        <v>0</v>
      </c>
      <c r="AG17" s="937">
        <v>0</v>
      </c>
      <c r="AH17" s="937">
        <v>0</v>
      </c>
      <c r="AI17" s="937">
        <v>0</v>
      </c>
      <c r="AJ17" s="937">
        <v>0</v>
      </c>
      <c r="AK17" s="937">
        <v>0</v>
      </c>
      <c r="AL17" s="937">
        <v>0</v>
      </c>
      <c r="AM17" s="868"/>
    </row>
    <row r="18" spans="1:39" s="82" customFormat="1">
      <c r="A18" s="895">
        <v>1</v>
      </c>
      <c r="B18" s="844"/>
      <c r="C18" s="844"/>
      <c r="D18" s="844"/>
      <c r="E18" s="844"/>
      <c r="F18" s="844"/>
      <c r="G18" s="844"/>
      <c r="H18" s="844"/>
      <c r="I18" s="844"/>
      <c r="J18" s="844"/>
      <c r="K18" s="844"/>
      <c r="L18" s="938" t="s">
        <v>165</v>
      </c>
      <c r="M18" s="231" t="s">
        <v>12</v>
      </c>
      <c r="N18" s="819" t="s">
        <v>370</v>
      </c>
      <c r="O18" s="939">
        <v>0</v>
      </c>
      <c r="P18" s="939">
        <v>0</v>
      </c>
      <c r="Q18" s="939">
        <v>0</v>
      </c>
      <c r="R18" s="939">
        <v>0</v>
      </c>
      <c r="S18" s="939">
        <v>0</v>
      </c>
      <c r="T18" s="939">
        <v>0</v>
      </c>
      <c r="U18" s="939">
        <v>0</v>
      </c>
      <c r="V18" s="939">
        <v>0</v>
      </c>
      <c r="W18" s="939">
        <v>0</v>
      </c>
      <c r="X18" s="939">
        <v>0</v>
      </c>
      <c r="Y18" s="939">
        <v>0</v>
      </c>
      <c r="Z18" s="939">
        <v>0</v>
      </c>
      <c r="AA18" s="939">
        <v>0</v>
      </c>
      <c r="AB18" s="939">
        <v>0</v>
      </c>
      <c r="AC18" s="939">
        <v>0</v>
      </c>
      <c r="AD18" s="939">
        <v>0</v>
      </c>
      <c r="AE18" s="939">
        <v>0</v>
      </c>
      <c r="AF18" s="939">
        <v>0</v>
      </c>
      <c r="AG18" s="939">
        <v>0</v>
      </c>
      <c r="AH18" s="939">
        <v>0</v>
      </c>
      <c r="AI18" s="939">
        <v>0</v>
      </c>
      <c r="AJ18" s="939">
        <v>0</v>
      </c>
      <c r="AK18" s="939">
        <v>0</v>
      </c>
      <c r="AL18" s="939">
        <v>0</v>
      </c>
      <c r="AM18" s="868"/>
    </row>
    <row r="19" spans="1:39" s="82" customFormat="1" ht="22.5">
      <c r="A19" s="895">
        <v>1</v>
      </c>
      <c r="B19" s="844"/>
      <c r="C19" s="844"/>
      <c r="D19" s="844"/>
      <c r="E19" s="844"/>
      <c r="F19" s="844"/>
      <c r="G19" s="844"/>
      <c r="H19" s="844"/>
      <c r="I19" s="844"/>
      <c r="J19" s="844"/>
      <c r="K19" s="844"/>
      <c r="L19" s="938" t="s">
        <v>412</v>
      </c>
      <c r="M19" s="940" t="s">
        <v>413</v>
      </c>
      <c r="N19" s="819" t="s">
        <v>370</v>
      </c>
      <c r="O19" s="939"/>
      <c r="P19" s="939"/>
      <c r="Q19" s="939"/>
      <c r="R19" s="939"/>
      <c r="S19" s="939"/>
      <c r="T19" s="939"/>
      <c r="U19" s="939"/>
      <c r="V19" s="939"/>
      <c r="W19" s="939"/>
      <c r="X19" s="939"/>
      <c r="Y19" s="939"/>
      <c r="Z19" s="939"/>
      <c r="AA19" s="939"/>
      <c r="AB19" s="939"/>
      <c r="AC19" s="939"/>
      <c r="AD19" s="939"/>
      <c r="AE19" s="939"/>
      <c r="AF19" s="939"/>
      <c r="AG19" s="939"/>
      <c r="AH19" s="939"/>
      <c r="AI19" s="939"/>
      <c r="AJ19" s="939"/>
      <c r="AK19" s="939"/>
      <c r="AL19" s="939"/>
      <c r="AM19" s="868"/>
    </row>
    <row r="20" spans="1:39" s="82" customFormat="1">
      <c r="A20" s="895">
        <v>1</v>
      </c>
      <c r="B20" s="844"/>
      <c r="C20" s="844"/>
      <c r="D20" s="844"/>
      <c r="E20" s="844"/>
      <c r="F20" s="844"/>
      <c r="G20" s="844"/>
      <c r="H20" s="844"/>
      <c r="I20" s="844"/>
      <c r="J20" s="844"/>
      <c r="K20" s="844"/>
      <c r="L20" s="938" t="s">
        <v>414</v>
      </c>
      <c r="M20" s="940" t="s">
        <v>415</v>
      </c>
      <c r="N20" s="819" t="s">
        <v>370</v>
      </c>
      <c r="O20" s="939"/>
      <c r="P20" s="939"/>
      <c r="Q20" s="939"/>
      <c r="R20" s="939"/>
      <c r="S20" s="939"/>
      <c r="T20" s="939"/>
      <c r="U20" s="939"/>
      <c r="V20" s="939"/>
      <c r="W20" s="939"/>
      <c r="X20" s="939"/>
      <c r="Y20" s="939"/>
      <c r="Z20" s="939"/>
      <c r="AA20" s="939"/>
      <c r="AB20" s="939"/>
      <c r="AC20" s="939"/>
      <c r="AD20" s="939"/>
      <c r="AE20" s="939"/>
      <c r="AF20" s="939"/>
      <c r="AG20" s="939"/>
      <c r="AH20" s="939"/>
      <c r="AI20" s="939"/>
      <c r="AJ20" s="939"/>
      <c r="AK20" s="939"/>
      <c r="AL20" s="939"/>
      <c r="AM20" s="868"/>
    </row>
    <row r="21" spans="1:39" s="82" customFormat="1">
      <c r="A21" s="895">
        <v>1</v>
      </c>
      <c r="B21" s="844"/>
      <c r="C21" s="844"/>
      <c r="D21" s="844"/>
      <c r="E21" s="844"/>
      <c r="F21" s="844"/>
      <c r="G21" s="844"/>
      <c r="H21" s="844"/>
      <c r="I21" s="844"/>
      <c r="J21" s="844"/>
      <c r="K21" s="844"/>
      <c r="L21" s="938" t="s">
        <v>166</v>
      </c>
      <c r="M21" s="941" t="s">
        <v>416</v>
      </c>
      <c r="N21" s="819" t="s">
        <v>370</v>
      </c>
      <c r="O21" s="939"/>
      <c r="P21" s="939"/>
      <c r="Q21" s="939"/>
      <c r="R21" s="939"/>
      <c r="S21" s="939"/>
      <c r="T21" s="939"/>
      <c r="U21" s="939"/>
      <c r="V21" s="939"/>
      <c r="W21" s="939"/>
      <c r="X21" s="939"/>
      <c r="Y21" s="939"/>
      <c r="Z21" s="939"/>
      <c r="AA21" s="939"/>
      <c r="AB21" s="939"/>
      <c r="AC21" s="939"/>
      <c r="AD21" s="939"/>
      <c r="AE21" s="939"/>
      <c r="AF21" s="939"/>
      <c r="AG21" s="939"/>
      <c r="AH21" s="939"/>
      <c r="AI21" s="939"/>
      <c r="AJ21" s="939"/>
      <c r="AK21" s="939"/>
      <c r="AL21" s="939"/>
      <c r="AM21" s="868"/>
    </row>
    <row r="22" spans="1:39" s="82" customFormat="1">
      <c r="A22" s="895">
        <v>1</v>
      </c>
      <c r="B22" s="844"/>
      <c r="C22" s="844"/>
      <c r="D22" s="844"/>
      <c r="E22" s="844"/>
      <c r="F22" s="844"/>
      <c r="G22" s="844"/>
      <c r="H22" s="844"/>
      <c r="I22" s="844"/>
      <c r="J22" s="844"/>
      <c r="K22" s="844"/>
      <c r="L22" s="938" t="s">
        <v>378</v>
      </c>
      <c r="M22" s="942" t="s">
        <v>417</v>
      </c>
      <c r="N22" s="819" t="s">
        <v>370</v>
      </c>
      <c r="O22" s="939"/>
      <c r="P22" s="939"/>
      <c r="Q22" s="939"/>
      <c r="R22" s="939"/>
      <c r="S22" s="939"/>
      <c r="T22" s="939"/>
      <c r="U22" s="939"/>
      <c r="V22" s="939"/>
      <c r="W22" s="939"/>
      <c r="X22" s="939"/>
      <c r="Y22" s="939"/>
      <c r="Z22" s="939"/>
      <c r="AA22" s="939"/>
      <c r="AB22" s="939"/>
      <c r="AC22" s="939"/>
      <c r="AD22" s="939"/>
      <c r="AE22" s="939"/>
      <c r="AF22" s="939"/>
      <c r="AG22" s="939"/>
      <c r="AH22" s="939"/>
      <c r="AI22" s="939"/>
      <c r="AJ22" s="939"/>
      <c r="AK22" s="939"/>
      <c r="AL22" s="939"/>
      <c r="AM22" s="868"/>
    </row>
    <row r="23" spans="1:39" s="82" customFormat="1">
      <c r="A23" s="895">
        <v>1</v>
      </c>
      <c r="B23" s="844"/>
      <c r="C23" s="844"/>
      <c r="D23" s="844"/>
      <c r="E23" s="844"/>
      <c r="F23" s="844"/>
      <c r="G23" s="844"/>
      <c r="H23" s="844"/>
      <c r="I23" s="844"/>
      <c r="J23" s="844"/>
      <c r="K23" s="844"/>
      <c r="L23" s="938" t="s">
        <v>380</v>
      </c>
      <c r="M23" s="942" t="s">
        <v>418</v>
      </c>
      <c r="N23" s="819" t="s">
        <v>370</v>
      </c>
      <c r="O23" s="939"/>
      <c r="P23" s="939"/>
      <c r="Q23" s="939"/>
      <c r="R23" s="939"/>
      <c r="S23" s="939"/>
      <c r="T23" s="939"/>
      <c r="U23" s="939"/>
      <c r="V23" s="939"/>
      <c r="W23" s="939"/>
      <c r="X23" s="939"/>
      <c r="Y23" s="939"/>
      <c r="Z23" s="939"/>
      <c r="AA23" s="939"/>
      <c r="AB23" s="939"/>
      <c r="AC23" s="939"/>
      <c r="AD23" s="939"/>
      <c r="AE23" s="939"/>
      <c r="AF23" s="939"/>
      <c r="AG23" s="939"/>
      <c r="AH23" s="939"/>
      <c r="AI23" s="939"/>
      <c r="AJ23" s="939"/>
      <c r="AK23" s="939"/>
      <c r="AL23" s="939"/>
      <c r="AM23" s="868"/>
    </row>
    <row r="24" spans="1:39">
      <c r="A24" s="930"/>
      <c r="B24" s="930"/>
      <c r="C24" s="930"/>
      <c r="D24" s="930"/>
      <c r="E24" s="930"/>
      <c r="F24" s="930"/>
      <c r="G24" s="930"/>
      <c r="H24" s="930"/>
      <c r="I24" s="930"/>
      <c r="J24" s="930"/>
      <c r="K24" s="930"/>
      <c r="L24" s="930"/>
      <c r="M24" s="930"/>
      <c r="N24" s="930"/>
      <c r="O24" s="931"/>
      <c r="P24" s="930"/>
      <c r="Q24" s="930"/>
      <c r="R24" s="930"/>
      <c r="S24" s="930"/>
      <c r="T24" s="930"/>
      <c r="U24" s="930"/>
      <c r="V24" s="930"/>
      <c r="W24" s="930"/>
      <c r="X24" s="930"/>
      <c r="Y24" s="930"/>
      <c r="Z24" s="930"/>
      <c r="AA24" s="930"/>
      <c r="AB24" s="930"/>
      <c r="AC24" s="930"/>
      <c r="AD24" s="930"/>
      <c r="AE24" s="930"/>
      <c r="AF24" s="930"/>
      <c r="AG24" s="930"/>
      <c r="AH24" s="930"/>
      <c r="AI24" s="930"/>
      <c r="AJ24" s="930"/>
      <c r="AK24" s="930"/>
      <c r="AL24" s="930"/>
      <c r="AM24" s="930"/>
    </row>
    <row r="25" spans="1:39" s="88" customFormat="1" ht="15" customHeight="1">
      <c r="A25" s="851"/>
      <c r="B25" s="851"/>
      <c r="C25" s="851"/>
      <c r="D25" s="851"/>
      <c r="E25" s="851"/>
      <c r="F25" s="851"/>
      <c r="G25" s="851"/>
      <c r="H25" s="851"/>
      <c r="I25" s="851"/>
      <c r="J25" s="851"/>
      <c r="K25" s="851"/>
      <c r="L25" s="891" t="s">
        <v>1402</v>
      </c>
      <c r="M25" s="891"/>
      <c r="N25" s="891"/>
      <c r="O25" s="891"/>
      <c r="P25" s="891"/>
      <c r="Q25" s="891"/>
      <c r="R25" s="891"/>
      <c r="S25" s="892"/>
      <c r="T25" s="892"/>
      <c r="U25" s="892"/>
      <c r="V25" s="892"/>
      <c r="W25" s="892"/>
      <c r="X25" s="892"/>
      <c r="Y25" s="892"/>
      <c r="Z25" s="892"/>
      <c r="AA25" s="892"/>
      <c r="AB25" s="892"/>
      <c r="AC25" s="892"/>
      <c r="AD25" s="892"/>
      <c r="AE25" s="892"/>
      <c r="AF25" s="892"/>
      <c r="AG25" s="892"/>
      <c r="AH25" s="892"/>
      <c r="AI25" s="892"/>
      <c r="AJ25" s="892"/>
      <c r="AK25" s="892"/>
      <c r="AL25" s="892"/>
      <c r="AM25" s="892"/>
    </row>
    <row r="26" spans="1:39" s="88" customFormat="1" ht="15" customHeight="1">
      <c r="A26" s="851"/>
      <c r="B26" s="851"/>
      <c r="C26" s="851"/>
      <c r="D26" s="851"/>
      <c r="E26" s="851"/>
      <c r="F26" s="851"/>
      <c r="G26" s="851"/>
      <c r="H26" s="851"/>
      <c r="I26" s="851"/>
      <c r="J26" s="851"/>
      <c r="K26" s="724"/>
      <c r="L26" s="893"/>
      <c r="M26" s="893"/>
      <c r="N26" s="893"/>
      <c r="O26" s="893"/>
      <c r="P26" s="893"/>
      <c r="Q26" s="893"/>
      <c r="R26" s="893"/>
      <c r="S26" s="894"/>
      <c r="T26" s="894"/>
      <c r="U26" s="894"/>
      <c r="V26" s="894"/>
      <c r="W26" s="894"/>
      <c r="X26" s="894"/>
      <c r="Y26" s="894"/>
      <c r="Z26" s="894"/>
      <c r="AA26" s="894"/>
      <c r="AB26" s="894"/>
      <c r="AC26" s="894"/>
      <c r="AD26" s="894"/>
      <c r="AE26" s="894"/>
      <c r="AF26" s="894"/>
      <c r="AG26" s="894"/>
      <c r="AH26" s="894"/>
      <c r="AI26" s="894"/>
      <c r="AJ26" s="894"/>
      <c r="AK26" s="894"/>
      <c r="AL26" s="894"/>
      <c r="AM26" s="894"/>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47"/>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0.5"/>
  <cols>
    <col min="1" max="10" width="2.28515625" style="98" hidden="1" customWidth="1"/>
    <col min="11" max="11" width="3.7109375" style="98" hidden="1" customWidth="1"/>
    <col min="12" max="12" width="7.140625" style="98" customWidth="1"/>
    <col min="13" max="13" width="44.140625" style="98" customWidth="1"/>
    <col min="14" max="14" width="12.7109375" style="98" customWidth="1"/>
    <col min="15" max="19" width="13.28515625" style="98" customWidth="1"/>
    <col min="20" max="28" width="13.28515625" style="98" hidden="1" customWidth="1"/>
    <col min="29" max="29" width="13.28515625" style="98" customWidth="1"/>
    <col min="30" max="38" width="13.28515625" style="98" hidden="1" customWidth="1"/>
    <col min="39" max="39" width="20.7109375" style="98" customWidth="1"/>
    <col min="40" max="214" width="8.7109375" style="98"/>
    <col min="215" max="215" width="3.140625" style="98" customWidth="1"/>
    <col min="216" max="216" width="24.85546875" style="98" customWidth="1"/>
    <col min="217" max="217" width="11.7109375" style="98" bestFit="1" customWidth="1"/>
    <col min="218" max="218" width="14.140625" style="98" customWidth="1"/>
    <col min="219" max="219" width="10.28515625" style="98" customWidth="1"/>
    <col min="220" max="220" width="9.85546875" style="98" customWidth="1"/>
    <col min="221" max="221" width="10.28515625" style="98" customWidth="1"/>
    <col min="222" max="222" width="9" style="98" customWidth="1"/>
    <col min="223" max="225" width="8.7109375" style="98" customWidth="1"/>
    <col min="226" max="226" width="8" style="98" customWidth="1"/>
    <col min="227" max="227" width="8.140625" style="98" customWidth="1"/>
    <col min="228" max="228" width="9.28515625" style="98" customWidth="1"/>
    <col min="229" max="229" width="8.5703125" style="98" customWidth="1"/>
    <col min="230" max="230" width="8.7109375" style="98" customWidth="1"/>
    <col min="231" max="231" width="14.140625" style="98" customWidth="1"/>
    <col min="232" max="232" width="12.85546875" style="98" customWidth="1"/>
    <col min="233" max="233" width="10.140625" style="98" customWidth="1"/>
    <col min="234" max="234" width="14" style="98" customWidth="1"/>
    <col min="235" max="254" width="2.28515625" style="98" customWidth="1"/>
    <col min="255" max="470" width="8.7109375" style="98"/>
    <col min="471" max="471" width="3.140625" style="98" customWidth="1"/>
    <col min="472" max="472" width="24.85546875" style="98" customWidth="1"/>
    <col min="473" max="473" width="11.7109375" style="98" bestFit="1" customWidth="1"/>
    <col min="474" max="474" width="14.140625" style="98" customWidth="1"/>
    <col min="475" max="475" width="10.28515625" style="98" customWidth="1"/>
    <col min="476" max="476" width="9.85546875" style="98" customWidth="1"/>
    <col min="477" max="477" width="10.28515625" style="98" customWidth="1"/>
    <col min="478" max="478" width="9" style="98" customWidth="1"/>
    <col min="479" max="481" width="8.7109375" style="98" customWidth="1"/>
    <col min="482" max="482" width="8" style="98" customWidth="1"/>
    <col min="483" max="483" width="8.140625" style="98" customWidth="1"/>
    <col min="484" max="484" width="9.28515625" style="98" customWidth="1"/>
    <col min="485" max="485" width="8.5703125" style="98" customWidth="1"/>
    <col min="486" max="486" width="8.7109375" style="98" customWidth="1"/>
    <col min="487" max="487" width="14.140625" style="98" customWidth="1"/>
    <col min="488" max="488" width="12.85546875" style="98" customWidth="1"/>
    <col min="489" max="489" width="10.140625" style="98" customWidth="1"/>
    <col min="490" max="490" width="14" style="98" customWidth="1"/>
    <col min="491" max="510" width="2.28515625" style="98" customWidth="1"/>
    <col min="511" max="726" width="8.7109375" style="98"/>
    <col min="727" max="727" width="3.140625" style="98" customWidth="1"/>
    <col min="728" max="728" width="24.85546875" style="98" customWidth="1"/>
    <col min="729" max="729" width="11.7109375" style="98" bestFit="1" customWidth="1"/>
    <col min="730" max="730" width="14.140625" style="98" customWidth="1"/>
    <col min="731" max="731" width="10.28515625" style="98" customWidth="1"/>
    <col min="732" max="732" width="9.85546875" style="98" customWidth="1"/>
    <col min="733" max="733" width="10.28515625" style="98" customWidth="1"/>
    <col min="734" max="734" width="9" style="98" customWidth="1"/>
    <col min="735" max="737" width="8.7109375" style="98" customWidth="1"/>
    <col min="738" max="738" width="8" style="98" customWidth="1"/>
    <col min="739" max="739" width="8.140625" style="98" customWidth="1"/>
    <col min="740" max="740" width="9.28515625" style="98" customWidth="1"/>
    <col min="741" max="741" width="8.5703125" style="98" customWidth="1"/>
    <col min="742" max="742" width="8.7109375" style="98" customWidth="1"/>
    <col min="743" max="743" width="14.140625" style="98" customWidth="1"/>
    <col min="744" max="744" width="12.85546875" style="98" customWidth="1"/>
    <col min="745" max="745" width="10.140625" style="98" customWidth="1"/>
    <col min="746" max="746" width="14" style="98" customWidth="1"/>
    <col min="747" max="766" width="2.28515625" style="98" customWidth="1"/>
    <col min="767" max="982" width="8.7109375" style="98"/>
    <col min="983" max="983" width="3.140625" style="98" customWidth="1"/>
    <col min="984" max="984" width="24.85546875" style="98" customWidth="1"/>
    <col min="985" max="985" width="11.7109375" style="98" bestFit="1" customWidth="1"/>
    <col min="986" max="986" width="14.140625" style="98" customWidth="1"/>
    <col min="987" max="987" width="10.28515625" style="98" customWidth="1"/>
    <col min="988" max="988" width="9.85546875" style="98" customWidth="1"/>
    <col min="989" max="989" width="10.28515625" style="98" customWidth="1"/>
    <col min="990" max="990" width="9" style="98" customWidth="1"/>
    <col min="991" max="993" width="8.7109375" style="98" customWidth="1"/>
    <col min="994" max="994" width="8" style="98" customWidth="1"/>
    <col min="995" max="995" width="8.140625" style="98" customWidth="1"/>
    <col min="996" max="996" width="9.28515625" style="98" customWidth="1"/>
    <col min="997" max="997" width="8.5703125" style="98" customWidth="1"/>
    <col min="998" max="998" width="8.7109375" style="98" customWidth="1"/>
    <col min="999" max="999" width="14.140625" style="98" customWidth="1"/>
    <col min="1000" max="1000" width="12.85546875" style="98" customWidth="1"/>
    <col min="1001" max="1001" width="10.140625" style="98" customWidth="1"/>
    <col min="1002" max="1002" width="14" style="98" customWidth="1"/>
    <col min="1003" max="1022" width="2.28515625" style="98" customWidth="1"/>
    <col min="1023" max="1238" width="8.7109375" style="98"/>
    <col min="1239" max="1239" width="3.140625" style="98" customWidth="1"/>
    <col min="1240" max="1240" width="24.85546875" style="98" customWidth="1"/>
    <col min="1241" max="1241" width="11.7109375" style="98" bestFit="1" customWidth="1"/>
    <col min="1242" max="1242" width="14.140625" style="98" customWidth="1"/>
    <col min="1243" max="1243" width="10.28515625" style="98" customWidth="1"/>
    <col min="1244" max="1244" width="9.85546875" style="98" customWidth="1"/>
    <col min="1245" max="1245" width="10.28515625" style="98" customWidth="1"/>
    <col min="1246" max="1246" width="9" style="98" customWidth="1"/>
    <col min="1247" max="1249" width="8.7109375" style="98" customWidth="1"/>
    <col min="1250" max="1250" width="8" style="98" customWidth="1"/>
    <col min="1251" max="1251" width="8.140625" style="98" customWidth="1"/>
    <col min="1252" max="1252" width="9.28515625" style="98" customWidth="1"/>
    <col min="1253" max="1253" width="8.5703125" style="98" customWidth="1"/>
    <col min="1254" max="1254" width="8.7109375" style="98" customWidth="1"/>
    <col min="1255" max="1255" width="14.140625" style="98" customWidth="1"/>
    <col min="1256" max="1256" width="12.85546875" style="98" customWidth="1"/>
    <col min="1257" max="1257" width="10.140625" style="98" customWidth="1"/>
    <col min="1258" max="1258" width="14" style="98" customWidth="1"/>
    <col min="1259" max="1278" width="2.28515625" style="98" customWidth="1"/>
    <col min="1279" max="1494" width="8.7109375" style="98"/>
    <col min="1495" max="1495" width="3.140625" style="98" customWidth="1"/>
    <col min="1496" max="1496" width="24.85546875" style="98" customWidth="1"/>
    <col min="1497" max="1497" width="11.7109375" style="98" bestFit="1" customWidth="1"/>
    <col min="1498" max="1498" width="14.140625" style="98" customWidth="1"/>
    <col min="1499" max="1499" width="10.28515625" style="98" customWidth="1"/>
    <col min="1500" max="1500" width="9.85546875" style="98" customWidth="1"/>
    <col min="1501" max="1501" width="10.28515625" style="98" customWidth="1"/>
    <col min="1502" max="1502" width="9" style="98" customWidth="1"/>
    <col min="1503" max="1505" width="8.7109375" style="98" customWidth="1"/>
    <col min="1506" max="1506" width="8" style="98" customWidth="1"/>
    <col min="1507" max="1507" width="8.140625" style="98" customWidth="1"/>
    <col min="1508" max="1508" width="9.28515625" style="98" customWidth="1"/>
    <col min="1509" max="1509" width="8.5703125" style="98" customWidth="1"/>
    <col min="1510" max="1510" width="8.7109375" style="98" customWidth="1"/>
    <col min="1511" max="1511" width="14.140625" style="98" customWidth="1"/>
    <col min="1512" max="1512" width="12.85546875" style="98" customWidth="1"/>
    <col min="1513" max="1513" width="10.140625" style="98" customWidth="1"/>
    <col min="1514" max="1514" width="14" style="98" customWidth="1"/>
    <col min="1515" max="1534" width="2.28515625" style="98" customWidth="1"/>
    <col min="1535" max="1750" width="8.7109375" style="98"/>
    <col min="1751" max="1751" width="3.140625" style="98" customWidth="1"/>
    <col min="1752" max="1752" width="24.85546875" style="98" customWidth="1"/>
    <col min="1753" max="1753" width="11.7109375" style="98" bestFit="1" customWidth="1"/>
    <col min="1754" max="1754" width="14.140625" style="98" customWidth="1"/>
    <col min="1755" max="1755" width="10.28515625" style="98" customWidth="1"/>
    <col min="1756" max="1756" width="9.85546875" style="98" customWidth="1"/>
    <col min="1757" max="1757" width="10.28515625" style="98" customWidth="1"/>
    <col min="1758" max="1758" width="9" style="98" customWidth="1"/>
    <col min="1759" max="1761" width="8.7109375" style="98" customWidth="1"/>
    <col min="1762" max="1762" width="8" style="98" customWidth="1"/>
    <col min="1763" max="1763" width="8.140625" style="98" customWidth="1"/>
    <col min="1764" max="1764" width="9.28515625" style="98" customWidth="1"/>
    <col min="1765" max="1765" width="8.5703125" style="98" customWidth="1"/>
    <col min="1766" max="1766" width="8.7109375" style="98" customWidth="1"/>
    <col min="1767" max="1767" width="14.140625" style="98" customWidth="1"/>
    <col min="1768" max="1768" width="12.85546875" style="98" customWidth="1"/>
    <col min="1769" max="1769" width="10.140625" style="98" customWidth="1"/>
    <col min="1770" max="1770" width="14" style="98" customWidth="1"/>
    <col min="1771" max="1790" width="2.28515625" style="98" customWidth="1"/>
    <col min="1791" max="2006" width="8.7109375" style="98"/>
    <col min="2007" max="2007" width="3.140625" style="98" customWidth="1"/>
    <col min="2008" max="2008" width="24.85546875" style="98" customWidth="1"/>
    <col min="2009" max="2009" width="11.7109375" style="98" bestFit="1" customWidth="1"/>
    <col min="2010" max="2010" width="14.140625" style="98" customWidth="1"/>
    <col min="2011" max="2011" width="10.28515625" style="98" customWidth="1"/>
    <col min="2012" max="2012" width="9.85546875" style="98" customWidth="1"/>
    <col min="2013" max="2013" width="10.28515625" style="98" customWidth="1"/>
    <col min="2014" max="2014" width="9" style="98" customWidth="1"/>
    <col min="2015" max="2017" width="8.7109375" style="98" customWidth="1"/>
    <col min="2018" max="2018" width="8" style="98" customWidth="1"/>
    <col min="2019" max="2019" width="8.140625" style="98" customWidth="1"/>
    <col min="2020" max="2020" width="9.28515625" style="98" customWidth="1"/>
    <col min="2021" max="2021" width="8.5703125" style="98" customWidth="1"/>
    <col min="2022" max="2022" width="8.7109375" style="98" customWidth="1"/>
    <col min="2023" max="2023" width="14.140625" style="98" customWidth="1"/>
    <col min="2024" max="2024" width="12.85546875" style="98" customWidth="1"/>
    <col min="2025" max="2025" width="10.140625" style="98" customWidth="1"/>
    <col min="2026" max="2026" width="14" style="98" customWidth="1"/>
    <col min="2027" max="2046" width="2.28515625" style="98" customWidth="1"/>
    <col min="2047" max="2262" width="8.7109375" style="98"/>
    <col min="2263" max="2263" width="3.140625" style="98" customWidth="1"/>
    <col min="2264" max="2264" width="24.85546875" style="98" customWidth="1"/>
    <col min="2265" max="2265" width="11.7109375" style="98" bestFit="1" customWidth="1"/>
    <col min="2266" max="2266" width="14.140625" style="98" customWidth="1"/>
    <col min="2267" max="2267" width="10.28515625" style="98" customWidth="1"/>
    <col min="2268" max="2268" width="9.85546875" style="98" customWidth="1"/>
    <col min="2269" max="2269" width="10.28515625" style="98" customWidth="1"/>
    <col min="2270" max="2270" width="9" style="98" customWidth="1"/>
    <col min="2271" max="2273" width="8.7109375" style="98" customWidth="1"/>
    <col min="2274" max="2274" width="8" style="98" customWidth="1"/>
    <col min="2275" max="2275" width="8.140625" style="98" customWidth="1"/>
    <col min="2276" max="2276" width="9.28515625" style="98" customWidth="1"/>
    <col min="2277" max="2277" width="8.5703125" style="98" customWidth="1"/>
    <col min="2278" max="2278" width="8.7109375" style="98" customWidth="1"/>
    <col min="2279" max="2279" width="14.140625" style="98" customWidth="1"/>
    <col min="2280" max="2280" width="12.85546875" style="98" customWidth="1"/>
    <col min="2281" max="2281" width="10.140625" style="98" customWidth="1"/>
    <col min="2282" max="2282" width="14" style="98" customWidth="1"/>
    <col min="2283" max="2302" width="2.28515625" style="98" customWidth="1"/>
    <col min="2303" max="2518" width="8.7109375" style="98"/>
    <col min="2519" max="2519" width="3.140625" style="98" customWidth="1"/>
    <col min="2520" max="2520" width="24.85546875" style="98" customWidth="1"/>
    <col min="2521" max="2521" width="11.7109375" style="98" bestFit="1" customWidth="1"/>
    <col min="2522" max="2522" width="14.140625" style="98" customWidth="1"/>
    <col min="2523" max="2523" width="10.28515625" style="98" customWidth="1"/>
    <col min="2524" max="2524" width="9.85546875" style="98" customWidth="1"/>
    <col min="2525" max="2525" width="10.28515625" style="98" customWidth="1"/>
    <col min="2526" max="2526" width="9" style="98" customWidth="1"/>
    <col min="2527" max="2529" width="8.7109375" style="98" customWidth="1"/>
    <col min="2530" max="2530" width="8" style="98" customWidth="1"/>
    <col min="2531" max="2531" width="8.140625" style="98" customWidth="1"/>
    <col min="2532" max="2532" width="9.28515625" style="98" customWidth="1"/>
    <col min="2533" max="2533" width="8.5703125" style="98" customWidth="1"/>
    <col min="2534" max="2534" width="8.7109375" style="98" customWidth="1"/>
    <col min="2535" max="2535" width="14.140625" style="98" customWidth="1"/>
    <col min="2536" max="2536" width="12.85546875" style="98" customWidth="1"/>
    <col min="2537" max="2537" width="10.140625" style="98" customWidth="1"/>
    <col min="2538" max="2538" width="14" style="98" customWidth="1"/>
    <col min="2539" max="2558" width="2.28515625" style="98" customWidth="1"/>
    <col min="2559" max="2774" width="8.7109375" style="98"/>
    <col min="2775" max="2775" width="3.140625" style="98" customWidth="1"/>
    <col min="2776" max="2776" width="24.85546875" style="98" customWidth="1"/>
    <col min="2777" max="2777" width="11.7109375" style="98" bestFit="1" customWidth="1"/>
    <col min="2778" max="2778" width="14.140625" style="98" customWidth="1"/>
    <col min="2779" max="2779" width="10.28515625" style="98" customWidth="1"/>
    <col min="2780" max="2780" width="9.85546875" style="98" customWidth="1"/>
    <col min="2781" max="2781" width="10.28515625" style="98" customWidth="1"/>
    <col min="2782" max="2782" width="9" style="98" customWidth="1"/>
    <col min="2783" max="2785" width="8.7109375" style="98" customWidth="1"/>
    <col min="2786" max="2786" width="8" style="98" customWidth="1"/>
    <col min="2787" max="2787" width="8.140625" style="98" customWidth="1"/>
    <col min="2788" max="2788" width="9.28515625" style="98" customWidth="1"/>
    <col min="2789" max="2789" width="8.5703125" style="98" customWidth="1"/>
    <col min="2790" max="2790" width="8.7109375" style="98" customWidth="1"/>
    <col min="2791" max="2791" width="14.140625" style="98" customWidth="1"/>
    <col min="2792" max="2792" width="12.85546875" style="98" customWidth="1"/>
    <col min="2793" max="2793" width="10.140625" style="98" customWidth="1"/>
    <col min="2794" max="2794" width="14" style="98" customWidth="1"/>
    <col min="2795" max="2814" width="2.28515625" style="98" customWidth="1"/>
    <col min="2815" max="3030" width="8.7109375" style="98"/>
    <col min="3031" max="3031" width="3.140625" style="98" customWidth="1"/>
    <col min="3032" max="3032" width="24.85546875" style="98" customWidth="1"/>
    <col min="3033" max="3033" width="11.7109375" style="98" bestFit="1" customWidth="1"/>
    <col min="3034" max="3034" width="14.140625" style="98" customWidth="1"/>
    <col min="3035" max="3035" width="10.28515625" style="98" customWidth="1"/>
    <col min="3036" max="3036" width="9.85546875" style="98" customWidth="1"/>
    <col min="3037" max="3037" width="10.28515625" style="98" customWidth="1"/>
    <col min="3038" max="3038" width="9" style="98" customWidth="1"/>
    <col min="3039" max="3041" width="8.7109375" style="98" customWidth="1"/>
    <col min="3042" max="3042" width="8" style="98" customWidth="1"/>
    <col min="3043" max="3043" width="8.140625" style="98" customWidth="1"/>
    <col min="3044" max="3044" width="9.28515625" style="98" customWidth="1"/>
    <col min="3045" max="3045" width="8.5703125" style="98" customWidth="1"/>
    <col min="3046" max="3046" width="8.7109375" style="98" customWidth="1"/>
    <col min="3047" max="3047" width="14.140625" style="98" customWidth="1"/>
    <col min="3048" max="3048" width="12.85546875" style="98" customWidth="1"/>
    <col min="3049" max="3049" width="10.140625" style="98" customWidth="1"/>
    <col min="3050" max="3050" width="14" style="98" customWidth="1"/>
    <col min="3051" max="3070" width="2.28515625" style="98" customWidth="1"/>
    <col min="3071" max="3286" width="8.7109375" style="98"/>
    <col min="3287" max="3287" width="3.140625" style="98" customWidth="1"/>
    <col min="3288" max="3288" width="24.85546875" style="98" customWidth="1"/>
    <col min="3289" max="3289" width="11.7109375" style="98" bestFit="1" customWidth="1"/>
    <col min="3290" max="3290" width="14.140625" style="98" customWidth="1"/>
    <col min="3291" max="3291" width="10.28515625" style="98" customWidth="1"/>
    <col min="3292" max="3292" width="9.85546875" style="98" customWidth="1"/>
    <col min="3293" max="3293" width="10.28515625" style="98" customWidth="1"/>
    <col min="3294" max="3294" width="9" style="98" customWidth="1"/>
    <col min="3295" max="3297" width="8.7109375" style="98" customWidth="1"/>
    <col min="3298" max="3298" width="8" style="98" customWidth="1"/>
    <col min="3299" max="3299" width="8.140625" style="98" customWidth="1"/>
    <col min="3300" max="3300" width="9.28515625" style="98" customWidth="1"/>
    <col min="3301" max="3301" width="8.5703125" style="98" customWidth="1"/>
    <col min="3302" max="3302" width="8.7109375" style="98" customWidth="1"/>
    <col min="3303" max="3303" width="14.140625" style="98" customWidth="1"/>
    <col min="3304" max="3304" width="12.85546875" style="98" customWidth="1"/>
    <col min="3305" max="3305" width="10.140625" style="98" customWidth="1"/>
    <col min="3306" max="3306" width="14" style="98" customWidth="1"/>
    <col min="3307" max="3326" width="2.28515625" style="98" customWidth="1"/>
    <col min="3327" max="3542" width="8.7109375" style="98"/>
    <col min="3543" max="3543" width="3.140625" style="98" customWidth="1"/>
    <col min="3544" max="3544" width="24.85546875" style="98" customWidth="1"/>
    <col min="3545" max="3545" width="11.7109375" style="98" bestFit="1" customWidth="1"/>
    <col min="3546" max="3546" width="14.140625" style="98" customWidth="1"/>
    <col min="3547" max="3547" width="10.28515625" style="98" customWidth="1"/>
    <col min="3548" max="3548" width="9.85546875" style="98" customWidth="1"/>
    <col min="3549" max="3549" width="10.28515625" style="98" customWidth="1"/>
    <col min="3550" max="3550" width="9" style="98" customWidth="1"/>
    <col min="3551" max="3553" width="8.7109375" style="98" customWidth="1"/>
    <col min="3554" max="3554" width="8" style="98" customWidth="1"/>
    <col min="3555" max="3555" width="8.140625" style="98" customWidth="1"/>
    <col min="3556" max="3556" width="9.28515625" style="98" customWidth="1"/>
    <col min="3557" max="3557" width="8.5703125" style="98" customWidth="1"/>
    <col min="3558" max="3558" width="8.7109375" style="98" customWidth="1"/>
    <col min="3559" max="3559" width="14.140625" style="98" customWidth="1"/>
    <col min="3560" max="3560" width="12.85546875" style="98" customWidth="1"/>
    <col min="3561" max="3561" width="10.140625" style="98" customWidth="1"/>
    <col min="3562" max="3562" width="14" style="98" customWidth="1"/>
    <col min="3563" max="3582" width="2.28515625" style="98" customWidth="1"/>
    <col min="3583" max="3798" width="8.7109375" style="98"/>
    <col min="3799" max="3799" width="3.140625" style="98" customWidth="1"/>
    <col min="3800" max="3800" width="24.85546875" style="98" customWidth="1"/>
    <col min="3801" max="3801" width="11.7109375" style="98" bestFit="1" customWidth="1"/>
    <col min="3802" max="3802" width="14.140625" style="98" customWidth="1"/>
    <col min="3803" max="3803" width="10.28515625" style="98" customWidth="1"/>
    <col min="3804" max="3804" width="9.85546875" style="98" customWidth="1"/>
    <col min="3805" max="3805" width="10.28515625" style="98" customWidth="1"/>
    <col min="3806" max="3806" width="9" style="98" customWidth="1"/>
    <col min="3807" max="3809" width="8.7109375" style="98" customWidth="1"/>
    <col min="3810" max="3810" width="8" style="98" customWidth="1"/>
    <col min="3811" max="3811" width="8.140625" style="98" customWidth="1"/>
    <col min="3812" max="3812" width="9.28515625" style="98" customWidth="1"/>
    <col min="3813" max="3813" width="8.5703125" style="98" customWidth="1"/>
    <col min="3814" max="3814" width="8.7109375" style="98" customWidth="1"/>
    <col min="3815" max="3815" width="14.140625" style="98" customWidth="1"/>
    <col min="3816" max="3816" width="12.85546875" style="98" customWidth="1"/>
    <col min="3817" max="3817" width="10.140625" style="98" customWidth="1"/>
    <col min="3818" max="3818" width="14" style="98" customWidth="1"/>
    <col min="3819" max="3838" width="2.28515625" style="98" customWidth="1"/>
    <col min="3839" max="4054" width="8.7109375" style="98"/>
    <col min="4055" max="4055" width="3.140625" style="98" customWidth="1"/>
    <col min="4056" max="4056" width="24.85546875" style="98" customWidth="1"/>
    <col min="4057" max="4057" width="11.7109375" style="98" bestFit="1" customWidth="1"/>
    <col min="4058" max="4058" width="14.140625" style="98" customWidth="1"/>
    <col min="4059" max="4059" width="10.28515625" style="98" customWidth="1"/>
    <col min="4060" max="4060" width="9.85546875" style="98" customWidth="1"/>
    <col min="4061" max="4061" width="10.28515625" style="98" customWidth="1"/>
    <col min="4062" max="4062" width="9" style="98" customWidth="1"/>
    <col min="4063" max="4065" width="8.7109375" style="98" customWidth="1"/>
    <col min="4066" max="4066" width="8" style="98" customWidth="1"/>
    <col min="4067" max="4067" width="8.140625" style="98" customWidth="1"/>
    <col min="4068" max="4068" width="9.28515625" style="98" customWidth="1"/>
    <col min="4069" max="4069" width="8.5703125" style="98" customWidth="1"/>
    <col min="4070" max="4070" width="8.7109375" style="98" customWidth="1"/>
    <col min="4071" max="4071" width="14.140625" style="98" customWidth="1"/>
    <col min="4072" max="4072" width="12.85546875" style="98" customWidth="1"/>
    <col min="4073" max="4073" width="10.140625" style="98" customWidth="1"/>
    <col min="4074" max="4074" width="14" style="98" customWidth="1"/>
    <col min="4075" max="4094" width="2.28515625" style="98" customWidth="1"/>
    <col min="4095" max="4310" width="8.7109375" style="98"/>
    <col min="4311" max="4311" width="3.140625" style="98" customWidth="1"/>
    <col min="4312" max="4312" width="24.85546875" style="98" customWidth="1"/>
    <col min="4313" max="4313" width="11.7109375" style="98" bestFit="1" customWidth="1"/>
    <col min="4314" max="4314" width="14.140625" style="98" customWidth="1"/>
    <col min="4315" max="4315" width="10.28515625" style="98" customWidth="1"/>
    <col min="4316" max="4316" width="9.85546875" style="98" customWidth="1"/>
    <col min="4317" max="4317" width="10.28515625" style="98" customWidth="1"/>
    <col min="4318" max="4318" width="9" style="98" customWidth="1"/>
    <col min="4319" max="4321" width="8.7109375" style="98" customWidth="1"/>
    <col min="4322" max="4322" width="8" style="98" customWidth="1"/>
    <col min="4323" max="4323" width="8.140625" style="98" customWidth="1"/>
    <col min="4324" max="4324" width="9.28515625" style="98" customWidth="1"/>
    <col min="4325" max="4325" width="8.5703125" style="98" customWidth="1"/>
    <col min="4326" max="4326" width="8.7109375" style="98" customWidth="1"/>
    <col min="4327" max="4327" width="14.140625" style="98" customWidth="1"/>
    <col min="4328" max="4328" width="12.85546875" style="98" customWidth="1"/>
    <col min="4329" max="4329" width="10.140625" style="98" customWidth="1"/>
    <col min="4330" max="4330" width="14" style="98" customWidth="1"/>
    <col min="4331" max="4350" width="2.28515625" style="98" customWidth="1"/>
    <col min="4351" max="4566" width="8.7109375" style="98"/>
    <col min="4567" max="4567" width="3.140625" style="98" customWidth="1"/>
    <col min="4568" max="4568" width="24.85546875" style="98" customWidth="1"/>
    <col min="4569" max="4569" width="11.7109375" style="98" bestFit="1" customWidth="1"/>
    <col min="4570" max="4570" width="14.140625" style="98" customWidth="1"/>
    <col min="4571" max="4571" width="10.28515625" style="98" customWidth="1"/>
    <col min="4572" max="4572" width="9.85546875" style="98" customWidth="1"/>
    <col min="4573" max="4573" width="10.28515625" style="98" customWidth="1"/>
    <col min="4574" max="4574" width="9" style="98" customWidth="1"/>
    <col min="4575" max="4577" width="8.7109375" style="98" customWidth="1"/>
    <col min="4578" max="4578" width="8" style="98" customWidth="1"/>
    <col min="4579" max="4579" width="8.140625" style="98" customWidth="1"/>
    <col min="4580" max="4580" width="9.28515625" style="98" customWidth="1"/>
    <col min="4581" max="4581" width="8.5703125" style="98" customWidth="1"/>
    <col min="4582" max="4582" width="8.7109375" style="98" customWidth="1"/>
    <col min="4583" max="4583" width="14.140625" style="98" customWidth="1"/>
    <col min="4584" max="4584" width="12.85546875" style="98" customWidth="1"/>
    <col min="4585" max="4585" width="10.140625" style="98" customWidth="1"/>
    <col min="4586" max="4586" width="14" style="98" customWidth="1"/>
    <col min="4587" max="4606" width="2.28515625" style="98" customWidth="1"/>
    <col min="4607" max="4822" width="8.7109375" style="98"/>
    <col min="4823" max="4823" width="3.140625" style="98" customWidth="1"/>
    <col min="4824" max="4824" width="24.85546875" style="98" customWidth="1"/>
    <col min="4825" max="4825" width="11.7109375" style="98" bestFit="1" customWidth="1"/>
    <col min="4826" max="4826" width="14.140625" style="98" customWidth="1"/>
    <col min="4827" max="4827" width="10.28515625" style="98" customWidth="1"/>
    <col min="4828" max="4828" width="9.85546875" style="98" customWidth="1"/>
    <col min="4829" max="4829" width="10.28515625" style="98" customWidth="1"/>
    <col min="4830" max="4830" width="9" style="98" customWidth="1"/>
    <col min="4831" max="4833" width="8.7109375" style="98" customWidth="1"/>
    <col min="4834" max="4834" width="8" style="98" customWidth="1"/>
    <col min="4835" max="4835" width="8.140625" style="98" customWidth="1"/>
    <col min="4836" max="4836" width="9.28515625" style="98" customWidth="1"/>
    <col min="4837" max="4837" width="8.5703125" style="98" customWidth="1"/>
    <col min="4838" max="4838" width="8.7109375" style="98" customWidth="1"/>
    <col min="4839" max="4839" width="14.140625" style="98" customWidth="1"/>
    <col min="4840" max="4840" width="12.85546875" style="98" customWidth="1"/>
    <col min="4841" max="4841" width="10.140625" style="98" customWidth="1"/>
    <col min="4842" max="4842" width="14" style="98" customWidth="1"/>
    <col min="4843" max="4862" width="2.28515625" style="98" customWidth="1"/>
    <col min="4863" max="5078" width="8.7109375" style="98"/>
    <col min="5079" max="5079" width="3.140625" style="98" customWidth="1"/>
    <col min="5080" max="5080" width="24.85546875" style="98" customWidth="1"/>
    <col min="5081" max="5081" width="11.7109375" style="98" bestFit="1" customWidth="1"/>
    <col min="5082" max="5082" width="14.140625" style="98" customWidth="1"/>
    <col min="5083" max="5083" width="10.28515625" style="98" customWidth="1"/>
    <col min="5084" max="5084" width="9.85546875" style="98" customWidth="1"/>
    <col min="5085" max="5085" width="10.28515625" style="98" customWidth="1"/>
    <col min="5086" max="5086" width="9" style="98" customWidth="1"/>
    <col min="5087" max="5089" width="8.7109375" style="98" customWidth="1"/>
    <col min="5090" max="5090" width="8" style="98" customWidth="1"/>
    <col min="5091" max="5091" width="8.140625" style="98" customWidth="1"/>
    <col min="5092" max="5092" width="9.28515625" style="98" customWidth="1"/>
    <col min="5093" max="5093" width="8.5703125" style="98" customWidth="1"/>
    <col min="5094" max="5094" width="8.7109375" style="98" customWidth="1"/>
    <col min="5095" max="5095" width="14.140625" style="98" customWidth="1"/>
    <col min="5096" max="5096" width="12.85546875" style="98" customWidth="1"/>
    <col min="5097" max="5097" width="10.140625" style="98" customWidth="1"/>
    <col min="5098" max="5098" width="14" style="98" customWidth="1"/>
    <col min="5099" max="5118" width="2.28515625" style="98" customWidth="1"/>
    <col min="5119" max="5334" width="8.7109375" style="98"/>
    <col min="5335" max="5335" width="3.140625" style="98" customWidth="1"/>
    <col min="5336" max="5336" width="24.85546875" style="98" customWidth="1"/>
    <col min="5337" max="5337" width="11.7109375" style="98" bestFit="1" customWidth="1"/>
    <col min="5338" max="5338" width="14.140625" style="98" customWidth="1"/>
    <col min="5339" max="5339" width="10.28515625" style="98" customWidth="1"/>
    <col min="5340" max="5340" width="9.85546875" style="98" customWidth="1"/>
    <col min="5341" max="5341" width="10.28515625" style="98" customWidth="1"/>
    <col min="5342" max="5342" width="9" style="98" customWidth="1"/>
    <col min="5343" max="5345" width="8.7109375" style="98" customWidth="1"/>
    <col min="5346" max="5346" width="8" style="98" customWidth="1"/>
    <col min="5347" max="5347" width="8.140625" style="98" customWidth="1"/>
    <col min="5348" max="5348" width="9.28515625" style="98" customWidth="1"/>
    <col min="5349" max="5349" width="8.5703125" style="98" customWidth="1"/>
    <col min="5350" max="5350" width="8.7109375" style="98" customWidth="1"/>
    <col min="5351" max="5351" width="14.140625" style="98" customWidth="1"/>
    <col min="5352" max="5352" width="12.85546875" style="98" customWidth="1"/>
    <col min="5353" max="5353" width="10.140625" style="98" customWidth="1"/>
    <col min="5354" max="5354" width="14" style="98" customWidth="1"/>
    <col min="5355" max="5374" width="2.28515625" style="98" customWidth="1"/>
    <col min="5375" max="5590" width="8.7109375" style="98"/>
    <col min="5591" max="5591" width="3.140625" style="98" customWidth="1"/>
    <col min="5592" max="5592" width="24.85546875" style="98" customWidth="1"/>
    <col min="5593" max="5593" width="11.7109375" style="98" bestFit="1" customWidth="1"/>
    <col min="5594" max="5594" width="14.140625" style="98" customWidth="1"/>
    <col min="5595" max="5595" width="10.28515625" style="98" customWidth="1"/>
    <col min="5596" max="5596" width="9.85546875" style="98" customWidth="1"/>
    <col min="5597" max="5597" width="10.28515625" style="98" customWidth="1"/>
    <col min="5598" max="5598" width="9" style="98" customWidth="1"/>
    <col min="5599" max="5601" width="8.7109375" style="98" customWidth="1"/>
    <col min="5602" max="5602" width="8" style="98" customWidth="1"/>
    <col min="5603" max="5603" width="8.140625" style="98" customWidth="1"/>
    <col min="5604" max="5604" width="9.28515625" style="98" customWidth="1"/>
    <col min="5605" max="5605" width="8.5703125" style="98" customWidth="1"/>
    <col min="5606" max="5606" width="8.7109375" style="98" customWidth="1"/>
    <col min="5607" max="5607" width="14.140625" style="98" customWidth="1"/>
    <col min="5608" max="5608" width="12.85546875" style="98" customWidth="1"/>
    <col min="5609" max="5609" width="10.140625" style="98" customWidth="1"/>
    <col min="5610" max="5610" width="14" style="98" customWidth="1"/>
    <col min="5611" max="5630" width="2.28515625" style="98" customWidth="1"/>
    <col min="5631" max="5846" width="8.7109375" style="98"/>
    <col min="5847" max="5847" width="3.140625" style="98" customWidth="1"/>
    <col min="5848" max="5848" width="24.85546875" style="98" customWidth="1"/>
    <col min="5849" max="5849" width="11.7109375" style="98" bestFit="1" customWidth="1"/>
    <col min="5850" max="5850" width="14.140625" style="98" customWidth="1"/>
    <col min="5851" max="5851" width="10.28515625" style="98" customWidth="1"/>
    <col min="5852" max="5852" width="9.85546875" style="98" customWidth="1"/>
    <col min="5853" max="5853" width="10.28515625" style="98" customWidth="1"/>
    <col min="5854" max="5854" width="9" style="98" customWidth="1"/>
    <col min="5855" max="5857" width="8.7109375" style="98" customWidth="1"/>
    <col min="5858" max="5858" width="8" style="98" customWidth="1"/>
    <col min="5859" max="5859" width="8.140625" style="98" customWidth="1"/>
    <col min="5860" max="5860" width="9.28515625" style="98" customWidth="1"/>
    <col min="5861" max="5861" width="8.5703125" style="98" customWidth="1"/>
    <col min="5862" max="5862" width="8.7109375" style="98" customWidth="1"/>
    <col min="5863" max="5863" width="14.140625" style="98" customWidth="1"/>
    <col min="5864" max="5864" width="12.85546875" style="98" customWidth="1"/>
    <col min="5865" max="5865" width="10.140625" style="98" customWidth="1"/>
    <col min="5866" max="5866" width="14" style="98" customWidth="1"/>
    <col min="5867" max="5886" width="2.28515625" style="98" customWidth="1"/>
    <col min="5887" max="6102" width="8.7109375" style="98"/>
    <col min="6103" max="6103" width="3.140625" style="98" customWidth="1"/>
    <col min="6104" max="6104" width="24.85546875" style="98" customWidth="1"/>
    <col min="6105" max="6105" width="11.7109375" style="98" bestFit="1" customWidth="1"/>
    <col min="6106" max="6106" width="14.140625" style="98" customWidth="1"/>
    <col min="6107" max="6107" width="10.28515625" style="98" customWidth="1"/>
    <col min="6108" max="6108" width="9.85546875" style="98" customWidth="1"/>
    <col min="6109" max="6109" width="10.28515625" style="98" customWidth="1"/>
    <col min="6110" max="6110" width="9" style="98" customWidth="1"/>
    <col min="6111" max="6113" width="8.7109375" style="98" customWidth="1"/>
    <col min="6114" max="6114" width="8" style="98" customWidth="1"/>
    <col min="6115" max="6115" width="8.140625" style="98" customWidth="1"/>
    <col min="6116" max="6116" width="9.28515625" style="98" customWidth="1"/>
    <col min="6117" max="6117" width="8.5703125" style="98" customWidth="1"/>
    <col min="6118" max="6118" width="8.7109375" style="98" customWidth="1"/>
    <col min="6119" max="6119" width="14.140625" style="98" customWidth="1"/>
    <col min="6120" max="6120" width="12.85546875" style="98" customWidth="1"/>
    <col min="6121" max="6121" width="10.140625" style="98" customWidth="1"/>
    <col min="6122" max="6122" width="14" style="98" customWidth="1"/>
    <col min="6123" max="6142" width="2.28515625" style="98" customWidth="1"/>
    <col min="6143" max="6358" width="8.7109375" style="98"/>
    <col min="6359" max="6359" width="3.140625" style="98" customWidth="1"/>
    <col min="6360" max="6360" width="24.85546875" style="98" customWidth="1"/>
    <col min="6361" max="6361" width="11.7109375" style="98" bestFit="1" customWidth="1"/>
    <col min="6362" max="6362" width="14.140625" style="98" customWidth="1"/>
    <col min="6363" max="6363" width="10.28515625" style="98" customWidth="1"/>
    <col min="6364" max="6364" width="9.85546875" style="98" customWidth="1"/>
    <col min="6365" max="6365" width="10.28515625" style="98" customWidth="1"/>
    <col min="6366" max="6366" width="9" style="98" customWidth="1"/>
    <col min="6367" max="6369" width="8.7109375" style="98" customWidth="1"/>
    <col min="6370" max="6370" width="8" style="98" customWidth="1"/>
    <col min="6371" max="6371" width="8.140625" style="98" customWidth="1"/>
    <col min="6372" max="6372" width="9.28515625" style="98" customWidth="1"/>
    <col min="6373" max="6373" width="8.5703125" style="98" customWidth="1"/>
    <col min="6374" max="6374" width="8.7109375" style="98" customWidth="1"/>
    <col min="6375" max="6375" width="14.140625" style="98" customWidth="1"/>
    <col min="6376" max="6376" width="12.85546875" style="98" customWidth="1"/>
    <col min="6377" max="6377" width="10.140625" style="98" customWidth="1"/>
    <col min="6378" max="6378" width="14" style="98" customWidth="1"/>
    <col min="6379" max="6398" width="2.28515625" style="98" customWidth="1"/>
    <col min="6399" max="6614" width="8.7109375" style="98"/>
    <col min="6615" max="6615" width="3.140625" style="98" customWidth="1"/>
    <col min="6616" max="6616" width="24.85546875" style="98" customWidth="1"/>
    <col min="6617" max="6617" width="11.7109375" style="98" bestFit="1" customWidth="1"/>
    <col min="6618" max="6618" width="14.140625" style="98" customWidth="1"/>
    <col min="6619" max="6619" width="10.28515625" style="98" customWidth="1"/>
    <col min="6620" max="6620" width="9.85546875" style="98" customWidth="1"/>
    <col min="6621" max="6621" width="10.28515625" style="98" customWidth="1"/>
    <col min="6622" max="6622" width="9" style="98" customWidth="1"/>
    <col min="6623" max="6625" width="8.7109375" style="98" customWidth="1"/>
    <col min="6626" max="6626" width="8" style="98" customWidth="1"/>
    <col min="6627" max="6627" width="8.140625" style="98" customWidth="1"/>
    <col min="6628" max="6628" width="9.28515625" style="98" customWidth="1"/>
    <col min="6629" max="6629" width="8.5703125" style="98" customWidth="1"/>
    <col min="6630" max="6630" width="8.7109375" style="98" customWidth="1"/>
    <col min="6631" max="6631" width="14.140625" style="98" customWidth="1"/>
    <col min="6632" max="6632" width="12.85546875" style="98" customWidth="1"/>
    <col min="6633" max="6633" width="10.140625" style="98" customWidth="1"/>
    <col min="6634" max="6634" width="14" style="98" customWidth="1"/>
    <col min="6635" max="6654" width="2.28515625" style="98" customWidth="1"/>
    <col min="6655" max="6870" width="8.7109375" style="98"/>
    <col min="6871" max="6871" width="3.140625" style="98" customWidth="1"/>
    <col min="6872" max="6872" width="24.85546875" style="98" customWidth="1"/>
    <col min="6873" max="6873" width="11.7109375" style="98" bestFit="1" customWidth="1"/>
    <col min="6874" max="6874" width="14.140625" style="98" customWidth="1"/>
    <col min="6875" max="6875" width="10.28515625" style="98" customWidth="1"/>
    <col min="6876" max="6876" width="9.85546875" style="98" customWidth="1"/>
    <col min="6877" max="6877" width="10.28515625" style="98" customWidth="1"/>
    <col min="6878" max="6878" width="9" style="98" customWidth="1"/>
    <col min="6879" max="6881" width="8.7109375" style="98" customWidth="1"/>
    <col min="6882" max="6882" width="8" style="98" customWidth="1"/>
    <col min="6883" max="6883" width="8.140625" style="98" customWidth="1"/>
    <col min="6884" max="6884" width="9.28515625" style="98" customWidth="1"/>
    <col min="6885" max="6885" width="8.5703125" style="98" customWidth="1"/>
    <col min="6886" max="6886" width="8.7109375" style="98" customWidth="1"/>
    <col min="6887" max="6887" width="14.140625" style="98" customWidth="1"/>
    <col min="6888" max="6888" width="12.85546875" style="98" customWidth="1"/>
    <col min="6889" max="6889" width="10.140625" style="98" customWidth="1"/>
    <col min="6890" max="6890" width="14" style="98" customWidth="1"/>
    <col min="6891" max="6910" width="2.28515625" style="98" customWidth="1"/>
    <col min="6911" max="7126" width="8.7109375" style="98"/>
    <col min="7127" max="7127" width="3.140625" style="98" customWidth="1"/>
    <col min="7128" max="7128" width="24.85546875" style="98" customWidth="1"/>
    <col min="7129" max="7129" width="11.7109375" style="98" bestFit="1" customWidth="1"/>
    <col min="7130" max="7130" width="14.140625" style="98" customWidth="1"/>
    <col min="7131" max="7131" width="10.28515625" style="98" customWidth="1"/>
    <col min="7132" max="7132" width="9.85546875" style="98" customWidth="1"/>
    <col min="7133" max="7133" width="10.28515625" style="98" customWidth="1"/>
    <col min="7134" max="7134" width="9" style="98" customWidth="1"/>
    <col min="7135" max="7137" width="8.7109375" style="98" customWidth="1"/>
    <col min="7138" max="7138" width="8" style="98" customWidth="1"/>
    <col min="7139" max="7139" width="8.140625" style="98" customWidth="1"/>
    <col min="7140" max="7140" width="9.28515625" style="98" customWidth="1"/>
    <col min="7141" max="7141" width="8.5703125" style="98" customWidth="1"/>
    <col min="7142" max="7142" width="8.7109375" style="98" customWidth="1"/>
    <col min="7143" max="7143" width="14.140625" style="98" customWidth="1"/>
    <col min="7144" max="7144" width="12.85546875" style="98" customWidth="1"/>
    <col min="7145" max="7145" width="10.140625" style="98" customWidth="1"/>
    <col min="7146" max="7146" width="14" style="98" customWidth="1"/>
    <col min="7147" max="7166" width="2.28515625" style="98" customWidth="1"/>
    <col min="7167" max="7382" width="8.7109375" style="98"/>
    <col min="7383" max="7383" width="3.140625" style="98" customWidth="1"/>
    <col min="7384" max="7384" width="24.85546875" style="98" customWidth="1"/>
    <col min="7385" max="7385" width="11.7109375" style="98" bestFit="1" customWidth="1"/>
    <col min="7386" max="7386" width="14.140625" style="98" customWidth="1"/>
    <col min="7387" max="7387" width="10.28515625" style="98" customWidth="1"/>
    <col min="7388" max="7388" width="9.85546875" style="98" customWidth="1"/>
    <col min="7389" max="7389" width="10.28515625" style="98" customWidth="1"/>
    <col min="7390" max="7390" width="9" style="98" customWidth="1"/>
    <col min="7391" max="7393" width="8.7109375" style="98" customWidth="1"/>
    <col min="7394" max="7394" width="8" style="98" customWidth="1"/>
    <col min="7395" max="7395" width="8.140625" style="98" customWidth="1"/>
    <col min="7396" max="7396" width="9.28515625" style="98" customWidth="1"/>
    <col min="7397" max="7397" width="8.5703125" style="98" customWidth="1"/>
    <col min="7398" max="7398" width="8.7109375" style="98" customWidth="1"/>
    <col min="7399" max="7399" width="14.140625" style="98" customWidth="1"/>
    <col min="7400" max="7400" width="12.85546875" style="98" customWidth="1"/>
    <col min="7401" max="7401" width="10.140625" style="98" customWidth="1"/>
    <col min="7402" max="7402" width="14" style="98" customWidth="1"/>
    <col min="7403" max="7422" width="2.28515625" style="98" customWidth="1"/>
    <col min="7423" max="7638" width="8.7109375" style="98"/>
    <col min="7639" max="7639" width="3.140625" style="98" customWidth="1"/>
    <col min="7640" max="7640" width="24.85546875" style="98" customWidth="1"/>
    <col min="7641" max="7641" width="11.7109375" style="98" bestFit="1" customWidth="1"/>
    <col min="7642" max="7642" width="14.140625" style="98" customWidth="1"/>
    <col min="7643" max="7643" width="10.28515625" style="98" customWidth="1"/>
    <col min="7644" max="7644" width="9.85546875" style="98" customWidth="1"/>
    <col min="7645" max="7645" width="10.28515625" style="98" customWidth="1"/>
    <col min="7646" max="7646" width="9" style="98" customWidth="1"/>
    <col min="7647" max="7649" width="8.7109375" style="98" customWidth="1"/>
    <col min="7650" max="7650" width="8" style="98" customWidth="1"/>
    <col min="7651" max="7651" width="8.140625" style="98" customWidth="1"/>
    <col min="7652" max="7652" width="9.28515625" style="98" customWidth="1"/>
    <col min="7653" max="7653" width="8.5703125" style="98" customWidth="1"/>
    <col min="7654" max="7654" width="8.7109375" style="98" customWidth="1"/>
    <col min="7655" max="7655" width="14.140625" style="98" customWidth="1"/>
    <col min="7656" max="7656" width="12.85546875" style="98" customWidth="1"/>
    <col min="7657" max="7657" width="10.140625" style="98" customWidth="1"/>
    <col min="7658" max="7658" width="14" style="98" customWidth="1"/>
    <col min="7659" max="7678" width="2.28515625" style="98" customWidth="1"/>
    <col min="7679" max="7894" width="8.7109375" style="98"/>
    <col min="7895" max="7895" width="3.140625" style="98" customWidth="1"/>
    <col min="7896" max="7896" width="24.85546875" style="98" customWidth="1"/>
    <col min="7897" max="7897" width="11.7109375" style="98" bestFit="1" customWidth="1"/>
    <col min="7898" max="7898" width="14.140625" style="98" customWidth="1"/>
    <col min="7899" max="7899" width="10.28515625" style="98" customWidth="1"/>
    <col min="7900" max="7900" width="9.85546875" style="98" customWidth="1"/>
    <col min="7901" max="7901" width="10.28515625" style="98" customWidth="1"/>
    <col min="7902" max="7902" width="9" style="98" customWidth="1"/>
    <col min="7903" max="7905" width="8.7109375" style="98" customWidth="1"/>
    <col min="7906" max="7906" width="8" style="98" customWidth="1"/>
    <col min="7907" max="7907" width="8.140625" style="98" customWidth="1"/>
    <col min="7908" max="7908" width="9.28515625" style="98" customWidth="1"/>
    <col min="7909" max="7909" width="8.5703125" style="98" customWidth="1"/>
    <col min="7910" max="7910" width="8.7109375" style="98" customWidth="1"/>
    <col min="7911" max="7911" width="14.140625" style="98" customWidth="1"/>
    <col min="7912" max="7912" width="12.85546875" style="98" customWidth="1"/>
    <col min="7913" max="7913" width="10.140625" style="98" customWidth="1"/>
    <col min="7914" max="7914" width="14" style="98" customWidth="1"/>
    <col min="7915" max="7934" width="2.28515625" style="98" customWidth="1"/>
    <col min="7935" max="8150" width="8.7109375" style="98"/>
    <col min="8151" max="8151" width="3.140625" style="98" customWidth="1"/>
    <col min="8152" max="8152" width="24.85546875" style="98" customWidth="1"/>
    <col min="8153" max="8153" width="11.7109375" style="98" bestFit="1" customWidth="1"/>
    <col min="8154" max="8154" width="14.140625" style="98" customWidth="1"/>
    <col min="8155" max="8155" width="10.28515625" style="98" customWidth="1"/>
    <col min="8156" max="8156" width="9.85546875" style="98" customWidth="1"/>
    <col min="8157" max="8157" width="10.28515625" style="98" customWidth="1"/>
    <col min="8158" max="8158" width="9" style="98" customWidth="1"/>
    <col min="8159" max="8161" width="8.7109375" style="98" customWidth="1"/>
    <col min="8162" max="8162" width="8" style="98" customWidth="1"/>
    <col min="8163" max="8163" width="8.140625" style="98" customWidth="1"/>
    <col min="8164" max="8164" width="9.28515625" style="98" customWidth="1"/>
    <col min="8165" max="8165" width="8.5703125" style="98" customWidth="1"/>
    <col min="8166" max="8166" width="8.7109375" style="98" customWidth="1"/>
    <col min="8167" max="8167" width="14.140625" style="98" customWidth="1"/>
    <col min="8168" max="8168" width="12.85546875" style="98" customWidth="1"/>
    <col min="8169" max="8169" width="10.140625" style="98" customWidth="1"/>
    <col min="8170" max="8170" width="14" style="98" customWidth="1"/>
    <col min="8171" max="8190" width="2.28515625" style="98" customWidth="1"/>
    <col min="8191" max="8406" width="8.7109375" style="98"/>
    <col min="8407" max="8407" width="3.140625" style="98" customWidth="1"/>
    <col min="8408" max="8408" width="24.85546875" style="98" customWidth="1"/>
    <col min="8409" max="8409" width="11.7109375" style="98" bestFit="1" customWidth="1"/>
    <col min="8410" max="8410" width="14.140625" style="98" customWidth="1"/>
    <col min="8411" max="8411" width="10.28515625" style="98" customWidth="1"/>
    <col min="8412" max="8412" width="9.85546875" style="98" customWidth="1"/>
    <col min="8413" max="8413" width="10.28515625" style="98" customWidth="1"/>
    <col min="8414" max="8414" width="9" style="98" customWidth="1"/>
    <col min="8415" max="8417" width="8.7109375" style="98" customWidth="1"/>
    <col min="8418" max="8418" width="8" style="98" customWidth="1"/>
    <col min="8419" max="8419" width="8.140625" style="98" customWidth="1"/>
    <col min="8420" max="8420" width="9.28515625" style="98" customWidth="1"/>
    <col min="8421" max="8421" width="8.5703125" style="98" customWidth="1"/>
    <col min="8422" max="8422" width="8.7109375" style="98" customWidth="1"/>
    <col min="8423" max="8423" width="14.140625" style="98" customWidth="1"/>
    <col min="8424" max="8424" width="12.85546875" style="98" customWidth="1"/>
    <col min="8425" max="8425" width="10.140625" style="98" customWidth="1"/>
    <col min="8426" max="8426" width="14" style="98" customWidth="1"/>
    <col min="8427" max="8446" width="2.28515625" style="98" customWidth="1"/>
    <col min="8447" max="8662" width="8.7109375" style="98"/>
    <col min="8663" max="8663" width="3.140625" style="98" customWidth="1"/>
    <col min="8664" max="8664" width="24.85546875" style="98" customWidth="1"/>
    <col min="8665" max="8665" width="11.7109375" style="98" bestFit="1" customWidth="1"/>
    <col min="8666" max="8666" width="14.140625" style="98" customWidth="1"/>
    <col min="8667" max="8667" width="10.28515625" style="98" customWidth="1"/>
    <col min="8668" max="8668" width="9.85546875" style="98" customWidth="1"/>
    <col min="8669" max="8669" width="10.28515625" style="98" customWidth="1"/>
    <col min="8670" max="8670" width="9" style="98" customWidth="1"/>
    <col min="8671" max="8673" width="8.7109375" style="98" customWidth="1"/>
    <col min="8674" max="8674" width="8" style="98" customWidth="1"/>
    <col min="8675" max="8675" width="8.140625" style="98" customWidth="1"/>
    <col min="8676" max="8676" width="9.28515625" style="98" customWidth="1"/>
    <col min="8677" max="8677" width="8.5703125" style="98" customWidth="1"/>
    <col min="8678" max="8678" width="8.7109375" style="98" customWidth="1"/>
    <col min="8679" max="8679" width="14.140625" style="98" customWidth="1"/>
    <col min="8680" max="8680" width="12.85546875" style="98" customWidth="1"/>
    <col min="8681" max="8681" width="10.140625" style="98" customWidth="1"/>
    <col min="8682" max="8682" width="14" style="98" customWidth="1"/>
    <col min="8683" max="8702" width="2.28515625" style="98" customWidth="1"/>
    <col min="8703" max="8918" width="8.7109375" style="98"/>
    <col min="8919" max="8919" width="3.140625" style="98" customWidth="1"/>
    <col min="8920" max="8920" width="24.85546875" style="98" customWidth="1"/>
    <col min="8921" max="8921" width="11.7109375" style="98" bestFit="1" customWidth="1"/>
    <col min="8922" max="8922" width="14.140625" style="98" customWidth="1"/>
    <col min="8923" max="8923" width="10.28515625" style="98" customWidth="1"/>
    <col min="8924" max="8924" width="9.85546875" style="98" customWidth="1"/>
    <col min="8925" max="8925" width="10.28515625" style="98" customWidth="1"/>
    <col min="8926" max="8926" width="9" style="98" customWidth="1"/>
    <col min="8927" max="8929" width="8.7109375" style="98" customWidth="1"/>
    <col min="8930" max="8930" width="8" style="98" customWidth="1"/>
    <col min="8931" max="8931" width="8.140625" style="98" customWidth="1"/>
    <col min="8932" max="8932" width="9.28515625" style="98" customWidth="1"/>
    <col min="8933" max="8933" width="8.5703125" style="98" customWidth="1"/>
    <col min="8934" max="8934" width="8.7109375" style="98" customWidth="1"/>
    <col min="8935" max="8935" width="14.140625" style="98" customWidth="1"/>
    <col min="8936" max="8936" width="12.85546875" style="98" customWidth="1"/>
    <col min="8937" max="8937" width="10.140625" style="98" customWidth="1"/>
    <col min="8938" max="8938" width="14" style="98" customWidth="1"/>
    <col min="8939" max="8958" width="2.28515625" style="98" customWidth="1"/>
    <col min="8959" max="9174" width="8.7109375" style="98"/>
    <col min="9175" max="9175" width="3.140625" style="98" customWidth="1"/>
    <col min="9176" max="9176" width="24.85546875" style="98" customWidth="1"/>
    <col min="9177" max="9177" width="11.7109375" style="98" bestFit="1" customWidth="1"/>
    <col min="9178" max="9178" width="14.140625" style="98" customWidth="1"/>
    <col min="9179" max="9179" width="10.28515625" style="98" customWidth="1"/>
    <col min="9180" max="9180" width="9.85546875" style="98" customWidth="1"/>
    <col min="9181" max="9181" width="10.28515625" style="98" customWidth="1"/>
    <col min="9182" max="9182" width="9" style="98" customWidth="1"/>
    <col min="9183" max="9185" width="8.7109375" style="98" customWidth="1"/>
    <col min="9186" max="9186" width="8" style="98" customWidth="1"/>
    <col min="9187" max="9187" width="8.140625" style="98" customWidth="1"/>
    <col min="9188" max="9188" width="9.28515625" style="98" customWidth="1"/>
    <col min="9189" max="9189" width="8.5703125" style="98" customWidth="1"/>
    <col min="9190" max="9190" width="8.7109375" style="98" customWidth="1"/>
    <col min="9191" max="9191" width="14.140625" style="98" customWidth="1"/>
    <col min="9192" max="9192" width="12.85546875" style="98" customWidth="1"/>
    <col min="9193" max="9193" width="10.140625" style="98" customWidth="1"/>
    <col min="9194" max="9194" width="14" style="98" customWidth="1"/>
    <col min="9195" max="9214" width="2.28515625" style="98" customWidth="1"/>
    <col min="9215" max="9430" width="8.7109375" style="98"/>
    <col min="9431" max="9431" width="3.140625" style="98" customWidth="1"/>
    <col min="9432" max="9432" width="24.85546875" style="98" customWidth="1"/>
    <col min="9433" max="9433" width="11.7109375" style="98" bestFit="1" customWidth="1"/>
    <col min="9434" max="9434" width="14.140625" style="98" customWidth="1"/>
    <col min="9435" max="9435" width="10.28515625" style="98" customWidth="1"/>
    <col min="9436" max="9436" width="9.85546875" style="98" customWidth="1"/>
    <col min="9437" max="9437" width="10.28515625" style="98" customWidth="1"/>
    <col min="9438" max="9438" width="9" style="98" customWidth="1"/>
    <col min="9439" max="9441" width="8.7109375" style="98" customWidth="1"/>
    <col min="9442" max="9442" width="8" style="98" customWidth="1"/>
    <col min="9443" max="9443" width="8.140625" style="98" customWidth="1"/>
    <col min="9444" max="9444" width="9.28515625" style="98" customWidth="1"/>
    <col min="9445" max="9445" width="8.5703125" style="98" customWidth="1"/>
    <col min="9446" max="9446" width="8.7109375" style="98" customWidth="1"/>
    <col min="9447" max="9447" width="14.140625" style="98" customWidth="1"/>
    <col min="9448" max="9448" width="12.85546875" style="98" customWidth="1"/>
    <col min="9449" max="9449" width="10.140625" style="98" customWidth="1"/>
    <col min="9450" max="9450" width="14" style="98" customWidth="1"/>
    <col min="9451" max="9470" width="2.28515625" style="98" customWidth="1"/>
    <col min="9471" max="9686" width="8.7109375" style="98"/>
    <col min="9687" max="9687" width="3.140625" style="98" customWidth="1"/>
    <col min="9688" max="9688" width="24.85546875" style="98" customWidth="1"/>
    <col min="9689" max="9689" width="11.7109375" style="98" bestFit="1" customWidth="1"/>
    <col min="9690" max="9690" width="14.140625" style="98" customWidth="1"/>
    <col min="9691" max="9691" width="10.28515625" style="98" customWidth="1"/>
    <col min="9692" max="9692" width="9.85546875" style="98" customWidth="1"/>
    <col min="9693" max="9693" width="10.28515625" style="98" customWidth="1"/>
    <col min="9694" max="9694" width="9" style="98" customWidth="1"/>
    <col min="9695" max="9697" width="8.7109375" style="98" customWidth="1"/>
    <col min="9698" max="9698" width="8" style="98" customWidth="1"/>
    <col min="9699" max="9699" width="8.140625" style="98" customWidth="1"/>
    <col min="9700" max="9700" width="9.28515625" style="98" customWidth="1"/>
    <col min="9701" max="9701" width="8.5703125" style="98" customWidth="1"/>
    <col min="9702" max="9702" width="8.7109375" style="98" customWidth="1"/>
    <col min="9703" max="9703" width="14.140625" style="98" customWidth="1"/>
    <col min="9704" max="9704" width="12.85546875" style="98" customWidth="1"/>
    <col min="9705" max="9705" width="10.140625" style="98" customWidth="1"/>
    <col min="9706" max="9706" width="14" style="98" customWidth="1"/>
    <col min="9707" max="9726" width="2.28515625" style="98" customWidth="1"/>
    <col min="9727" max="9942" width="8.7109375" style="98"/>
    <col min="9943" max="9943" width="3.140625" style="98" customWidth="1"/>
    <col min="9944" max="9944" width="24.85546875" style="98" customWidth="1"/>
    <col min="9945" max="9945" width="11.7109375" style="98" bestFit="1" customWidth="1"/>
    <col min="9946" max="9946" width="14.140625" style="98" customWidth="1"/>
    <col min="9947" max="9947" width="10.28515625" style="98" customWidth="1"/>
    <col min="9948" max="9948" width="9.85546875" style="98" customWidth="1"/>
    <col min="9949" max="9949" width="10.28515625" style="98" customWidth="1"/>
    <col min="9950" max="9950" width="9" style="98" customWidth="1"/>
    <col min="9951" max="9953" width="8.7109375" style="98" customWidth="1"/>
    <col min="9954" max="9954" width="8" style="98" customWidth="1"/>
    <col min="9955" max="9955" width="8.140625" style="98" customWidth="1"/>
    <col min="9956" max="9956" width="9.28515625" style="98" customWidth="1"/>
    <col min="9957" max="9957" width="8.5703125" style="98" customWidth="1"/>
    <col min="9958" max="9958" width="8.7109375" style="98" customWidth="1"/>
    <col min="9959" max="9959" width="14.140625" style="98" customWidth="1"/>
    <col min="9960" max="9960" width="12.85546875" style="98" customWidth="1"/>
    <col min="9961" max="9961" width="10.140625" style="98" customWidth="1"/>
    <col min="9962" max="9962" width="14" style="98" customWidth="1"/>
    <col min="9963" max="9982" width="2.28515625" style="98" customWidth="1"/>
    <col min="9983" max="10198" width="8.7109375" style="98"/>
    <col min="10199" max="10199" width="3.140625" style="98" customWidth="1"/>
    <col min="10200" max="10200" width="24.85546875" style="98" customWidth="1"/>
    <col min="10201" max="10201" width="11.7109375" style="98" bestFit="1" customWidth="1"/>
    <col min="10202" max="10202" width="14.140625" style="98" customWidth="1"/>
    <col min="10203" max="10203" width="10.28515625" style="98" customWidth="1"/>
    <col min="10204" max="10204" width="9.85546875" style="98" customWidth="1"/>
    <col min="10205" max="10205" width="10.28515625" style="98" customWidth="1"/>
    <col min="10206" max="10206" width="9" style="98" customWidth="1"/>
    <col min="10207" max="10209" width="8.7109375" style="98" customWidth="1"/>
    <col min="10210" max="10210" width="8" style="98" customWidth="1"/>
    <col min="10211" max="10211" width="8.140625" style="98" customWidth="1"/>
    <col min="10212" max="10212" width="9.28515625" style="98" customWidth="1"/>
    <col min="10213" max="10213" width="8.5703125" style="98" customWidth="1"/>
    <col min="10214" max="10214" width="8.7109375" style="98" customWidth="1"/>
    <col min="10215" max="10215" width="14.140625" style="98" customWidth="1"/>
    <col min="10216" max="10216" width="12.85546875" style="98" customWidth="1"/>
    <col min="10217" max="10217" width="10.140625" style="98" customWidth="1"/>
    <col min="10218" max="10218" width="14" style="98" customWidth="1"/>
    <col min="10219" max="10238" width="2.28515625" style="98" customWidth="1"/>
    <col min="10239" max="10454" width="8.7109375" style="98"/>
    <col min="10455" max="10455" width="3.140625" style="98" customWidth="1"/>
    <col min="10456" max="10456" width="24.85546875" style="98" customWidth="1"/>
    <col min="10457" max="10457" width="11.7109375" style="98" bestFit="1" customWidth="1"/>
    <col min="10458" max="10458" width="14.140625" style="98" customWidth="1"/>
    <col min="10459" max="10459" width="10.28515625" style="98" customWidth="1"/>
    <col min="10460" max="10460" width="9.85546875" style="98" customWidth="1"/>
    <col min="10461" max="10461" width="10.28515625" style="98" customWidth="1"/>
    <col min="10462" max="10462" width="9" style="98" customWidth="1"/>
    <col min="10463" max="10465" width="8.7109375" style="98" customWidth="1"/>
    <col min="10466" max="10466" width="8" style="98" customWidth="1"/>
    <col min="10467" max="10467" width="8.140625" style="98" customWidth="1"/>
    <col min="10468" max="10468" width="9.28515625" style="98" customWidth="1"/>
    <col min="10469" max="10469" width="8.5703125" style="98" customWidth="1"/>
    <col min="10470" max="10470" width="8.7109375" style="98" customWidth="1"/>
    <col min="10471" max="10471" width="14.140625" style="98" customWidth="1"/>
    <col min="10472" max="10472" width="12.85546875" style="98" customWidth="1"/>
    <col min="10473" max="10473" width="10.140625" style="98" customWidth="1"/>
    <col min="10474" max="10474" width="14" style="98" customWidth="1"/>
    <col min="10475" max="10494" width="2.28515625" style="98" customWidth="1"/>
    <col min="10495" max="10710" width="8.7109375" style="98"/>
    <col min="10711" max="10711" width="3.140625" style="98" customWidth="1"/>
    <col min="10712" max="10712" width="24.85546875" style="98" customWidth="1"/>
    <col min="10713" max="10713" width="11.7109375" style="98" bestFit="1" customWidth="1"/>
    <col min="10714" max="10714" width="14.140625" style="98" customWidth="1"/>
    <col min="10715" max="10715" width="10.28515625" style="98" customWidth="1"/>
    <col min="10716" max="10716" width="9.85546875" style="98" customWidth="1"/>
    <col min="10717" max="10717" width="10.28515625" style="98" customWidth="1"/>
    <col min="10718" max="10718" width="9" style="98" customWidth="1"/>
    <col min="10719" max="10721" width="8.7109375" style="98" customWidth="1"/>
    <col min="10722" max="10722" width="8" style="98" customWidth="1"/>
    <col min="10723" max="10723" width="8.140625" style="98" customWidth="1"/>
    <col min="10724" max="10724" width="9.28515625" style="98" customWidth="1"/>
    <col min="10725" max="10725" width="8.5703125" style="98" customWidth="1"/>
    <col min="10726" max="10726" width="8.7109375" style="98" customWidth="1"/>
    <col min="10727" max="10727" width="14.140625" style="98" customWidth="1"/>
    <col min="10728" max="10728" width="12.85546875" style="98" customWidth="1"/>
    <col min="10729" max="10729" width="10.140625" style="98" customWidth="1"/>
    <col min="10730" max="10730" width="14" style="98" customWidth="1"/>
    <col min="10731" max="10750" width="2.28515625" style="98" customWidth="1"/>
    <col min="10751" max="10966" width="8.7109375" style="98"/>
    <col min="10967" max="10967" width="3.140625" style="98" customWidth="1"/>
    <col min="10968" max="10968" width="24.85546875" style="98" customWidth="1"/>
    <col min="10969" max="10969" width="11.7109375" style="98" bestFit="1" customWidth="1"/>
    <col min="10970" max="10970" width="14.140625" style="98" customWidth="1"/>
    <col min="10971" max="10971" width="10.28515625" style="98" customWidth="1"/>
    <col min="10972" max="10972" width="9.85546875" style="98" customWidth="1"/>
    <col min="10973" max="10973" width="10.28515625" style="98" customWidth="1"/>
    <col min="10974" max="10974" width="9" style="98" customWidth="1"/>
    <col min="10975" max="10977" width="8.7109375" style="98" customWidth="1"/>
    <col min="10978" max="10978" width="8" style="98" customWidth="1"/>
    <col min="10979" max="10979" width="8.140625" style="98" customWidth="1"/>
    <col min="10980" max="10980" width="9.28515625" style="98" customWidth="1"/>
    <col min="10981" max="10981" width="8.5703125" style="98" customWidth="1"/>
    <col min="10982" max="10982" width="8.7109375" style="98" customWidth="1"/>
    <col min="10983" max="10983" width="14.140625" style="98" customWidth="1"/>
    <col min="10984" max="10984" width="12.85546875" style="98" customWidth="1"/>
    <col min="10985" max="10985" width="10.140625" style="98" customWidth="1"/>
    <col min="10986" max="10986" width="14" style="98" customWidth="1"/>
    <col min="10987" max="11006" width="2.28515625" style="98" customWidth="1"/>
    <col min="11007" max="11222" width="8.7109375" style="98"/>
    <col min="11223" max="11223" width="3.140625" style="98" customWidth="1"/>
    <col min="11224" max="11224" width="24.85546875" style="98" customWidth="1"/>
    <col min="11225" max="11225" width="11.7109375" style="98" bestFit="1" customWidth="1"/>
    <col min="11226" max="11226" width="14.140625" style="98" customWidth="1"/>
    <col min="11227" max="11227" width="10.28515625" style="98" customWidth="1"/>
    <col min="11228" max="11228" width="9.85546875" style="98" customWidth="1"/>
    <col min="11229" max="11229" width="10.28515625" style="98" customWidth="1"/>
    <col min="11230" max="11230" width="9" style="98" customWidth="1"/>
    <col min="11231" max="11233" width="8.7109375" style="98" customWidth="1"/>
    <col min="11234" max="11234" width="8" style="98" customWidth="1"/>
    <col min="11235" max="11235" width="8.140625" style="98" customWidth="1"/>
    <col min="11236" max="11236" width="9.28515625" style="98" customWidth="1"/>
    <col min="11237" max="11237" width="8.5703125" style="98" customWidth="1"/>
    <col min="11238" max="11238" width="8.7109375" style="98" customWidth="1"/>
    <col min="11239" max="11239" width="14.140625" style="98" customWidth="1"/>
    <col min="11240" max="11240" width="12.85546875" style="98" customWidth="1"/>
    <col min="11241" max="11241" width="10.140625" style="98" customWidth="1"/>
    <col min="11242" max="11242" width="14" style="98" customWidth="1"/>
    <col min="11243" max="11262" width="2.28515625" style="98" customWidth="1"/>
    <col min="11263" max="11478" width="8.7109375" style="98"/>
    <col min="11479" max="11479" width="3.140625" style="98" customWidth="1"/>
    <col min="11480" max="11480" width="24.85546875" style="98" customWidth="1"/>
    <col min="11481" max="11481" width="11.7109375" style="98" bestFit="1" customWidth="1"/>
    <col min="11482" max="11482" width="14.140625" style="98" customWidth="1"/>
    <col min="11483" max="11483" width="10.28515625" style="98" customWidth="1"/>
    <col min="11484" max="11484" width="9.85546875" style="98" customWidth="1"/>
    <col min="11485" max="11485" width="10.28515625" style="98" customWidth="1"/>
    <col min="11486" max="11486" width="9" style="98" customWidth="1"/>
    <col min="11487" max="11489" width="8.7109375" style="98" customWidth="1"/>
    <col min="11490" max="11490" width="8" style="98" customWidth="1"/>
    <col min="11491" max="11491" width="8.140625" style="98" customWidth="1"/>
    <col min="11492" max="11492" width="9.28515625" style="98" customWidth="1"/>
    <col min="11493" max="11493" width="8.5703125" style="98" customWidth="1"/>
    <col min="11494" max="11494" width="8.7109375" style="98" customWidth="1"/>
    <col min="11495" max="11495" width="14.140625" style="98" customWidth="1"/>
    <col min="11496" max="11496" width="12.85546875" style="98" customWidth="1"/>
    <col min="11497" max="11497" width="10.140625" style="98" customWidth="1"/>
    <col min="11498" max="11498" width="14" style="98" customWidth="1"/>
    <col min="11499" max="11518" width="2.28515625" style="98" customWidth="1"/>
    <col min="11519" max="11734" width="8.7109375" style="98"/>
    <col min="11735" max="11735" width="3.140625" style="98" customWidth="1"/>
    <col min="11736" max="11736" width="24.85546875" style="98" customWidth="1"/>
    <col min="11737" max="11737" width="11.7109375" style="98" bestFit="1" customWidth="1"/>
    <col min="11738" max="11738" width="14.140625" style="98" customWidth="1"/>
    <col min="11739" max="11739" width="10.28515625" style="98" customWidth="1"/>
    <col min="11740" max="11740" width="9.85546875" style="98" customWidth="1"/>
    <col min="11741" max="11741" width="10.28515625" style="98" customWidth="1"/>
    <col min="11742" max="11742" width="9" style="98" customWidth="1"/>
    <col min="11743" max="11745" width="8.7109375" style="98" customWidth="1"/>
    <col min="11746" max="11746" width="8" style="98" customWidth="1"/>
    <col min="11747" max="11747" width="8.140625" style="98" customWidth="1"/>
    <col min="11748" max="11748" width="9.28515625" style="98" customWidth="1"/>
    <col min="11749" max="11749" width="8.5703125" style="98" customWidth="1"/>
    <col min="11750" max="11750" width="8.7109375" style="98" customWidth="1"/>
    <col min="11751" max="11751" width="14.140625" style="98" customWidth="1"/>
    <col min="11752" max="11752" width="12.85546875" style="98" customWidth="1"/>
    <col min="11753" max="11753" width="10.140625" style="98" customWidth="1"/>
    <col min="11754" max="11754" width="14" style="98" customWidth="1"/>
    <col min="11755" max="11774" width="2.28515625" style="98" customWidth="1"/>
    <col min="11775" max="11990" width="8.7109375" style="98"/>
    <col min="11991" max="11991" width="3.140625" style="98" customWidth="1"/>
    <col min="11992" max="11992" width="24.85546875" style="98" customWidth="1"/>
    <col min="11993" max="11993" width="11.7109375" style="98" bestFit="1" customWidth="1"/>
    <col min="11994" max="11994" width="14.140625" style="98" customWidth="1"/>
    <col min="11995" max="11995" width="10.28515625" style="98" customWidth="1"/>
    <col min="11996" max="11996" width="9.85546875" style="98" customWidth="1"/>
    <col min="11997" max="11997" width="10.28515625" style="98" customWidth="1"/>
    <col min="11998" max="11998" width="9" style="98" customWidth="1"/>
    <col min="11999" max="12001" width="8.7109375" style="98" customWidth="1"/>
    <col min="12002" max="12002" width="8" style="98" customWidth="1"/>
    <col min="12003" max="12003" width="8.140625" style="98" customWidth="1"/>
    <col min="12004" max="12004" width="9.28515625" style="98" customWidth="1"/>
    <col min="12005" max="12005" width="8.5703125" style="98" customWidth="1"/>
    <col min="12006" max="12006" width="8.7109375" style="98" customWidth="1"/>
    <col min="12007" max="12007" width="14.140625" style="98" customWidth="1"/>
    <col min="12008" max="12008" width="12.85546875" style="98" customWidth="1"/>
    <col min="12009" max="12009" width="10.140625" style="98" customWidth="1"/>
    <col min="12010" max="12010" width="14" style="98" customWidth="1"/>
    <col min="12011" max="12030" width="2.28515625" style="98" customWidth="1"/>
    <col min="12031" max="12246" width="8.7109375" style="98"/>
    <col min="12247" max="12247" width="3.140625" style="98" customWidth="1"/>
    <col min="12248" max="12248" width="24.85546875" style="98" customWidth="1"/>
    <col min="12249" max="12249" width="11.7109375" style="98" bestFit="1" customWidth="1"/>
    <col min="12250" max="12250" width="14.140625" style="98" customWidth="1"/>
    <col min="12251" max="12251" width="10.28515625" style="98" customWidth="1"/>
    <col min="12252" max="12252" width="9.85546875" style="98" customWidth="1"/>
    <col min="12253" max="12253" width="10.28515625" style="98" customWidth="1"/>
    <col min="12254" max="12254" width="9" style="98" customWidth="1"/>
    <col min="12255" max="12257" width="8.7109375" style="98" customWidth="1"/>
    <col min="12258" max="12258" width="8" style="98" customWidth="1"/>
    <col min="12259" max="12259" width="8.140625" style="98" customWidth="1"/>
    <col min="12260" max="12260" width="9.28515625" style="98" customWidth="1"/>
    <col min="12261" max="12261" width="8.5703125" style="98" customWidth="1"/>
    <col min="12262" max="12262" width="8.7109375" style="98" customWidth="1"/>
    <col min="12263" max="12263" width="14.140625" style="98" customWidth="1"/>
    <col min="12264" max="12264" width="12.85546875" style="98" customWidth="1"/>
    <col min="12265" max="12265" width="10.140625" style="98" customWidth="1"/>
    <col min="12266" max="12266" width="14" style="98" customWidth="1"/>
    <col min="12267" max="12286" width="2.28515625" style="98" customWidth="1"/>
    <col min="12287" max="12502" width="8.7109375" style="98"/>
    <col min="12503" max="12503" width="3.140625" style="98" customWidth="1"/>
    <col min="12504" max="12504" width="24.85546875" style="98" customWidth="1"/>
    <col min="12505" max="12505" width="11.7109375" style="98" bestFit="1" customWidth="1"/>
    <col min="12506" max="12506" width="14.140625" style="98" customWidth="1"/>
    <col min="12507" max="12507" width="10.28515625" style="98" customWidth="1"/>
    <col min="12508" max="12508" width="9.85546875" style="98" customWidth="1"/>
    <col min="12509" max="12509" width="10.28515625" style="98" customWidth="1"/>
    <col min="12510" max="12510" width="9" style="98" customWidth="1"/>
    <col min="12511" max="12513" width="8.7109375" style="98" customWidth="1"/>
    <col min="12514" max="12514" width="8" style="98" customWidth="1"/>
    <col min="12515" max="12515" width="8.140625" style="98" customWidth="1"/>
    <col min="12516" max="12516" width="9.28515625" style="98" customWidth="1"/>
    <col min="12517" max="12517" width="8.5703125" style="98" customWidth="1"/>
    <col min="12518" max="12518" width="8.7109375" style="98" customWidth="1"/>
    <col min="12519" max="12519" width="14.140625" style="98" customWidth="1"/>
    <col min="12520" max="12520" width="12.85546875" style="98" customWidth="1"/>
    <col min="12521" max="12521" width="10.140625" style="98" customWidth="1"/>
    <col min="12522" max="12522" width="14" style="98" customWidth="1"/>
    <col min="12523" max="12542" width="2.28515625" style="98" customWidth="1"/>
    <col min="12543" max="12758" width="8.7109375" style="98"/>
    <col min="12759" max="12759" width="3.140625" style="98" customWidth="1"/>
    <col min="12760" max="12760" width="24.85546875" style="98" customWidth="1"/>
    <col min="12761" max="12761" width="11.7109375" style="98" bestFit="1" customWidth="1"/>
    <col min="12762" max="12762" width="14.140625" style="98" customWidth="1"/>
    <col min="12763" max="12763" width="10.28515625" style="98" customWidth="1"/>
    <col min="12764" max="12764" width="9.85546875" style="98" customWidth="1"/>
    <col min="12765" max="12765" width="10.28515625" style="98" customWidth="1"/>
    <col min="12766" max="12766" width="9" style="98" customWidth="1"/>
    <col min="12767" max="12769" width="8.7109375" style="98" customWidth="1"/>
    <col min="12770" max="12770" width="8" style="98" customWidth="1"/>
    <col min="12771" max="12771" width="8.140625" style="98" customWidth="1"/>
    <col min="12772" max="12772" width="9.28515625" style="98" customWidth="1"/>
    <col min="12773" max="12773" width="8.5703125" style="98" customWidth="1"/>
    <col min="12774" max="12774" width="8.7109375" style="98" customWidth="1"/>
    <col min="12775" max="12775" width="14.140625" style="98" customWidth="1"/>
    <col min="12776" max="12776" width="12.85546875" style="98" customWidth="1"/>
    <col min="12777" max="12777" width="10.140625" style="98" customWidth="1"/>
    <col min="12778" max="12778" width="14" style="98" customWidth="1"/>
    <col min="12779" max="12798" width="2.28515625" style="98" customWidth="1"/>
    <col min="12799" max="13014" width="8.7109375" style="98"/>
    <col min="13015" max="13015" width="3.140625" style="98" customWidth="1"/>
    <col min="13016" max="13016" width="24.85546875" style="98" customWidth="1"/>
    <col min="13017" max="13017" width="11.7109375" style="98" bestFit="1" customWidth="1"/>
    <col min="13018" max="13018" width="14.140625" style="98" customWidth="1"/>
    <col min="13019" max="13019" width="10.28515625" style="98" customWidth="1"/>
    <col min="13020" max="13020" width="9.85546875" style="98" customWidth="1"/>
    <col min="13021" max="13021" width="10.28515625" style="98" customWidth="1"/>
    <col min="13022" max="13022" width="9" style="98" customWidth="1"/>
    <col min="13023" max="13025" width="8.7109375" style="98" customWidth="1"/>
    <col min="13026" max="13026" width="8" style="98" customWidth="1"/>
    <col min="13027" max="13027" width="8.140625" style="98" customWidth="1"/>
    <col min="13028" max="13028" width="9.28515625" style="98" customWidth="1"/>
    <col min="13029" max="13029" width="8.5703125" style="98" customWidth="1"/>
    <col min="13030" max="13030" width="8.7109375" style="98" customWidth="1"/>
    <col min="13031" max="13031" width="14.140625" style="98" customWidth="1"/>
    <col min="13032" max="13032" width="12.85546875" style="98" customWidth="1"/>
    <col min="13033" max="13033" width="10.140625" style="98" customWidth="1"/>
    <col min="13034" max="13034" width="14" style="98" customWidth="1"/>
    <col min="13035" max="13054" width="2.28515625" style="98" customWidth="1"/>
    <col min="13055" max="13270" width="8.7109375" style="98"/>
    <col min="13271" max="13271" width="3.140625" style="98" customWidth="1"/>
    <col min="13272" max="13272" width="24.85546875" style="98" customWidth="1"/>
    <col min="13273" max="13273" width="11.7109375" style="98" bestFit="1" customWidth="1"/>
    <col min="13274" max="13274" width="14.140625" style="98" customWidth="1"/>
    <col min="13275" max="13275" width="10.28515625" style="98" customWidth="1"/>
    <col min="13276" max="13276" width="9.85546875" style="98" customWidth="1"/>
    <col min="13277" max="13277" width="10.28515625" style="98" customWidth="1"/>
    <col min="13278" max="13278" width="9" style="98" customWidth="1"/>
    <col min="13279" max="13281" width="8.7109375" style="98" customWidth="1"/>
    <col min="13282" max="13282" width="8" style="98" customWidth="1"/>
    <col min="13283" max="13283" width="8.140625" style="98" customWidth="1"/>
    <col min="13284" max="13284" width="9.28515625" style="98" customWidth="1"/>
    <col min="13285" max="13285" width="8.5703125" style="98" customWidth="1"/>
    <col min="13286" max="13286" width="8.7109375" style="98" customWidth="1"/>
    <col min="13287" max="13287" width="14.140625" style="98" customWidth="1"/>
    <col min="13288" max="13288" width="12.85546875" style="98" customWidth="1"/>
    <col min="13289" max="13289" width="10.140625" style="98" customWidth="1"/>
    <col min="13290" max="13290" width="14" style="98" customWidth="1"/>
    <col min="13291" max="13310" width="2.28515625" style="98" customWidth="1"/>
    <col min="13311" max="13526" width="8.7109375" style="98"/>
    <col min="13527" max="13527" width="3.140625" style="98" customWidth="1"/>
    <col min="13528" max="13528" width="24.85546875" style="98" customWidth="1"/>
    <col min="13529" max="13529" width="11.7109375" style="98" bestFit="1" customWidth="1"/>
    <col min="13530" max="13530" width="14.140625" style="98" customWidth="1"/>
    <col min="13531" max="13531" width="10.28515625" style="98" customWidth="1"/>
    <col min="13532" max="13532" width="9.85546875" style="98" customWidth="1"/>
    <col min="13533" max="13533" width="10.28515625" style="98" customWidth="1"/>
    <col min="13534" max="13534" width="9" style="98" customWidth="1"/>
    <col min="13535" max="13537" width="8.7109375" style="98" customWidth="1"/>
    <col min="13538" max="13538" width="8" style="98" customWidth="1"/>
    <col min="13539" max="13539" width="8.140625" style="98" customWidth="1"/>
    <col min="13540" max="13540" width="9.28515625" style="98" customWidth="1"/>
    <col min="13541" max="13541" width="8.5703125" style="98" customWidth="1"/>
    <col min="13542" max="13542" width="8.7109375" style="98" customWidth="1"/>
    <col min="13543" max="13543" width="14.140625" style="98" customWidth="1"/>
    <col min="13544" max="13544" width="12.85546875" style="98" customWidth="1"/>
    <col min="13545" max="13545" width="10.140625" style="98" customWidth="1"/>
    <col min="13546" max="13546" width="14" style="98" customWidth="1"/>
    <col min="13547" max="13566" width="2.28515625" style="98" customWidth="1"/>
    <col min="13567" max="13782" width="8.7109375" style="98"/>
    <col min="13783" max="13783" width="3.140625" style="98" customWidth="1"/>
    <col min="13784" max="13784" width="24.85546875" style="98" customWidth="1"/>
    <col min="13785" max="13785" width="11.7109375" style="98" bestFit="1" customWidth="1"/>
    <col min="13786" max="13786" width="14.140625" style="98" customWidth="1"/>
    <col min="13787" max="13787" width="10.28515625" style="98" customWidth="1"/>
    <col min="13788" max="13788" width="9.85546875" style="98" customWidth="1"/>
    <col min="13789" max="13789" width="10.28515625" style="98" customWidth="1"/>
    <col min="13790" max="13790" width="9" style="98" customWidth="1"/>
    <col min="13791" max="13793" width="8.7109375" style="98" customWidth="1"/>
    <col min="13794" max="13794" width="8" style="98" customWidth="1"/>
    <col min="13795" max="13795" width="8.140625" style="98" customWidth="1"/>
    <col min="13796" max="13796" width="9.28515625" style="98" customWidth="1"/>
    <col min="13797" max="13797" width="8.5703125" style="98" customWidth="1"/>
    <col min="13798" max="13798" width="8.7109375" style="98" customWidth="1"/>
    <col min="13799" max="13799" width="14.140625" style="98" customWidth="1"/>
    <col min="13800" max="13800" width="12.85546875" style="98" customWidth="1"/>
    <col min="13801" max="13801" width="10.140625" style="98" customWidth="1"/>
    <col min="13802" max="13802" width="14" style="98" customWidth="1"/>
    <col min="13803" max="13822" width="2.28515625" style="98" customWidth="1"/>
    <col min="13823" max="14038" width="8.7109375" style="98"/>
    <col min="14039" max="14039" width="3.140625" style="98" customWidth="1"/>
    <col min="14040" max="14040" width="24.85546875" style="98" customWidth="1"/>
    <col min="14041" max="14041" width="11.7109375" style="98" bestFit="1" customWidth="1"/>
    <col min="14042" max="14042" width="14.140625" style="98" customWidth="1"/>
    <col min="14043" max="14043" width="10.28515625" style="98" customWidth="1"/>
    <col min="14044" max="14044" width="9.85546875" style="98" customWidth="1"/>
    <col min="14045" max="14045" width="10.28515625" style="98" customWidth="1"/>
    <col min="14046" max="14046" width="9" style="98" customWidth="1"/>
    <col min="14047" max="14049" width="8.7109375" style="98" customWidth="1"/>
    <col min="14050" max="14050" width="8" style="98" customWidth="1"/>
    <col min="14051" max="14051" width="8.140625" style="98" customWidth="1"/>
    <col min="14052" max="14052" width="9.28515625" style="98" customWidth="1"/>
    <col min="14053" max="14053" width="8.5703125" style="98" customWidth="1"/>
    <col min="14054" max="14054" width="8.7109375" style="98" customWidth="1"/>
    <col min="14055" max="14055" width="14.140625" style="98" customWidth="1"/>
    <col min="14056" max="14056" width="12.85546875" style="98" customWidth="1"/>
    <col min="14057" max="14057" width="10.140625" style="98" customWidth="1"/>
    <col min="14058" max="14058" width="14" style="98" customWidth="1"/>
    <col min="14059" max="14078" width="2.28515625" style="98" customWidth="1"/>
    <col min="14079" max="14294" width="8.7109375" style="98"/>
    <col min="14295" max="14295" width="3.140625" style="98" customWidth="1"/>
    <col min="14296" max="14296" width="24.85546875" style="98" customWidth="1"/>
    <col min="14297" max="14297" width="11.7109375" style="98" bestFit="1" customWidth="1"/>
    <col min="14298" max="14298" width="14.140625" style="98" customWidth="1"/>
    <col min="14299" max="14299" width="10.28515625" style="98" customWidth="1"/>
    <col min="14300" max="14300" width="9.85546875" style="98" customWidth="1"/>
    <col min="14301" max="14301" width="10.28515625" style="98" customWidth="1"/>
    <col min="14302" max="14302" width="9" style="98" customWidth="1"/>
    <col min="14303" max="14305" width="8.7109375" style="98" customWidth="1"/>
    <col min="14306" max="14306" width="8" style="98" customWidth="1"/>
    <col min="14307" max="14307" width="8.140625" style="98" customWidth="1"/>
    <col min="14308" max="14308" width="9.28515625" style="98" customWidth="1"/>
    <col min="14309" max="14309" width="8.5703125" style="98" customWidth="1"/>
    <col min="14310" max="14310" width="8.7109375" style="98" customWidth="1"/>
    <col min="14311" max="14311" width="14.140625" style="98" customWidth="1"/>
    <col min="14312" max="14312" width="12.85546875" style="98" customWidth="1"/>
    <col min="14313" max="14313" width="10.140625" style="98" customWidth="1"/>
    <col min="14314" max="14314" width="14" style="98" customWidth="1"/>
    <col min="14315" max="14334" width="2.28515625" style="98" customWidth="1"/>
    <col min="14335" max="14550" width="8.7109375" style="98"/>
    <col min="14551" max="14551" width="3.140625" style="98" customWidth="1"/>
    <col min="14552" max="14552" width="24.85546875" style="98" customWidth="1"/>
    <col min="14553" max="14553" width="11.7109375" style="98" bestFit="1" customWidth="1"/>
    <col min="14554" max="14554" width="14.140625" style="98" customWidth="1"/>
    <col min="14555" max="14555" width="10.28515625" style="98" customWidth="1"/>
    <col min="14556" max="14556" width="9.85546875" style="98" customWidth="1"/>
    <col min="14557" max="14557" width="10.28515625" style="98" customWidth="1"/>
    <col min="14558" max="14558" width="9" style="98" customWidth="1"/>
    <col min="14559" max="14561" width="8.7109375" style="98" customWidth="1"/>
    <col min="14562" max="14562" width="8" style="98" customWidth="1"/>
    <col min="14563" max="14563" width="8.140625" style="98" customWidth="1"/>
    <col min="14564" max="14564" width="9.28515625" style="98" customWidth="1"/>
    <col min="14565" max="14565" width="8.5703125" style="98" customWidth="1"/>
    <col min="14566" max="14566" width="8.7109375" style="98" customWidth="1"/>
    <col min="14567" max="14567" width="14.140625" style="98" customWidth="1"/>
    <col min="14568" max="14568" width="12.85546875" style="98" customWidth="1"/>
    <col min="14569" max="14569" width="10.140625" style="98" customWidth="1"/>
    <col min="14570" max="14570" width="14" style="98" customWidth="1"/>
    <col min="14571" max="14590" width="2.28515625" style="98" customWidth="1"/>
    <col min="14591" max="14806" width="8.7109375" style="98"/>
    <col min="14807" max="14807" width="3.140625" style="98" customWidth="1"/>
    <col min="14808" max="14808" width="24.85546875" style="98" customWidth="1"/>
    <col min="14809" max="14809" width="11.7109375" style="98" bestFit="1" customWidth="1"/>
    <col min="14810" max="14810" width="14.140625" style="98" customWidth="1"/>
    <col min="14811" max="14811" width="10.28515625" style="98" customWidth="1"/>
    <col min="14812" max="14812" width="9.85546875" style="98" customWidth="1"/>
    <col min="14813" max="14813" width="10.28515625" style="98" customWidth="1"/>
    <col min="14814" max="14814" width="9" style="98" customWidth="1"/>
    <col min="14815" max="14817" width="8.7109375" style="98" customWidth="1"/>
    <col min="14818" max="14818" width="8" style="98" customWidth="1"/>
    <col min="14819" max="14819" width="8.140625" style="98" customWidth="1"/>
    <col min="14820" max="14820" width="9.28515625" style="98" customWidth="1"/>
    <col min="14821" max="14821" width="8.5703125" style="98" customWidth="1"/>
    <col min="14822" max="14822" width="8.7109375" style="98" customWidth="1"/>
    <col min="14823" max="14823" width="14.140625" style="98" customWidth="1"/>
    <col min="14824" max="14824" width="12.85546875" style="98" customWidth="1"/>
    <col min="14825" max="14825" width="10.140625" style="98" customWidth="1"/>
    <col min="14826" max="14826" width="14" style="98" customWidth="1"/>
    <col min="14827" max="14846" width="2.28515625" style="98" customWidth="1"/>
    <col min="14847" max="15062" width="8.7109375" style="98"/>
    <col min="15063" max="15063" width="3.140625" style="98" customWidth="1"/>
    <col min="15064" max="15064" width="24.85546875" style="98" customWidth="1"/>
    <col min="15065" max="15065" width="11.7109375" style="98" bestFit="1" customWidth="1"/>
    <col min="15066" max="15066" width="14.140625" style="98" customWidth="1"/>
    <col min="15067" max="15067" width="10.28515625" style="98" customWidth="1"/>
    <col min="15068" max="15068" width="9.85546875" style="98" customWidth="1"/>
    <col min="15069" max="15069" width="10.28515625" style="98" customWidth="1"/>
    <col min="15070" max="15070" width="9" style="98" customWidth="1"/>
    <col min="15071" max="15073" width="8.7109375" style="98" customWidth="1"/>
    <col min="15074" max="15074" width="8" style="98" customWidth="1"/>
    <col min="15075" max="15075" width="8.140625" style="98" customWidth="1"/>
    <col min="15076" max="15076" width="9.28515625" style="98" customWidth="1"/>
    <col min="15077" max="15077" width="8.5703125" style="98" customWidth="1"/>
    <col min="15078" max="15078" width="8.7109375" style="98" customWidth="1"/>
    <col min="15079" max="15079" width="14.140625" style="98" customWidth="1"/>
    <col min="15080" max="15080" width="12.85546875" style="98" customWidth="1"/>
    <col min="15081" max="15081" width="10.140625" style="98" customWidth="1"/>
    <col min="15082" max="15082" width="14" style="98" customWidth="1"/>
    <col min="15083" max="15102" width="2.28515625" style="98" customWidth="1"/>
    <col min="15103" max="15318" width="8.7109375" style="98"/>
    <col min="15319" max="15319" width="3.140625" style="98" customWidth="1"/>
    <col min="15320" max="15320" width="24.85546875" style="98" customWidth="1"/>
    <col min="15321" max="15321" width="11.7109375" style="98" bestFit="1" customWidth="1"/>
    <col min="15322" max="15322" width="14.140625" style="98" customWidth="1"/>
    <col min="15323" max="15323" width="10.28515625" style="98" customWidth="1"/>
    <col min="15324" max="15324" width="9.85546875" style="98" customWidth="1"/>
    <col min="15325" max="15325" width="10.28515625" style="98" customWidth="1"/>
    <col min="15326" max="15326" width="9" style="98" customWidth="1"/>
    <col min="15327" max="15329" width="8.7109375" style="98" customWidth="1"/>
    <col min="15330" max="15330" width="8" style="98" customWidth="1"/>
    <col min="15331" max="15331" width="8.140625" style="98" customWidth="1"/>
    <col min="15332" max="15332" width="9.28515625" style="98" customWidth="1"/>
    <col min="15333" max="15333" width="8.5703125" style="98" customWidth="1"/>
    <col min="15334" max="15334" width="8.7109375" style="98" customWidth="1"/>
    <col min="15335" max="15335" width="14.140625" style="98" customWidth="1"/>
    <col min="15336" max="15336" width="12.85546875" style="98" customWidth="1"/>
    <col min="15337" max="15337" width="10.140625" style="98" customWidth="1"/>
    <col min="15338" max="15338" width="14" style="98" customWidth="1"/>
    <col min="15339" max="15358" width="2.28515625" style="98" customWidth="1"/>
    <col min="15359" max="15574" width="8.7109375" style="98"/>
    <col min="15575" max="15575" width="3.140625" style="98" customWidth="1"/>
    <col min="15576" max="15576" width="24.85546875" style="98" customWidth="1"/>
    <col min="15577" max="15577" width="11.7109375" style="98" bestFit="1" customWidth="1"/>
    <col min="15578" max="15578" width="14.140625" style="98" customWidth="1"/>
    <col min="15579" max="15579" width="10.28515625" style="98" customWidth="1"/>
    <col min="15580" max="15580" width="9.85546875" style="98" customWidth="1"/>
    <col min="15581" max="15581" width="10.28515625" style="98" customWidth="1"/>
    <col min="15582" max="15582" width="9" style="98" customWidth="1"/>
    <col min="15583" max="15585" width="8.7109375" style="98" customWidth="1"/>
    <col min="15586" max="15586" width="8" style="98" customWidth="1"/>
    <col min="15587" max="15587" width="8.140625" style="98" customWidth="1"/>
    <col min="15588" max="15588" width="9.28515625" style="98" customWidth="1"/>
    <col min="15589" max="15589" width="8.5703125" style="98" customWidth="1"/>
    <col min="15590" max="15590" width="8.7109375" style="98" customWidth="1"/>
    <col min="15591" max="15591" width="14.140625" style="98" customWidth="1"/>
    <col min="15592" max="15592" width="12.85546875" style="98" customWidth="1"/>
    <col min="15593" max="15593" width="10.140625" style="98" customWidth="1"/>
    <col min="15594" max="15594" width="14" style="98" customWidth="1"/>
    <col min="15595" max="15614" width="2.28515625" style="98" customWidth="1"/>
    <col min="15615" max="15830" width="8.7109375" style="98"/>
    <col min="15831" max="15831" width="3.140625" style="98" customWidth="1"/>
    <col min="15832" max="15832" width="24.85546875" style="98" customWidth="1"/>
    <col min="15833" max="15833" width="11.7109375" style="98" bestFit="1" customWidth="1"/>
    <col min="15834" max="15834" width="14.140625" style="98" customWidth="1"/>
    <col min="15835" max="15835" width="10.28515625" style="98" customWidth="1"/>
    <col min="15836" max="15836" width="9.85546875" style="98" customWidth="1"/>
    <col min="15837" max="15837" width="10.28515625" style="98" customWidth="1"/>
    <col min="15838" max="15838" width="9" style="98" customWidth="1"/>
    <col min="15839" max="15841" width="8.7109375" style="98" customWidth="1"/>
    <col min="15842" max="15842" width="8" style="98" customWidth="1"/>
    <col min="15843" max="15843" width="8.140625" style="98" customWidth="1"/>
    <col min="15844" max="15844" width="9.28515625" style="98" customWidth="1"/>
    <col min="15845" max="15845" width="8.5703125" style="98" customWidth="1"/>
    <col min="15846" max="15846" width="8.7109375" style="98" customWidth="1"/>
    <col min="15847" max="15847" width="14.140625" style="98" customWidth="1"/>
    <col min="15848" max="15848" width="12.85546875" style="98" customWidth="1"/>
    <col min="15849" max="15849" width="10.140625" style="98" customWidth="1"/>
    <col min="15850" max="15850" width="14" style="98" customWidth="1"/>
    <col min="15851" max="15870" width="2.28515625" style="98" customWidth="1"/>
    <col min="15871" max="16086" width="8.7109375" style="98"/>
    <col min="16087" max="16087" width="3.140625" style="98" customWidth="1"/>
    <col min="16088" max="16088" width="24.85546875" style="98" customWidth="1"/>
    <col min="16089" max="16089" width="11.7109375" style="98" bestFit="1" customWidth="1"/>
    <col min="16090" max="16090" width="14.140625" style="98" customWidth="1"/>
    <col min="16091" max="16091" width="10.28515625" style="98" customWidth="1"/>
    <col min="16092" max="16092" width="9.85546875" style="98" customWidth="1"/>
    <col min="16093" max="16093" width="10.28515625" style="98" customWidth="1"/>
    <col min="16094" max="16094" width="9" style="98" customWidth="1"/>
    <col min="16095" max="16097" width="8.7109375" style="98" customWidth="1"/>
    <col min="16098" max="16098" width="8" style="98" customWidth="1"/>
    <col min="16099" max="16099" width="8.140625" style="98" customWidth="1"/>
    <col min="16100" max="16100" width="9.28515625" style="98" customWidth="1"/>
    <col min="16101" max="16101" width="8.5703125" style="98" customWidth="1"/>
    <col min="16102" max="16102" width="8.7109375" style="98" customWidth="1"/>
    <col min="16103" max="16103" width="14.140625" style="98" customWidth="1"/>
    <col min="16104" max="16104" width="12.85546875" style="98" customWidth="1"/>
    <col min="16105" max="16105" width="10.140625" style="98" customWidth="1"/>
    <col min="16106" max="16106" width="14" style="98" customWidth="1"/>
    <col min="16107" max="16126" width="2.28515625" style="98" customWidth="1"/>
    <col min="16127" max="16384" width="8.7109375" style="98"/>
  </cols>
  <sheetData>
    <row r="1" spans="1:39" ht="11.25" hidden="1">
      <c r="A1" s="943"/>
      <c r="B1" s="943"/>
      <c r="C1" s="943"/>
      <c r="D1" s="943"/>
      <c r="E1" s="943"/>
      <c r="F1" s="943"/>
      <c r="G1" s="943"/>
      <c r="H1" s="943"/>
      <c r="I1" s="943"/>
      <c r="J1" s="943"/>
      <c r="K1" s="943"/>
      <c r="L1" s="943"/>
      <c r="M1" s="943"/>
      <c r="N1" s="943"/>
      <c r="O1" s="943"/>
      <c r="P1" s="943"/>
      <c r="Q1" s="943"/>
      <c r="R1" s="943"/>
      <c r="S1" s="851">
        <v>2024</v>
      </c>
      <c r="T1" s="851">
        <v>2025</v>
      </c>
      <c r="U1" s="851">
        <v>2026</v>
      </c>
      <c r="V1" s="851">
        <v>2027</v>
      </c>
      <c r="W1" s="851">
        <v>2028</v>
      </c>
      <c r="X1" s="851">
        <v>2029</v>
      </c>
      <c r="Y1" s="851">
        <v>2030</v>
      </c>
      <c r="Z1" s="851">
        <v>2031</v>
      </c>
      <c r="AA1" s="851">
        <v>2032</v>
      </c>
      <c r="AB1" s="851">
        <v>2033</v>
      </c>
      <c r="AC1" s="851">
        <v>2024</v>
      </c>
      <c r="AD1" s="851">
        <v>2025</v>
      </c>
      <c r="AE1" s="851">
        <v>2026</v>
      </c>
      <c r="AF1" s="851">
        <v>2027</v>
      </c>
      <c r="AG1" s="851">
        <v>2028</v>
      </c>
      <c r="AH1" s="851">
        <v>2029</v>
      </c>
      <c r="AI1" s="851">
        <v>2030</v>
      </c>
      <c r="AJ1" s="851">
        <v>2031</v>
      </c>
      <c r="AK1" s="851">
        <v>2032</v>
      </c>
      <c r="AL1" s="851">
        <v>2033</v>
      </c>
      <c r="AM1" s="943"/>
    </row>
    <row r="2" spans="1:39" ht="11.25" hidden="1">
      <c r="A2" s="943"/>
      <c r="B2" s="943"/>
      <c r="C2" s="943"/>
      <c r="D2" s="943"/>
      <c r="E2" s="943"/>
      <c r="F2" s="943"/>
      <c r="G2" s="943"/>
      <c r="H2" s="943"/>
      <c r="I2" s="943"/>
      <c r="J2" s="943"/>
      <c r="K2" s="943"/>
      <c r="L2" s="943"/>
      <c r="M2" s="943"/>
      <c r="N2" s="943"/>
      <c r="O2" s="943"/>
      <c r="P2" s="943"/>
      <c r="Q2" s="943"/>
      <c r="R2" s="943"/>
      <c r="S2" s="851"/>
      <c r="T2" s="851"/>
      <c r="U2" s="851"/>
      <c r="V2" s="851"/>
      <c r="W2" s="851"/>
      <c r="X2" s="851"/>
      <c r="Y2" s="851"/>
      <c r="Z2" s="851"/>
      <c r="AA2" s="851"/>
      <c r="AB2" s="851"/>
      <c r="AC2" s="851"/>
      <c r="AD2" s="851"/>
      <c r="AE2" s="851"/>
      <c r="AF2" s="851"/>
      <c r="AG2" s="851"/>
      <c r="AH2" s="851"/>
      <c r="AI2" s="851"/>
      <c r="AJ2" s="851"/>
      <c r="AK2" s="851"/>
      <c r="AL2" s="851"/>
      <c r="AM2" s="943"/>
    </row>
    <row r="3" spans="1:39" ht="11.25" hidden="1">
      <c r="A3" s="943"/>
      <c r="B3" s="943"/>
      <c r="C3" s="943"/>
      <c r="D3" s="943"/>
      <c r="E3" s="943"/>
      <c r="F3" s="943"/>
      <c r="G3" s="943"/>
      <c r="H3" s="943"/>
      <c r="I3" s="943"/>
      <c r="J3" s="943"/>
      <c r="K3" s="943"/>
      <c r="L3" s="943"/>
      <c r="M3" s="943"/>
      <c r="N3" s="943"/>
      <c r="O3" s="943"/>
      <c r="P3" s="943"/>
      <c r="Q3" s="943"/>
      <c r="R3" s="943"/>
      <c r="S3" s="851"/>
      <c r="T3" s="851"/>
      <c r="U3" s="851"/>
      <c r="V3" s="851"/>
      <c r="W3" s="851"/>
      <c r="X3" s="851"/>
      <c r="Y3" s="851"/>
      <c r="Z3" s="851"/>
      <c r="AA3" s="851"/>
      <c r="AB3" s="851"/>
      <c r="AC3" s="851"/>
      <c r="AD3" s="851"/>
      <c r="AE3" s="851"/>
      <c r="AF3" s="851"/>
      <c r="AG3" s="851"/>
      <c r="AH3" s="851"/>
      <c r="AI3" s="851"/>
      <c r="AJ3" s="851"/>
      <c r="AK3" s="851"/>
      <c r="AL3" s="851"/>
      <c r="AM3" s="943"/>
    </row>
    <row r="4" spans="1:39" ht="11.25" hidden="1">
      <c r="A4" s="943"/>
      <c r="B4" s="943"/>
      <c r="C4" s="943"/>
      <c r="D4" s="943"/>
      <c r="E4" s="943"/>
      <c r="F4" s="943"/>
      <c r="G4" s="943"/>
      <c r="H4" s="943"/>
      <c r="I4" s="943"/>
      <c r="J4" s="943"/>
      <c r="K4" s="943"/>
      <c r="L4" s="943"/>
      <c r="M4" s="943"/>
      <c r="N4" s="943"/>
      <c r="O4" s="943"/>
      <c r="P4" s="943"/>
      <c r="Q4" s="943"/>
      <c r="R4" s="943"/>
      <c r="S4" s="851"/>
      <c r="T4" s="851"/>
      <c r="U4" s="851"/>
      <c r="V4" s="851"/>
      <c r="W4" s="851"/>
      <c r="X4" s="851"/>
      <c r="Y4" s="851"/>
      <c r="Z4" s="851"/>
      <c r="AA4" s="851"/>
      <c r="AB4" s="851"/>
      <c r="AC4" s="851"/>
      <c r="AD4" s="851"/>
      <c r="AE4" s="851"/>
      <c r="AF4" s="851"/>
      <c r="AG4" s="851"/>
      <c r="AH4" s="851"/>
      <c r="AI4" s="851"/>
      <c r="AJ4" s="851"/>
      <c r="AK4" s="851"/>
      <c r="AL4" s="851"/>
      <c r="AM4" s="943"/>
    </row>
    <row r="5" spans="1:39" ht="11.25" hidden="1">
      <c r="A5" s="943"/>
      <c r="B5" s="943"/>
      <c r="C5" s="943"/>
      <c r="D5" s="943"/>
      <c r="E5" s="943"/>
      <c r="F5" s="943"/>
      <c r="G5" s="943"/>
      <c r="H5" s="943"/>
      <c r="I5" s="943"/>
      <c r="J5" s="943"/>
      <c r="K5" s="943"/>
      <c r="L5" s="943"/>
      <c r="M5" s="943"/>
      <c r="N5" s="943"/>
      <c r="O5" s="943"/>
      <c r="P5" s="943"/>
      <c r="Q5" s="943"/>
      <c r="R5" s="943"/>
      <c r="S5" s="851"/>
      <c r="T5" s="851"/>
      <c r="U5" s="851"/>
      <c r="V5" s="851"/>
      <c r="W5" s="851"/>
      <c r="X5" s="851"/>
      <c r="Y5" s="851"/>
      <c r="Z5" s="851"/>
      <c r="AA5" s="851"/>
      <c r="AB5" s="851"/>
      <c r="AC5" s="851"/>
      <c r="AD5" s="851"/>
      <c r="AE5" s="851"/>
      <c r="AF5" s="851"/>
      <c r="AG5" s="851"/>
      <c r="AH5" s="851"/>
      <c r="AI5" s="851"/>
      <c r="AJ5" s="851"/>
      <c r="AK5" s="851"/>
      <c r="AL5" s="851"/>
      <c r="AM5" s="943"/>
    </row>
    <row r="6" spans="1:39" ht="11.25" hidden="1">
      <c r="A6" s="943"/>
      <c r="B6" s="943"/>
      <c r="C6" s="943"/>
      <c r="D6" s="943"/>
      <c r="E6" s="943"/>
      <c r="F6" s="943"/>
      <c r="G6" s="943"/>
      <c r="H6" s="943"/>
      <c r="I6" s="943"/>
      <c r="J6" s="943"/>
      <c r="K6" s="943"/>
      <c r="L6" s="943"/>
      <c r="M6" s="943"/>
      <c r="N6" s="943"/>
      <c r="O6" s="943"/>
      <c r="P6" s="943"/>
      <c r="Q6" s="943"/>
      <c r="R6" s="943"/>
      <c r="S6" s="851"/>
      <c r="T6" s="851"/>
      <c r="U6" s="851"/>
      <c r="V6" s="851"/>
      <c r="W6" s="851"/>
      <c r="X6" s="851"/>
      <c r="Y6" s="851"/>
      <c r="Z6" s="851"/>
      <c r="AA6" s="851"/>
      <c r="AB6" s="851"/>
      <c r="AC6" s="851"/>
      <c r="AD6" s="851"/>
      <c r="AE6" s="851"/>
      <c r="AF6" s="851"/>
      <c r="AG6" s="851"/>
      <c r="AH6" s="851"/>
      <c r="AI6" s="851"/>
      <c r="AJ6" s="851"/>
      <c r="AK6" s="851"/>
      <c r="AL6" s="851"/>
      <c r="AM6" s="943"/>
    </row>
    <row r="7" spans="1:39" ht="11.25" hidden="1">
      <c r="A7" s="943"/>
      <c r="B7" s="943"/>
      <c r="C7" s="943"/>
      <c r="D7" s="943"/>
      <c r="E7" s="943"/>
      <c r="F7" s="943"/>
      <c r="G7" s="943"/>
      <c r="H7" s="943"/>
      <c r="I7" s="943"/>
      <c r="J7" s="943"/>
      <c r="K7" s="943"/>
      <c r="L7" s="943"/>
      <c r="M7" s="943"/>
      <c r="N7" s="943"/>
      <c r="O7" s="943"/>
      <c r="P7" s="943"/>
      <c r="Q7" s="943"/>
      <c r="R7" s="943"/>
      <c r="S7" s="800" t="b">
        <v>1</v>
      </c>
      <c r="T7" s="800" t="b">
        <v>0</v>
      </c>
      <c r="U7" s="800" t="b">
        <v>0</v>
      </c>
      <c r="V7" s="800" t="b">
        <v>0</v>
      </c>
      <c r="W7" s="800" t="b">
        <v>0</v>
      </c>
      <c r="X7" s="800" t="b">
        <v>0</v>
      </c>
      <c r="Y7" s="800" t="b">
        <v>0</v>
      </c>
      <c r="Z7" s="800" t="b">
        <v>0</v>
      </c>
      <c r="AA7" s="800" t="b">
        <v>0</v>
      </c>
      <c r="AB7" s="800" t="b">
        <v>0</v>
      </c>
      <c r="AC7" s="800" t="b">
        <v>1</v>
      </c>
      <c r="AD7" s="800" t="b">
        <v>0</v>
      </c>
      <c r="AE7" s="800" t="b">
        <v>0</v>
      </c>
      <c r="AF7" s="800" t="b">
        <v>0</v>
      </c>
      <c r="AG7" s="800" t="b">
        <v>0</v>
      </c>
      <c r="AH7" s="800" t="b">
        <v>0</v>
      </c>
      <c r="AI7" s="800" t="b">
        <v>0</v>
      </c>
      <c r="AJ7" s="800" t="b">
        <v>0</v>
      </c>
      <c r="AK7" s="800" t="b">
        <v>0</v>
      </c>
      <c r="AL7" s="800" t="b">
        <v>0</v>
      </c>
      <c r="AM7" s="943"/>
    </row>
    <row r="8" spans="1:39" hidden="1">
      <c r="A8" s="943"/>
      <c r="B8" s="943"/>
      <c r="C8" s="943"/>
      <c r="D8" s="943"/>
      <c r="E8" s="943"/>
      <c r="F8" s="943"/>
      <c r="G8" s="943"/>
      <c r="H8" s="943"/>
      <c r="I8" s="943"/>
      <c r="J8" s="943"/>
      <c r="K8" s="943"/>
      <c r="L8" s="943"/>
      <c r="M8" s="943"/>
      <c r="N8" s="943"/>
      <c r="O8" s="943"/>
      <c r="P8" s="943"/>
      <c r="Q8" s="943"/>
      <c r="R8" s="943"/>
      <c r="S8" s="943"/>
      <c r="T8" s="943"/>
      <c r="U8" s="943"/>
      <c r="V8" s="943"/>
      <c r="W8" s="943"/>
      <c r="X8" s="943"/>
      <c r="Y8" s="943"/>
      <c r="Z8" s="943"/>
      <c r="AA8" s="943"/>
      <c r="AB8" s="943"/>
      <c r="AC8" s="943"/>
      <c r="AD8" s="943"/>
      <c r="AE8" s="943"/>
      <c r="AF8" s="943"/>
      <c r="AG8" s="943"/>
      <c r="AH8" s="943"/>
      <c r="AI8" s="943"/>
      <c r="AJ8" s="943"/>
      <c r="AK8" s="943"/>
      <c r="AL8" s="943"/>
      <c r="AM8" s="943"/>
    </row>
    <row r="9" spans="1:39" hidden="1">
      <c r="A9" s="943"/>
      <c r="B9" s="943"/>
      <c r="C9" s="943"/>
      <c r="D9" s="943"/>
      <c r="E9" s="943"/>
      <c r="F9" s="943"/>
      <c r="G9" s="943"/>
      <c r="H9" s="943"/>
      <c r="I9" s="943"/>
      <c r="J9" s="943"/>
      <c r="K9" s="943"/>
      <c r="L9" s="943"/>
      <c r="M9" s="943"/>
      <c r="N9" s="943"/>
      <c r="O9" s="943"/>
      <c r="P9" s="943"/>
      <c r="Q9" s="943"/>
      <c r="R9" s="943"/>
      <c r="S9" s="943"/>
      <c r="T9" s="943"/>
      <c r="U9" s="943"/>
      <c r="V9" s="943"/>
      <c r="W9" s="943"/>
      <c r="X9" s="943"/>
      <c r="Y9" s="943"/>
      <c r="Z9" s="943"/>
      <c r="AA9" s="943"/>
      <c r="AB9" s="943"/>
      <c r="AC9" s="943"/>
      <c r="AD9" s="943"/>
      <c r="AE9" s="943"/>
      <c r="AF9" s="943"/>
      <c r="AG9" s="943"/>
      <c r="AH9" s="943"/>
      <c r="AI9" s="943"/>
      <c r="AJ9" s="943"/>
      <c r="AK9" s="943"/>
      <c r="AL9" s="943"/>
      <c r="AM9" s="943"/>
    </row>
    <row r="10" spans="1:39" hidden="1">
      <c r="A10" s="943"/>
      <c r="B10" s="943"/>
      <c r="C10" s="943"/>
      <c r="D10" s="943"/>
      <c r="E10" s="943"/>
      <c r="F10" s="943"/>
      <c r="G10" s="943"/>
      <c r="H10" s="943"/>
      <c r="I10" s="943"/>
      <c r="J10" s="943"/>
      <c r="K10" s="943"/>
      <c r="L10" s="943"/>
      <c r="M10" s="943"/>
      <c r="N10" s="943"/>
      <c r="O10" s="943"/>
      <c r="P10" s="943"/>
      <c r="Q10" s="943"/>
      <c r="R10" s="943"/>
      <c r="S10" s="943"/>
      <c r="T10" s="943"/>
      <c r="U10" s="943"/>
      <c r="V10" s="943"/>
      <c r="W10" s="943"/>
      <c r="X10" s="943"/>
      <c r="Y10" s="943"/>
      <c r="Z10" s="943"/>
      <c r="AA10" s="943"/>
      <c r="AB10" s="943"/>
      <c r="AC10" s="943"/>
      <c r="AD10" s="943"/>
      <c r="AE10" s="943"/>
      <c r="AF10" s="943"/>
      <c r="AG10" s="943"/>
      <c r="AH10" s="943"/>
      <c r="AI10" s="943"/>
      <c r="AJ10" s="943"/>
      <c r="AK10" s="943"/>
      <c r="AL10" s="943"/>
      <c r="AM10" s="943"/>
    </row>
    <row r="11" spans="1:39" ht="15" hidden="1" customHeight="1">
      <c r="A11" s="943"/>
      <c r="B11" s="943"/>
      <c r="C11" s="943"/>
      <c r="D11" s="943"/>
      <c r="E11" s="943"/>
      <c r="F11" s="943"/>
      <c r="G11" s="943"/>
      <c r="H11" s="943"/>
      <c r="I11" s="943"/>
      <c r="J11" s="943"/>
      <c r="K11" s="943"/>
      <c r="L11" s="943"/>
      <c r="M11" s="911"/>
      <c r="N11" s="943"/>
      <c r="O11" s="943"/>
      <c r="P11" s="943"/>
      <c r="Q11" s="943"/>
      <c r="R11" s="943"/>
      <c r="S11" s="943"/>
      <c r="T11" s="943"/>
      <c r="U11" s="943"/>
      <c r="V11" s="943"/>
      <c r="W11" s="943"/>
      <c r="X11" s="943"/>
      <c r="Y11" s="943"/>
      <c r="Z11" s="943"/>
      <c r="AA11" s="943"/>
      <c r="AB11" s="943"/>
      <c r="AC11" s="943"/>
      <c r="AD11" s="943"/>
      <c r="AE11" s="943"/>
      <c r="AF11" s="943"/>
      <c r="AG11" s="943"/>
      <c r="AH11" s="943"/>
      <c r="AI11" s="943"/>
      <c r="AJ11" s="943"/>
      <c r="AK11" s="943"/>
      <c r="AL11" s="943"/>
      <c r="AM11" s="943"/>
    </row>
    <row r="12" spans="1:39" ht="20.100000000000001" customHeight="1">
      <c r="A12" s="943"/>
      <c r="B12" s="943"/>
      <c r="C12" s="943"/>
      <c r="D12" s="943"/>
      <c r="E12" s="943"/>
      <c r="F12" s="943"/>
      <c r="G12" s="943"/>
      <c r="H12" s="943"/>
      <c r="I12" s="943"/>
      <c r="J12" s="943"/>
      <c r="K12" s="943"/>
      <c r="L12" s="482" t="s">
        <v>1283</v>
      </c>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9"/>
    </row>
    <row r="13" spans="1:39" ht="11.25" customHeight="1">
      <c r="A13" s="943"/>
      <c r="B13" s="943"/>
      <c r="C13" s="943"/>
      <c r="D13" s="943"/>
      <c r="E13" s="943"/>
      <c r="F13" s="943"/>
      <c r="G13" s="943"/>
      <c r="H13" s="943"/>
      <c r="I13" s="943"/>
      <c r="J13" s="943"/>
      <c r="K13" s="943"/>
      <c r="L13" s="944"/>
      <c r="M13" s="945"/>
      <c r="N13" s="945"/>
      <c r="O13" s="945"/>
      <c r="P13" s="945"/>
      <c r="Q13" s="945"/>
      <c r="R13" s="945"/>
      <c r="S13" s="945"/>
      <c r="T13" s="945"/>
      <c r="U13" s="945"/>
      <c r="V13" s="945"/>
      <c r="W13" s="945"/>
      <c r="X13" s="945"/>
      <c r="Y13" s="945"/>
      <c r="Z13" s="945"/>
      <c r="AA13" s="945"/>
      <c r="AB13" s="945"/>
      <c r="AC13" s="945"/>
      <c r="AD13" s="946"/>
      <c r="AE13" s="946"/>
      <c r="AF13" s="946"/>
      <c r="AG13" s="946"/>
      <c r="AH13" s="946"/>
      <c r="AI13" s="946"/>
      <c r="AJ13" s="946"/>
      <c r="AK13" s="946"/>
      <c r="AL13" s="946"/>
      <c r="AM13" s="943"/>
    </row>
    <row r="14" spans="1:39" ht="15" customHeight="1">
      <c r="A14" s="943"/>
      <c r="B14" s="943"/>
      <c r="C14" s="943"/>
      <c r="D14" s="943"/>
      <c r="E14" s="943"/>
      <c r="F14" s="943"/>
      <c r="G14" s="943"/>
      <c r="H14" s="943"/>
      <c r="I14" s="943"/>
      <c r="J14" s="943"/>
      <c r="K14" s="943"/>
      <c r="L14" s="914" t="s">
        <v>374</v>
      </c>
      <c r="M14" s="915" t="s">
        <v>230</v>
      </c>
      <c r="N14" s="914" t="s">
        <v>143</v>
      </c>
      <c r="O14" s="856" t="s">
        <v>2567</v>
      </c>
      <c r="P14" s="856" t="s">
        <v>2567</v>
      </c>
      <c r="Q14" s="856" t="s">
        <v>2567</v>
      </c>
      <c r="R14" s="857" t="s">
        <v>2568</v>
      </c>
      <c r="S14" s="817" t="s">
        <v>2569</v>
      </c>
      <c r="T14" s="817" t="s">
        <v>2598</v>
      </c>
      <c r="U14" s="817" t="s">
        <v>2599</v>
      </c>
      <c r="V14" s="817" t="s">
        <v>2600</v>
      </c>
      <c r="W14" s="817" t="s">
        <v>2601</v>
      </c>
      <c r="X14" s="817" t="s">
        <v>2602</v>
      </c>
      <c r="Y14" s="817" t="s">
        <v>2603</v>
      </c>
      <c r="Z14" s="817" t="s">
        <v>2604</v>
      </c>
      <c r="AA14" s="817" t="s">
        <v>2605</v>
      </c>
      <c r="AB14" s="817" t="s">
        <v>2606</v>
      </c>
      <c r="AC14" s="817" t="s">
        <v>2569</v>
      </c>
      <c r="AD14" s="817" t="s">
        <v>2598</v>
      </c>
      <c r="AE14" s="817" t="s">
        <v>2599</v>
      </c>
      <c r="AF14" s="817" t="s">
        <v>2600</v>
      </c>
      <c r="AG14" s="817" t="s">
        <v>2601</v>
      </c>
      <c r="AH14" s="817" t="s">
        <v>2602</v>
      </c>
      <c r="AI14" s="817" t="s">
        <v>2603</v>
      </c>
      <c r="AJ14" s="817" t="s">
        <v>2604</v>
      </c>
      <c r="AK14" s="817" t="s">
        <v>2605</v>
      </c>
      <c r="AL14" s="817" t="s">
        <v>2606</v>
      </c>
      <c r="AM14" s="854" t="s">
        <v>323</v>
      </c>
    </row>
    <row r="15" spans="1:39" ht="50.1" customHeight="1">
      <c r="A15" s="943"/>
      <c r="B15" s="943"/>
      <c r="C15" s="943"/>
      <c r="D15" s="943"/>
      <c r="E15" s="943"/>
      <c r="F15" s="943"/>
      <c r="G15" s="943"/>
      <c r="H15" s="943"/>
      <c r="I15" s="943"/>
      <c r="J15" s="943"/>
      <c r="K15" s="943"/>
      <c r="L15" s="947"/>
      <c r="M15" s="947"/>
      <c r="N15" s="947"/>
      <c r="O15" s="817" t="s">
        <v>286</v>
      </c>
      <c r="P15" s="817" t="s">
        <v>324</v>
      </c>
      <c r="Q15" s="817" t="s">
        <v>304</v>
      </c>
      <c r="R15" s="817" t="s">
        <v>286</v>
      </c>
      <c r="S15" s="860" t="s">
        <v>287</v>
      </c>
      <c r="T15" s="860" t="s">
        <v>287</v>
      </c>
      <c r="U15" s="860" t="s">
        <v>287</v>
      </c>
      <c r="V15" s="860" t="s">
        <v>287</v>
      </c>
      <c r="W15" s="860" t="s">
        <v>287</v>
      </c>
      <c r="X15" s="860" t="s">
        <v>287</v>
      </c>
      <c r="Y15" s="860" t="s">
        <v>287</v>
      </c>
      <c r="Z15" s="860" t="s">
        <v>287</v>
      </c>
      <c r="AA15" s="860" t="s">
        <v>287</v>
      </c>
      <c r="AB15" s="860" t="s">
        <v>287</v>
      </c>
      <c r="AC15" s="860" t="s">
        <v>286</v>
      </c>
      <c r="AD15" s="860" t="s">
        <v>286</v>
      </c>
      <c r="AE15" s="860" t="s">
        <v>286</v>
      </c>
      <c r="AF15" s="860" t="s">
        <v>286</v>
      </c>
      <c r="AG15" s="860" t="s">
        <v>286</v>
      </c>
      <c r="AH15" s="860" t="s">
        <v>286</v>
      </c>
      <c r="AI15" s="860" t="s">
        <v>286</v>
      </c>
      <c r="AJ15" s="860" t="s">
        <v>286</v>
      </c>
      <c r="AK15" s="860" t="s">
        <v>286</v>
      </c>
      <c r="AL15" s="860" t="s">
        <v>286</v>
      </c>
      <c r="AM15" s="947"/>
    </row>
    <row r="16" spans="1:39" ht="11.25">
      <c r="A16" s="861" t="s">
        <v>18</v>
      </c>
      <c r="B16" s="943" t="s">
        <v>1235</v>
      </c>
      <c r="C16" s="943"/>
      <c r="D16" s="943"/>
      <c r="E16" s="943"/>
      <c r="F16" s="943"/>
      <c r="G16" s="943"/>
      <c r="H16" s="943"/>
      <c r="I16" s="943"/>
      <c r="J16" s="943"/>
      <c r="K16" s="943"/>
      <c r="L16" s="918" t="s">
        <v>2545</v>
      </c>
      <c r="M16" s="755"/>
      <c r="N16" s="755"/>
      <c r="O16" s="948">
        <v>0</v>
      </c>
      <c r="P16" s="948">
        <v>0</v>
      </c>
      <c r="Q16" s="948">
        <v>0</v>
      </c>
      <c r="R16" s="948">
        <v>0</v>
      </c>
      <c r="S16" s="948">
        <v>0</v>
      </c>
      <c r="T16" s="948">
        <v>0</v>
      </c>
      <c r="U16" s="948">
        <v>0</v>
      </c>
      <c r="V16" s="948">
        <v>0</v>
      </c>
      <c r="W16" s="948">
        <v>0</v>
      </c>
      <c r="X16" s="948">
        <v>0</v>
      </c>
      <c r="Y16" s="948">
        <v>0</v>
      </c>
      <c r="Z16" s="948">
        <v>0</v>
      </c>
      <c r="AA16" s="948">
        <v>0</v>
      </c>
      <c r="AB16" s="948">
        <v>0</v>
      </c>
      <c r="AC16" s="948">
        <v>0</v>
      </c>
      <c r="AD16" s="948">
        <v>0</v>
      </c>
      <c r="AE16" s="948">
        <v>0</v>
      </c>
      <c r="AF16" s="948">
        <v>0</v>
      </c>
      <c r="AG16" s="948">
        <v>0</v>
      </c>
      <c r="AH16" s="948">
        <v>0</v>
      </c>
      <c r="AI16" s="948">
        <v>0</v>
      </c>
      <c r="AJ16" s="948">
        <v>0</v>
      </c>
      <c r="AK16" s="948">
        <v>0</v>
      </c>
      <c r="AL16" s="948">
        <v>0</v>
      </c>
      <c r="AM16" s="949"/>
    </row>
    <row r="17" spans="1:39" ht="11.25">
      <c r="A17" s="895">
        <v>1</v>
      </c>
      <c r="B17" s="943"/>
      <c r="C17" s="943"/>
      <c r="D17" s="943"/>
      <c r="E17" s="943"/>
      <c r="F17" s="943"/>
      <c r="G17" s="943"/>
      <c r="H17" s="943"/>
      <c r="I17" s="943"/>
      <c r="J17" s="943"/>
      <c r="K17" s="943"/>
      <c r="L17" s="921">
        <v>1</v>
      </c>
      <c r="M17" s="950" t="s">
        <v>420</v>
      </c>
      <c r="N17" s="224" t="s">
        <v>370</v>
      </c>
      <c r="O17" s="922">
        <v>0</v>
      </c>
      <c r="P17" s="922">
        <v>0</v>
      </c>
      <c r="Q17" s="922">
        <v>0</v>
      </c>
      <c r="R17" s="922">
        <v>0</v>
      </c>
      <c r="S17" s="922">
        <v>0</v>
      </c>
      <c r="T17" s="922">
        <v>0</v>
      </c>
      <c r="U17" s="922">
        <v>0</v>
      </c>
      <c r="V17" s="922">
        <v>0</v>
      </c>
      <c r="W17" s="922">
        <v>0</v>
      </c>
      <c r="X17" s="922">
        <v>0</v>
      </c>
      <c r="Y17" s="922">
        <v>0</v>
      </c>
      <c r="Z17" s="922">
        <v>0</v>
      </c>
      <c r="AA17" s="922">
        <v>0</v>
      </c>
      <c r="AB17" s="922">
        <v>0</v>
      </c>
      <c r="AC17" s="922">
        <v>0</v>
      </c>
      <c r="AD17" s="922">
        <v>0</v>
      </c>
      <c r="AE17" s="922">
        <v>0</v>
      </c>
      <c r="AF17" s="922">
        <v>0</v>
      </c>
      <c r="AG17" s="922">
        <v>0</v>
      </c>
      <c r="AH17" s="922">
        <v>0</v>
      </c>
      <c r="AI17" s="922">
        <v>0</v>
      </c>
      <c r="AJ17" s="922">
        <v>0</v>
      </c>
      <c r="AK17" s="922">
        <v>0</v>
      </c>
      <c r="AL17" s="922">
        <v>0</v>
      </c>
      <c r="AM17" s="868"/>
    </row>
    <row r="18" spans="1:39" ht="0.2" customHeight="1">
      <c r="A18" s="895">
        <v>1</v>
      </c>
      <c r="B18" s="943"/>
      <c r="C18" s="943"/>
      <c r="D18" s="943"/>
      <c r="E18" s="943"/>
      <c r="F18" s="943"/>
      <c r="G18" s="943"/>
      <c r="H18" s="943"/>
      <c r="I18" s="943"/>
      <c r="J18" s="951" t="s">
        <v>1073</v>
      </c>
      <c r="K18" s="943"/>
      <c r="L18" s="921"/>
      <c r="M18" s="950"/>
      <c r="N18" s="224"/>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43"/>
    </row>
    <row r="19" spans="1:39" ht="11.25">
      <c r="A19" s="895">
        <v>1</v>
      </c>
      <c r="B19" s="943"/>
      <c r="C19" s="943"/>
      <c r="D19" s="943"/>
      <c r="E19" s="943"/>
      <c r="F19" s="943"/>
      <c r="G19" s="943"/>
      <c r="H19" s="943"/>
      <c r="I19" s="943"/>
      <c r="J19" s="943"/>
      <c r="K19" s="943"/>
      <c r="L19" s="921">
        <v>2</v>
      </c>
      <c r="M19" s="950" t="s">
        <v>422</v>
      </c>
      <c r="N19" s="224" t="s">
        <v>370</v>
      </c>
      <c r="O19" s="922">
        <v>0</v>
      </c>
      <c r="P19" s="922">
        <v>0</v>
      </c>
      <c r="Q19" s="922">
        <v>0</v>
      </c>
      <c r="R19" s="922">
        <v>0</v>
      </c>
      <c r="S19" s="922">
        <v>0</v>
      </c>
      <c r="T19" s="922">
        <v>0</v>
      </c>
      <c r="U19" s="922">
        <v>0</v>
      </c>
      <c r="V19" s="922">
        <v>0</v>
      </c>
      <c r="W19" s="922">
        <v>0</v>
      </c>
      <c r="X19" s="922">
        <v>0</v>
      </c>
      <c r="Y19" s="922">
        <v>0</v>
      </c>
      <c r="Z19" s="922">
        <v>0</v>
      </c>
      <c r="AA19" s="922">
        <v>0</v>
      </c>
      <c r="AB19" s="922">
        <v>0</v>
      </c>
      <c r="AC19" s="922">
        <v>0</v>
      </c>
      <c r="AD19" s="922">
        <v>0</v>
      </c>
      <c r="AE19" s="922">
        <v>0</v>
      </c>
      <c r="AF19" s="922">
        <v>0</v>
      </c>
      <c r="AG19" s="922">
        <v>0</v>
      </c>
      <c r="AH19" s="922">
        <v>0</v>
      </c>
      <c r="AI19" s="922">
        <v>0</v>
      </c>
      <c r="AJ19" s="922">
        <v>0</v>
      </c>
      <c r="AK19" s="922">
        <v>0</v>
      </c>
      <c r="AL19" s="922">
        <v>0</v>
      </c>
      <c r="AM19" s="868"/>
    </row>
    <row r="20" spans="1:39" ht="0.2" customHeight="1">
      <c r="A20" s="895">
        <v>1</v>
      </c>
      <c r="B20" s="943"/>
      <c r="C20" s="943"/>
      <c r="D20" s="943"/>
      <c r="E20" s="943"/>
      <c r="F20" s="943"/>
      <c r="G20" s="943"/>
      <c r="H20" s="943"/>
      <c r="I20" s="943"/>
      <c r="J20" s="951" t="s">
        <v>1074</v>
      </c>
      <c r="K20" s="943"/>
      <c r="L20" s="921"/>
      <c r="M20" s="950"/>
      <c r="N20" s="224"/>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43"/>
    </row>
    <row r="21" spans="1:39" ht="11.25">
      <c r="A21" s="895">
        <v>1</v>
      </c>
      <c r="B21" s="943"/>
      <c r="C21" s="943"/>
      <c r="D21" s="943"/>
      <c r="E21" s="943"/>
      <c r="F21" s="943"/>
      <c r="G21" s="943"/>
      <c r="H21" s="943"/>
      <c r="I21" s="943"/>
      <c r="J21" s="943"/>
      <c r="K21" s="943"/>
      <c r="L21" s="921">
        <v>3</v>
      </c>
      <c r="M21" s="950" t="s">
        <v>424</v>
      </c>
      <c r="N21" s="224" t="s">
        <v>370</v>
      </c>
      <c r="O21" s="922">
        <v>0</v>
      </c>
      <c r="P21" s="922">
        <v>0</v>
      </c>
      <c r="Q21" s="922">
        <v>0</v>
      </c>
      <c r="R21" s="922">
        <v>0</v>
      </c>
      <c r="S21" s="922">
        <v>0</v>
      </c>
      <c r="T21" s="922">
        <v>0</v>
      </c>
      <c r="U21" s="922">
        <v>0</v>
      </c>
      <c r="V21" s="922">
        <v>0</v>
      </c>
      <c r="W21" s="922">
        <v>0</v>
      </c>
      <c r="X21" s="922">
        <v>0</v>
      </c>
      <c r="Y21" s="922">
        <v>0</v>
      </c>
      <c r="Z21" s="922">
        <v>0</v>
      </c>
      <c r="AA21" s="922">
        <v>0</v>
      </c>
      <c r="AB21" s="922">
        <v>0</v>
      </c>
      <c r="AC21" s="922">
        <v>0</v>
      </c>
      <c r="AD21" s="922">
        <v>0</v>
      </c>
      <c r="AE21" s="922">
        <v>0</v>
      </c>
      <c r="AF21" s="922">
        <v>0</v>
      </c>
      <c r="AG21" s="922">
        <v>0</v>
      </c>
      <c r="AH21" s="922">
        <v>0</v>
      </c>
      <c r="AI21" s="922">
        <v>0</v>
      </c>
      <c r="AJ21" s="922">
        <v>0</v>
      </c>
      <c r="AK21" s="922">
        <v>0</v>
      </c>
      <c r="AL21" s="922">
        <v>0</v>
      </c>
      <c r="AM21" s="868"/>
    </row>
    <row r="22" spans="1:39" ht="0.2" customHeight="1">
      <c r="A22" s="895">
        <v>1</v>
      </c>
      <c r="B22" s="943"/>
      <c r="C22" s="943"/>
      <c r="D22" s="943"/>
      <c r="E22" s="943"/>
      <c r="F22" s="943"/>
      <c r="G22" s="943"/>
      <c r="H22" s="943"/>
      <c r="I22" s="943"/>
      <c r="J22" s="951" t="s">
        <v>1075</v>
      </c>
      <c r="K22" s="943"/>
      <c r="L22" s="921"/>
      <c r="M22" s="950"/>
      <c r="N22" s="224"/>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43"/>
    </row>
    <row r="23" spans="1:39" ht="11.25">
      <c r="A23" s="895">
        <v>1</v>
      </c>
      <c r="B23" s="943"/>
      <c r="C23" s="943"/>
      <c r="D23" s="943"/>
      <c r="E23" s="943"/>
      <c r="F23" s="943"/>
      <c r="G23" s="943"/>
      <c r="H23" s="943"/>
      <c r="I23" s="943"/>
      <c r="J23" s="943"/>
      <c r="K23" s="943"/>
      <c r="L23" s="921">
        <v>4</v>
      </c>
      <c r="M23" s="950" t="s">
        <v>425</v>
      </c>
      <c r="N23" s="224" t="s">
        <v>370</v>
      </c>
      <c r="O23" s="922">
        <v>0</v>
      </c>
      <c r="P23" s="922">
        <v>0</v>
      </c>
      <c r="Q23" s="922">
        <v>0</v>
      </c>
      <c r="R23" s="922">
        <v>0</v>
      </c>
      <c r="S23" s="922">
        <v>0</v>
      </c>
      <c r="T23" s="922">
        <v>0</v>
      </c>
      <c r="U23" s="922">
        <v>0</v>
      </c>
      <c r="V23" s="922">
        <v>0</v>
      </c>
      <c r="W23" s="922">
        <v>0</v>
      </c>
      <c r="X23" s="922">
        <v>0</v>
      </c>
      <c r="Y23" s="922">
        <v>0</v>
      </c>
      <c r="Z23" s="922">
        <v>0</v>
      </c>
      <c r="AA23" s="922">
        <v>0</v>
      </c>
      <c r="AB23" s="922">
        <v>0</v>
      </c>
      <c r="AC23" s="922">
        <v>0</v>
      </c>
      <c r="AD23" s="922">
        <v>0</v>
      </c>
      <c r="AE23" s="922">
        <v>0</v>
      </c>
      <c r="AF23" s="922">
        <v>0</v>
      </c>
      <c r="AG23" s="922">
        <v>0</v>
      </c>
      <c r="AH23" s="922">
        <v>0</v>
      </c>
      <c r="AI23" s="922">
        <v>0</v>
      </c>
      <c r="AJ23" s="922">
        <v>0</v>
      </c>
      <c r="AK23" s="922">
        <v>0</v>
      </c>
      <c r="AL23" s="922">
        <v>0</v>
      </c>
      <c r="AM23" s="868"/>
    </row>
    <row r="24" spans="1:39" ht="0.2" customHeight="1">
      <c r="A24" s="895">
        <v>1</v>
      </c>
      <c r="B24" s="943"/>
      <c r="C24" s="943"/>
      <c r="D24" s="943"/>
      <c r="E24" s="943"/>
      <c r="F24" s="943"/>
      <c r="G24" s="943"/>
      <c r="H24" s="943"/>
      <c r="I24" s="943"/>
      <c r="J24" s="951" t="s">
        <v>1076</v>
      </c>
      <c r="K24" s="943"/>
      <c r="L24" s="921"/>
      <c r="M24" s="950"/>
      <c r="N24" s="224"/>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43"/>
    </row>
    <row r="25" spans="1:39" ht="11.25">
      <c r="A25" s="895">
        <v>1</v>
      </c>
      <c r="B25" s="943"/>
      <c r="C25" s="943"/>
      <c r="D25" s="943"/>
      <c r="E25" s="943"/>
      <c r="F25" s="943"/>
      <c r="G25" s="943"/>
      <c r="H25" s="943"/>
      <c r="I25" s="943"/>
      <c r="J25" s="943"/>
      <c r="K25" s="943"/>
      <c r="L25" s="921">
        <v>5</v>
      </c>
      <c r="M25" s="950" t="s">
        <v>1328</v>
      </c>
      <c r="N25" s="224" t="s">
        <v>370</v>
      </c>
      <c r="O25" s="922">
        <v>0</v>
      </c>
      <c r="P25" s="922">
        <v>0</v>
      </c>
      <c r="Q25" s="922">
        <v>0</v>
      </c>
      <c r="R25" s="922">
        <v>0</v>
      </c>
      <c r="S25" s="922">
        <v>0</v>
      </c>
      <c r="T25" s="922">
        <v>0</v>
      </c>
      <c r="U25" s="922">
        <v>0</v>
      </c>
      <c r="V25" s="922">
        <v>0</v>
      </c>
      <c r="W25" s="922">
        <v>0</v>
      </c>
      <c r="X25" s="922">
        <v>0</v>
      </c>
      <c r="Y25" s="922">
        <v>0</v>
      </c>
      <c r="Z25" s="922">
        <v>0</v>
      </c>
      <c r="AA25" s="922">
        <v>0</v>
      </c>
      <c r="AB25" s="922">
        <v>0</v>
      </c>
      <c r="AC25" s="922">
        <v>0</v>
      </c>
      <c r="AD25" s="922">
        <v>0</v>
      </c>
      <c r="AE25" s="922">
        <v>0</v>
      </c>
      <c r="AF25" s="922">
        <v>0</v>
      </c>
      <c r="AG25" s="922">
        <v>0</v>
      </c>
      <c r="AH25" s="922">
        <v>0</v>
      </c>
      <c r="AI25" s="922">
        <v>0</v>
      </c>
      <c r="AJ25" s="922">
        <v>0</v>
      </c>
      <c r="AK25" s="922">
        <v>0</v>
      </c>
      <c r="AL25" s="922">
        <v>0</v>
      </c>
      <c r="AM25" s="868"/>
    </row>
    <row r="26" spans="1:39" ht="0.2" customHeight="1">
      <c r="A26" s="895">
        <v>1</v>
      </c>
      <c r="B26" s="943"/>
      <c r="C26" s="943"/>
      <c r="D26" s="943"/>
      <c r="E26" s="943"/>
      <c r="F26" s="943"/>
      <c r="G26" s="943"/>
      <c r="H26" s="943"/>
      <c r="I26" s="943"/>
      <c r="J26" s="951" t="s">
        <v>1349</v>
      </c>
      <c r="K26" s="943"/>
      <c r="L26" s="921"/>
      <c r="M26" s="950"/>
      <c r="N26" s="224"/>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43"/>
    </row>
    <row r="27" spans="1:39" s="99" customFormat="1" ht="11.25">
      <c r="A27" s="895">
        <v>1</v>
      </c>
      <c r="B27" s="944"/>
      <c r="C27" s="944"/>
      <c r="D27" s="944"/>
      <c r="E27" s="944"/>
      <c r="F27" s="944"/>
      <c r="G27" s="944"/>
      <c r="H27" s="944"/>
      <c r="I27" s="944"/>
      <c r="J27" s="944"/>
      <c r="K27" s="944"/>
      <c r="L27" s="921">
        <v>6</v>
      </c>
      <c r="M27" s="950" t="s">
        <v>426</v>
      </c>
      <c r="N27" s="224" t="s">
        <v>370</v>
      </c>
      <c r="O27" s="952"/>
      <c r="P27" s="952"/>
      <c r="Q27" s="952"/>
      <c r="R27" s="952"/>
      <c r="S27" s="952"/>
      <c r="T27" s="952"/>
      <c r="U27" s="952"/>
      <c r="V27" s="952"/>
      <c r="W27" s="952"/>
      <c r="X27" s="952"/>
      <c r="Y27" s="952"/>
      <c r="Z27" s="952"/>
      <c r="AA27" s="952"/>
      <c r="AB27" s="952"/>
      <c r="AC27" s="952"/>
      <c r="AD27" s="952"/>
      <c r="AE27" s="952"/>
      <c r="AF27" s="952"/>
      <c r="AG27" s="952"/>
      <c r="AH27" s="952"/>
      <c r="AI27" s="952"/>
      <c r="AJ27" s="952"/>
      <c r="AK27" s="952"/>
      <c r="AL27" s="952"/>
      <c r="AM27" s="868"/>
    </row>
    <row r="28" spans="1:39" s="99" customFormat="1" ht="11.25">
      <c r="A28" s="895">
        <v>1</v>
      </c>
      <c r="B28" s="944"/>
      <c r="C28" s="944"/>
      <c r="D28" s="944"/>
      <c r="E28" s="944"/>
      <c r="F28" s="944"/>
      <c r="G28" s="944"/>
      <c r="H28" s="944"/>
      <c r="I28" s="944"/>
      <c r="J28" s="944"/>
      <c r="K28" s="944"/>
      <c r="L28" s="921">
        <v>7</v>
      </c>
      <c r="M28" s="950" t="s">
        <v>427</v>
      </c>
      <c r="N28" s="224" t="s">
        <v>370</v>
      </c>
      <c r="O28" s="952"/>
      <c r="P28" s="952"/>
      <c r="Q28" s="952"/>
      <c r="R28" s="952"/>
      <c r="S28" s="952"/>
      <c r="T28" s="952"/>
      <c r="U28" s="952"/>
      <c r="V28" s="952"/>
      <c r="W28" s="952"/>
      <c r="X28" s="952"/>
      <c r="Y28" s="952"/>
      <c r="Z28" s="952"/>
      <c r="AA28" s="952"/>
      <c r="AB28" s="952"/>
      <c r="AC28" s="952"/>
      <c r="AD28" s="952"/>
      <c r="AE28" s="952"/>
      <c r="AF28" s="952"/>
      <c r="AG28" s="952"/>
      <c r="AH28" s="952"/>
      <c r="AI28" s="952"/>
      <c r="AJ28" s="952"/>
      <c r="AK28" s="952"/>
      <c r="AL28" s="952"/>
      <c r="AM28" s="868"/>
    </row>
    <row r="29" spans="1:39" s="99" customFormat="1" ht="11.25">
      <c r="A29" s="895">
        <v>1</v>
      </c>
      <c r="B29" s="944"/>
      <c r="C29" s="944"/>
      <c r="D29" s="944"/>
      <c r="E29" s="944"/>
      <c r="F29" s="944"/>
      <c r="G29" s="944"/>
      <c r="H29" s="944"/>
      <c r="I29" s="944"/>
      <c r="J29" s="944"/>
      <c r="K29" s="944"/>
      <c r="L29" s="921">
        <v>8</v>
      </c>
      <c r="M29" s="950" t="s">
        <v>428</v>
      </c>
      <c r="N29" s="224" t="s">
        <v>370</v>
      </c>
      <c r="O29" s="952"/>
      <c r="P29" s="952"/>
      <c r="Q29" s="952"/>
      <c r="R29" s="952"/>
      <c r="S29" s="952"/>
      <c r="T29" s="952"/>
      <c r="U29" s="952"/>
      <c r="V29" s="952"/>
      <c r="W29" s="952"/>
      <c r="X29" s="952"/>
      <c r="Y29" s="952"/>
      <c r="Z29" s="952"/>
      <c r="AA29" s="952"/>
      <c r="AB29" s="952"/>
      <c r="AC29" s="952"/>
      <c r="AD29" s="952"/>
      <c r="AE29" s="952"/>
      <c r="AF29" s="952"/>
      <c r="AG29" s="952"/>
      <c r="AH29" s="952"/>
      <c r="AI29" s="952"/>
      <c r="AJ29" s="952"/>
      <c r="AK29" s="952"/>
      <c r="AL29" s="952"/>
      <c r="AM29" s="868"/>
    </row>
    <row r="30" spans="1:39" ht="11.25">
      <c r="A30" s="943"/>
      <c r="B30" s="943"/>
      <c r="C30" s="943"/>
      <c r="D30" s="943"/>
      <c r="E30" s="943"/>
      <c r="F30" s="943"/>
      <c r="G30" s="943"/>
      <c r="H30" s="943"/>
      <c r="I30" s="943"/>
      <c r="J30" s="943"/>
      <c r="K30" s="943"/>
      <c r="L30" s="910"/>
      <c r="M30" s="909"/>
      <c r="N30" s="909"/>
      <c r="O30" s="909"/>
      <c r="P30" s="909"/>
      <c r="Q30" s="909"/>
      <c r="R30" s="909"/>
      <c r="S30" s="909"/>
      <c r="T30" s="909"/>
      <c r="U30" s="909"/>
      <c r="V30" s="909"/>
      <c r="W30" s="909"/>
      <c r="X30" s="909"/>
      <c r="Y30" s="909"/>
      <c r="Z30" s="909"/>
      <c r="AA30" s="909"/>
      <c r="AB30" s="909"/>
      <c r="AC30" s="909"/>
      <c r="AD30" s="909"/>
      <c r="AE30" s="909"/>
      <c r="AF30" s="909"/>
      <c r="AG30" s="909"/>
      <c r="AH30" s="909"/>
      <c r="AI30" s="909"/>
      <c r="AJ30" s="909"/>
      <c r="AK30" s="909"/>
      <c r="AL30" s="909"/>
      <c r="AM30" s="909"/>
    </row>
    <row r="31" spans="1:39" s="88" customFormat="1" ht="15" customHeight="1">
      <c r="A31" s="851"/>
      <c r="B31" s="851"/>
      <c r="C31" s="851"/>
      <c r="D31" s="851"/>
      <c r="E31" s="851"/>
      <c r="F31" s="851"/>
      <c r="G31" s="851"/>
      <c r="H31" s="851"/>
      <c r="I31" s="851"/>
      <c r="J31" s="851"/>
      <c r="K31" s="851"/>
      <c r="L31" s="891" t="s">
        <v>1402</v>
      </c>
      <c r="M31" s="891"/>
      <c r="N31" s="891"/>
      <c r="O31" s="891"/>
      <c r="P31" s="891"/>
      <c r="Q31" s="891"/>
      <c r="R31" s="891"/>
      <c r="S31" s="892"/>
      <c r="T31" s="892"/>
      <c r="U31" s="892"/>
      <c r="V31" s="892"/>
      <c r="W31" s="892"/>
      <c r="X31" s="892"/>
      <c r="Y31" s="892"/>
      <c r="Z31" s="892"/>
      <c r="AA31" s="892"/>
      <c r="AB31" s="892"/>
      <c r="AC31" s="892"/>
      <c r="AD31" s="892"/>
      <c r="AE31" s="892"/>
      <c r="AF31" s="892"/>
      <c r="AG31" s="892"/>
      <c r="AH31" s="892"/>
      <c r="AI31" s="892"/>
      <c r="AJ31" s="892"/>
      <c r="AK31" s="892"/>
      <c r="AL31" s="892"/>
      <c r="AM31" s="892"/>
    </row>
    <row r="32" spans="1:39" s="88" customFormat="1" ht="15" customHeight="1">
      <c r="A32" s="851"/>
      <c r="B32" s="851"/>
      <c r="C32" s="851"/>
      <c r="D32" s="851"/>
      <c r="E32" s="851"/>
      <c r="F32" s="851"/>
      <c r="G32" s="851"/>
      <c r="H32" s="851"/>
      <c r="I32" s="851"/>
      <c r="J32" s="851"/>
      <c r="K32" s="724"/>
      <c r="L32" s="893"/>
      <c r="M32" s="893"/>
      <c r="N32" s="893"/>
      <c r="O32" s="893"/>
      <c r="P32" s="893"/>
      <c r="Q32" s="893"/>
      <c r="R32" s="893"/>
      <c r="S32" s="894"/>
      <c r="T32" s="894"/>
      <c r="U32" s="894"/>
      <c r="V32" s="894"/>
      <c r="W32" s="894"/>
      <c r="X32" s="894"/>
      <c r="Y32" s="894"/>
      <c r="Z32" s="894"/>
      <c r="AA32" s="894"/>
      <c r="AB32" s="894"/>
      <c r="AC32" s="894"/>
      <c r="AD32" s="894"/>
      <c r="AE32" s="894"/>
      <c r="AF32" s="894"/>
      <c r="AG32" s="894"/>
      <c r="AH32" s="894"/>
      <c r="AI32" s="894"/>
      <c r="AJ32" s="894"/>
      <c r="AK32" s="894"/>
      <c r="AL32" s="894"/>
      <c r="AM32" s="894"/>
    </row>
    <row r="33" spans="1:39">
      <c r="A33" s="943"/>
      <c r="B33" s="943"/>
      <c r="C33" s="943"/>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943"/>
      <c r="AM33" s="943"/>
    </row>
    <row r="34" spans="1:39">
      <c r="A34" s="943"/>
      <c r="B34" s="943"/>
      <c r="C34" s="943"/>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943"/>
      <c r="AM34" s="943"/>
    </row>
    <row r="35" spans="1:39">
      <c r="A35" s="943"/>
      <c r="B35" s="943"/>
      <c r="C35" s="943"/>
      <c r="D35" s="943"/>
      <c r="E35" s="943"/>
      <c r="F35" s="943"/>
      <c r="G35" s="943"/>
      <c r="H35" s="943"/>
      <c r="I35" s="943"/>
      <c r="J35" s="943"/>
      <c r="K35" s="943"/>
      <c r="L35" s="943"/>
      <c r="M35" s="943"/>
      <c r="N35" s="943"/>
      <c r="O35" s="943"/>
      <c r="P35" s="943"/>
      <c r="Q35" s="943"/>
      <c r="R35" s="943"/>
      <c r="S35" s="943"/>
      <c r="T35" s="943"/>
      <c r="U35" s="943"/>
      <c r="V35" s="943"/>
      <c r="W35" s="943"/>
      <c r="X35" s="943"/>
      <c r="Y35" s="943"/>
      <c r="Z35" s="943"/>
      <c r="AA35" s="943"/>
      <c r="AB35" s="943"/>
      <c r="AC35" s="943"/>
      <c r="AD35" s="943"/>
      <c r="AE35" s="943"/>
      <c r="AF35" s="943"/>
      <c r="AG35" s="943"/>
      <c r="AH35" s="943"/>
      <c r="AI35" s="943"/>
      <c r="AJ35" s="943"/>
      <c r="AK35" s="943"/>
      <c r="AL35" s="943"/>
      <c r="AM35" s="943"/>
    </row>
    <row r="36" spans="1:39">
      <c r="A36" s="943"/>
      <c r="B36" s="943"/>
      <c r="C36" s="943"/>
      <c r="D36" s="943"/>
      <c r="E36" s="943"/>
      <c r="F36" s="943"/>
      <c r="G36" s="943"/>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row>
    <row r="37" spans="1:39">
      <c r="A37" s="943"/>
      <c r="B37" s="943"/>
      <c r="C37" s="943"/>
      <c r="D37" s="943"/>
      <c r="E37" s="943"/>
      <c r="F37" s="943"/>
      <c r="G37" s="943"/>
      <c r="H37" s="943"/>
      <c r="I37" s="943"/>
      <c r="J37" s="943"/>
      <c r="K37" s="943"/>
      <c r="L37" s="943"/>
      <c r="M37" s="943"/>
      <c r="N37" s="943"/>
      <c r="O37" s="943"/>
      <c r="P37" s="943"/>
      <c r="Q37" s="943"/>
      <c r="R37" s="943"/>
      <c r="S37" s="943"/>
      <c r="T37" s="943"/>
      <c r="U37" s="943"/>
      <c r="V37" s="943"/>
      <c r="W37" s="943"/>
      <c r="X37" s="943"/>
      <c r="Y37" s="943"/>
      <c r="Z37" s="943"/>
      <c r="AA37" s="943"/>
      <c r="AB37" s="943"/>
      <c r="AC37" s="943"/>
      <c r="AD37" s="943"/>
      <c r="AE37" s="943"/>
      <c r="AF37" s="943"/>
      <c r="AG37" s="943"/>
      <c r="AH37" s="943"/>
      <c r="AI37" s="943"/>
      <c r="AJ37" s="943"/>
      <c r="AK37" s="943"/>
      <c r="AL37" s="943"/>
      <c r="AM37" s="943"/>
    </row>
    <row r="38" spans="1:39">
      <c r="A38" s="943"/>
      <c r="B38" s="943"/>
      <c r="C38" s="943"/>
      <c r="D38" s="943"/>
      <c r="E38" s="943"/>
      <c r="F38" s="943"/>
      <c r="G38" s="943"/>
      <c r="H38" s="943"/>
      <c r="I38" s="943"/>
      <c r="J38" s="943"/>
      <c r="K38" s="943"/>
      <c r="L38" s="943"/>
      <c r="M38" s="953"/>
      <c r="N38" s="943"/>
      <c r="O38" s="943"/>
      <c r="P38" s="943"/>
      <c r="Q38" s="943"/>
      <c r="R38" s="943"/>
      <c r="S38" s="943"/>
      <c r="T38" s="943"/>
      <c r="U38" s="943"/>
      <c r="V38" s="943"/>
      <c r="W38" s="943"/>
      <c r="X38" s="943"/>
      <c r="Y38" s="943"/>
      <c r="Z38" s="943"/>
      <c r="AA38" s="943"/>
      <c r="AB38" s="943"/>
      <c r="AC38" s="943"/>
      <c r="AD38" s="943"/>
      <c r="AE38" s="943"/>
      <c r="AF38" s="943"/>
      <c r="AG38" s="943"/>
      <c r="AH38" s="943"/>
      <c r="AI38" s="943"/>
      <c r="AJ38" s="943"/>
      <c r="AK38" s="943"/>
      <c r="AL38" s="943"/>
      <c r="AM38" s="943"/>
    </row>
    <row r="39" spans="1:39">
      <c r="A39" s="943"/>
      <c r="B39" s="943"/>
      <c r="C39" s="943"/>
      <c r="D39" s="943"/>
      <c r="E39" s="943"/>
      <c r="F39" s="943"/>
      <c r="G39" s="943"/>
      <c r="H39" s="943"/>
      <c r="I39" s="943"/>
      <c r="J39" s="943"/>
      <c r="K39" s="943"/>
      <c r="L39" s="943"/>
      <c r="M39" s="954"/>
      <c r="N39" s="943"/>
      <c r="O39" s="943"/>
      <c r="P39" s="943"/>
      <c r="Q39" s="943"/>
      <c r="R39" s="943"/>
      <c r="S39" s="943"/>
      <c r="T39" s="943"/>
      <c r="U39" s="943"/>
      <c r="V39" s="943"/>
      <c r="W39" s="943"/>
      <c r="X39" s="943"/>
      <c r="Y39" s="943"/>
      <c r="Z39" s="943"/>
      <c r="AA39" s="943"/>
      <c r="AB39" s="943"/>
      <c r="AC39" s="943"/>
      <c r="AD39" s="943"/>
      <c r="AE39" s="943"/>
      <c r="AF39" s="943"/>
      <c r="AG39" s="943"/>
      <c r="AH39" s="943"/>
      <c r="AI39" s="943"/>
      <c r="AJ39" s="943"/>
      <c r="AK39" s="943"/>
      <c r="AL39" s="943"/>
      <c r="AM39" s="943"/>
    </row>
    <row r="40" spans="1:39">
      <c r="A40" s="943"/>
      <c r="B40" s="943"/>
      <c r="C40" s="943"/>
      <c r="D40" s="943"/>
      <c r="E40" s="943"/>
      <c r="F40" s="943"/>
      <c r="G40" s="943"/>
      <c r="H40" s="943"/>
      <c r="I40" s="943"/>
      <c r="J40" s="943"/>
      <c r="K40" s="943"/>
      <c r="L40" s="943"/>
      <c r="M40" s="954"/>
      <c r="N40" s="943"/>
      <c r="O40" s="943"/>
      <c r="P40" s="943"/>
      <c r="Q40" s="943"/>
      <c r="R40" s="943"/>
      <c r="S40" s="943"/>
      <c r="T40" s="943"/>
      <c r="U40" s="943"/>
      <c r="V40" s="943"/>
      <c r="W40" s="943"/>
      <c r="X40" s="943"/>
      <c r="Y40" s="943"/>
      <c r="Z40" s="943"/>
      <c r="AA40" s="943"/>
      <c r="AB40" s="943"/>
      <c r="AC40" s="943"/>
      <c r="AD40" s="943"/>
      <c r="AE40" s="943"/>
      <c r="AF40" s="943"/>
      <c r="AG40" s="943"/>
      <c r="AH40" s="943"/>
      <c r="AI40" s="943"/>
      <c r="AJ40" s="943"/>
      <c r="AK40" s="943"/>
      <c r="AL40" s="943"/>
      <c r="AM40" s="943"/>
    </row>
    <row r="41" spans="1:39">
      <c r="A41" s="943"/>
      <c r="B41" s="943"/>
      <c r="C41" s="943"/>
      <c r="D41" s="943"/>
      <c r="E41" s="943"/>
      <c r="F41" s="943"/>
      <c r="G41" s="943"/>
      <c r="H41" s="943"/>
      <c r="I41" s="943"/>
      <c r="J41" s="943"/>
      <c r="K41" s="943"/>
      <c r="L41" s="943"/>
      <c r="M41" s="954"/>
      <c r="N41" s="943"/>
      <c r="O41" s="943"/>
      <c r="P41" s="943"/>
      <c r="Q41" s="943"/>
      <c r="R41" s="943"/>
      <c r="S41" s="943"/>
      <c r="T41" s="943"/>
      <c r="U41" s="943"/>
      <c r="V41" s="943"/>
      <c r="W41" s="943"/>
      <c r="X41" s="943"/>
      <c r="Y41" s="943"/>
      <c r="Z41" s="943"/>
      <c r="AA41" s="943"/>
      <c r="AB41" s="943"/>
      <c r="AC41" s="943"/>
      <c r="AD41" s="943"/>
      <c r="AE41" s="943"/>
      <c r="AF41" s="943"/>
      <c r="AG41" s="943"/>
      <c r="AH41" s="943"/>
      <c r="AI41" s="943"/>
      <c r="AJ41" s="943"/>
      <c r="AK41" s="943"/>
      <c r="AL41" s="943"/>
      <c r="AM41" s="943"/>
    </row>
    <row r="42" spans="1:39">
      <c r="A42" s="943"/>
      <c r="B42" s="943"/>
      <c r="C42" s="943"/>
      <c r="D42" s="943"/>
      <c r="E42" s="943"/>
      <c r="F42" s="943"/>
      <c r="G42" s="943"/>
      <c r="H42" s="943"/>
      <c r="I42" s="943"/>
      <c r="J42" s="943"/>
      <c r="K42" s="943"/>
      <c r="L42" s="943"/>
      <c r="M42" s="954"/>
      <c r="N42" s="943"/>
      <c r="O42" s="943"/>
      <c r="P42" s="943"/>
      <c r="Q42" s="943"/>
      <c r="R42" s="943"/>
      <c r="S42" s="943"/>
      <c r="T42" s="943"/>
      <c r="U42" s="943"/>
      <c r="V42" s="943"/>
      <c r="W42" s="943"/>
      <c r="X42" s="943"/>
      <c r="Y42" s="943"/>
      <c r="Z42" s="943"/>
      <c r="AA42" s="943"/>
      <c r="AB42" s="943"/>
      <c r="AC42" s="943"/>
      <c r="AD42" s="943"/>
      <c r="AE42" s="943"/>
      <c r="AF42" s="943"/>
      <c r="AG42" s="943"/>
      <c r="AH42" s="943"/>
      <c r="AI42" s="943"/>
      <c r="AJ42" s="943"/>
      <c r="AK42" s="943"/>
      <c r="AL42" s="943"/>
      <c r="AM42" s="943"/>
    </row>
    <row r="43" spans="1:39">
      <c r="A43" s="943"/>
      <c r="B43" s="943"/>
      <c r="C43" s="943"/>
      <c r="D43" s="943"/>
      <c r="E43" s="943"/>
      <c r="F43" s="943"/>
      <c r="G43" s="943"/>
      <c r="H43" s="943"/>
      <c r="I43" s="943"/>
      <c r="J43" s="943"/>
      <c r="K43" s="943"/>
      <c r="L43" s="943"/>
      <c r="M43" s="954"/>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row>
    <row r="44" spans="1:39">
      <c r="A44" s="943"/>
      <c r="B44" s="943"/>
      <c r="C44" s="943"/>
      <c r="D44" s="943"/>
      <c r="E44" s="943"/>
      <c r="F44" s="943"/>
      <c r="G44" s="943"/>
      <c r="H44" s="943"/>
      <c r="I44" s="943"/>
      <c r="J44" s="943"/>
      <c r="K44" s="943"/>
      <c r="L44" s="943"/>
      <c r="M44" s="954"/>
      <c r="N44" s="943"/>
      <c r="O44" s="943"/>
      <c r="P44" s="943"/>
      <c r="Q44" s="943"/>
      <c r="R44" s="943"/>
      <c r="S44" s="943"/>
      <c r="T44" s="943"/>
      <c r="U44" s="943"/>
      <c r="V44" s="943"/>
      <c r="W44" s="943"/>
      <c r="X44" s="943"/>
      <c r="Y44" s="943"/>
      <c r="Z44" s="943"/>
      <c r="AA44" s="943"/>
      <c r="AB44" s="943"/>
      <c r="AC44" s="943"/>
      <c r="AD44" s="943"/>
      <c r="AE44" s="943"/>
      <c r="AF44" s="943"/>
      <c r="AG44" s="943"/>
      <c r="AH44" s="943"/>
      <c r="AI44" s="943"/>
      <c r="AJ44" s="943"/>
      <c r="AK44" s="943"/>
      <c r="AL44" s="943"/>
      <c r="AM44" s="943"/>
    </row>
    <row r="45" spans="1:39">
      <c r="A45" s="943"/>
      <c r="B45" s="943"/>
      <c r="C45" s="943"/>
      <c r="D45" s="943"/>
      <c r="E45" s="943"/>
      <c r="F45" s="943"/>
      <c r="G45" s="943"/>
      <c r="H45" s="943"/>
      <c r="I45" s="943"/>
      <c r="J45" s="943"/>
      <c r="K45" s="943"/>
      <c r="L45" s="943"/>
      <c r="M45" s="954"/>
      <c r="N45" s="943"/>
      <c r="O45" s="943"/>
      <c r="P45" s="943"/>
      <c r="Q45" s="943"/>
      <c r="R45" s="943"/>
      <c r="S45" s="943"/>
      <c r="T45" s="943"/>
      <c r="U45" s="943"/>
      <c r="V45" s="943"/>
      <c r="W45" s="943"/>
      <c r="X45" s="943"/>
      <c r="Y45" s="943"/>
      <c r="Z45" s="943"/>
      <c r="AA45" s="943"/>
      <c r="AB45" s="943"/>
      <c r="AC45" s="943"/>
      <c r="AD45" s="943"/>
      <c r="AE45" s="943"/>
      <c r="AF45" s="943"/>
      <c r="AG45" s="943"/>
      <c r="AH45" s="943"/>
      <c r="AI45" s="943"/>
      <c r="AJ45" s="943"/>
      <c r="AK45" s="943"/>
      <c r="AL45" s="943"/>
      <c r="AM45" s="943"/>
    </row>
    <row r="46" spans="1:39">
      <c r="A46" s="943"/>
      <c r="B46" s="943"/>
      <c r="C46" s="943"/>
      <c r="D46" s="943"/>
      <c r="E46" s="943"/>
      <c r="F46" s="943"/>
      <c r="G46" s="943"/>
      <c r="H46" s="943"/>
      <c r="I46" s="943"/>
      <c r="J46" s="943"/>
      <c r="K46" s="943"/>
      <c r="L46" s="943"/>
      <c r="M46" s="954"/>
      <c r="N46" s="943"/>
      <c r="O46" s="943"/>
      <c r="P46" s="943"/>
      <c r="Q46" s="943"/>
      <c r="R46" s="943"/>
      <c r="S46" s="943"/>
      <c r="T46" s="943"/>
      <c r="U46" s="943"/>
      <c r="V46" s="943"/>
      <c r="W46" s="943"/>
      <c r="X46" s="943"/>
      <c r="Y46" s="943"/>
      <c r="Z46" s="943"/>
      <c r="AA46" s="943"/>
      <c r="AB46" s="943"/>
      <c r="AC46" s="943"/>
      <c r="AD46" s="943"/>
      <c r="AE46" s="943"/>
      <c r="AF46" s="943"/>
      <c r="AG46" s="943"/>
      <c r="AH46" s="943"/>
      <c r="AI46" s="943"/>
      <c r="AJ46" s="943"/>
      <c r="AK46" s="943"/>
      <c r="AL46" s="943"/>
      <c r="AM46" s="943"/>
    </row>
    <row r="47" spans="1:39">
      <c r="A47" s="943"/>
      <c r="B47" s="943"/>
      <c r="C47" s="943"/>
      <c r="D47" s="943"/>
      <c r="E47" s="943"/>
      <c r="F47" s="943"/>
      <c r="G47" s="943"/>
      <c r="H47" s="943"/>
      <c r="I47" s="943"/>
      <c r="J47" s="943"/>
      <c r="K47" s="943"/>
      <c r="L47" s="943"/>
      <c r="M47" s="954"/>
      <c r="N47" s="943"/>
      <c r="O47" s="943"/>
      <c r="P47" s="943"/>
      <c r="Q47" s="943"/>
      <c r="R47" s="943"/>
      <c r="S47" s="943"/>
      <c r="T47" s="943"/>
      <c r="U47" s="943"/>
      <c r="V47" s="943"/>
      <c r="W47" s="943"/>
      <c r="X47" s="943"/>
      <c r="Y47" s="943"/>
      <c r="Z47" s="943"/>
      <c r="AA47" s="943"/>
      <c r="AB47" s="943"/>
      <c r="AC47" s="943"/>
      <c r="AD47" s="943"/>
      <c r="AE47" s="943"/>
      <c r="AF47" s="943"/>
      <c r="AG47" s="943"/>
      <c r="AH47" s="943"/>
      <c r="AI47" s="943"/>
      <c r="AJ47" s="943"/>
      <c r="AK47" s="943"/>
      <c r="AL47" s="943"/>
      <c r="AM47" s="943"/>
    </row>
  </sheetData>
  <sheetProtection formatColumns="0" formatRows="0" autoFilter="0"/>
  <mergeCells count="6">
    <mergeCell ref="L31:AM31"/>
    <mergeCell ref="L32:AM3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7:AM29 AM25">
      <formula1>900</formula1>
    </dataValidation>
    <dataValidation type="decimal" allowBlank="1" showErrorMessage="1" errorTitle="Ошибка" error="Допускается ввод только неотрицательных чисел!" sqref="O27:AL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31"/>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Q21" sqref="Q21"/>
    </sheetView>
  </sheetViews>
  <sheetFormatPr defaultColWidth="9.140625" defaultRowHeight="11.25"/>
  <cols>
    <col min="1" max="10" width="3.85546875" style="96" hidden="1" customWidth="1"/>
    <col min="11" max="11" width="3.7109375" style="96" hidden="1" customWidth="1"/>
    <col min="12" max="12" width="6.7109375" style="96" customWidth="1"/>
    <col min="13" max="13" width="35.7109375" style="96" customWidth="1"/>
    <col min="14" max="14" width="12.7109375" style="96" customWidth="1"/>
    <col min="15" max="19" width="13.28515625" style="96" customWidth="1"/>
    <col min="20" max="28" width="13.28515625" style="96" hidden="1" customWidth="1"/>
    <col min="29" max="29" width="13.28515625" style="96" customWidth="1"/>
    <col min="30" max="38" width="13.28515625" style="96" hidden="1" customWidth="1"/>
    <col min="39" max="39" width="20.7109375" style="96" customWidth="1"/>
    <col min="40" max="16384" width="9.140625" style="96"/>
  </cols>
  <sheetData>
    <row r="1" spans="1:39" hidden="1">
      <c r="A1" s="930"/>
      <c r="B1" s="930"/>
      <c r="C1" s="930"/>
      <c r="D1" s="930"/>
      <c r="E1" s="930"/>
      <c r="F1" s="930"/>
      <c r="G1" s="930"/>
      <c r="H1" s="930"/>
      <c r="I1" s="930"/>
      <c r="J1" s="930"/>
      <c r="K1" s="930"/>
      <c r="L1" s="930"/>
      <c r="M1" s="930"/>
      <c r="N1" s="930"/>
      <c r="O1" s="930"/>
      <c r="P1" s="930"/>
      <c r="Q1" s="930"/>
      <c r="R1" s="930"/>
      <c r="S1" s="851">
        <v>2024</v>
      </c>
      <c r="T1" s="851">
        <v>2025</v>
      </c>
      <c r="U1" s="851">
        <v>2026</v>
      </c>
      <c r="V1" s="851">
        <v>2027</v>
      </c>
      <c r="W1" s="851">
        <v>2028</v>
      </c>
      <c r="X1" s="851">
        <v>2029</v>
      </c>
      <c r="Y1" s="851">
        <v>2030</v>
      </c>
      <c r="Z1" s="851">
        <v>2031</v>
      </c>
      <c r="AA1" s="851">
        <v>2032</v>
      </c>
      <c r="AB1" s="851">
        <v>2033</v>
      </c>
      <c r="AC1" s="851">
        <v>2024</v>
      </c>
      <c r="AD1" s="851">
        <v>2025</v>
      </c>
      <c r="AE1" s="851">
        <v>2026</v>
      </c>
      <c r="AF1" s="851">
        <v>2027</v>
      </c>
      <c r="AG1" s="851">
        <v>2028</v>
      </c>
      <c r="AH1" s="851">
        <v>2029</v>
      </c>
      <c r="AI1" s="851">
        <v>2030</v>
      </c>
      <c r="AJ1" s="851">
        <v>2031</v>
      </c>
      <c r="AK1" s="851">
        <v>2032</v>
      </c>
      <c r="AL1" s="851">
        <v>2033</v>
      </c>
      <c r="AM1" s="930"/>
    </row>
    <row r="2" spans="1:39" hidden="1">
      <c r="A2" s="930"/>
      <c r="B2" s="930"/>
      <c r="C2" s="930"/>
      <c r="D2" s="930"/>
      <c r="E2" s="930"/>
      <c r="F2" s="930"/>
      <c r="G2" s="930"/>
      <c r="H2" s="930"/>
      <c r="I2" s="930"/>
      <c r="J2" s="930"/>
      <c r="K2" s="930"/>
      <c r="L2" s="930"/>
      <c r="M2" s="930"/>
      <c r="N2" s="930"/>
      <c r="O2" s="930"/>
      <c r="P2" s="930"/>
      <c r="Q2" s="930"/>
      <c r="R2" s="930"/>
      <c r="S2" s="851"/>
      <c r="T2" s="851"/>
      <c r="U2" s="851"/>
      <c r="V2" s="851"/>
      <c r="W2" s="851"/>
      <c r="X2" s="851"/>
      <c r="Y2" s="851"/>
      <c r="Z2" s="851"/>
      <c r="AA2" s="851"/>
      <c r="AB2" s="851"/>
      <c r="AC2" s="851"/>
      <c r="AD2" s="851"/>
      <c r="AE2" s="851"/>
      <c r="AF2" s="851"/>
      <c r="AG2" s="851"/>
      <c r="AH2" s="851"/>
      <c r="AI2" s="851"/>
      <c r="AJ2" s="851"/>
      <c r="AK2" s="851"/>
      <c r="AL2" s="851"/>
      <c r="AM2" s="930"/>
    </row>
    <row r="3" spans="1:39" hidden="1">
      <c r="A3" s="930"/>
      <c r="B3" s="930"/>
      <c r="C3" s="930"/>
      <c r="D3" s="930"/>
      <c r="E3" s="930"/>
      <c r="F3" s="930"/>
      <c r="G3" s="930"/>
      <c r="H3" s="930"/>
      <c r="I3" s="930"/>
      <c r="J3" s="930"/>
      <c r="K3" s="930"/>
      <c r="L3" s="930"/>
      <c r="M3" s="930"/>
      <c r="N3" s="930"/>
      <c r="O3" s="930"/>
      <c r="P3" s="930"/>
      <c r="Q3" s="930"/>
      <c r="R3" s="930"/>
      <c r="S3" s="851"/>
      <c r="T3" s="851"/>
      <c r="U3" s="851"/>
      <c r="V3" s="851"/>
      <c r="W3" s="851"/>
      <c r="X3" s="851"/>
      <c r="Y3" s="851"/>
      <c r="Z3" s="851"/>
      <c r="AA3" s="851"/>
      <c r="AB3" s="851"/>
      <c r="AC3" s="851"/>
      <c r="AD3" s="851"/>
      <c r="AE3" s="851"/>
      <c r="AF3" s="851"/>
      <c r="AG3" s="851"/>
      <c r="AH3" s="851"/>
      <c r="AI3" s="851"/>
      <c r="AJ3" s="851"/>
      <c r="AK3" s="851"/>
      <c r="AL3" s="851"/>
      <c r="AM3" s="930"/>
    </row>
    <row r="4" spans="1:39" hidden="1">
      <c r="A4" s="930"/>
      <c r="B4" s="930"/>
      <c r="C4" s="930"/>
      <c r="D4" s="930"/>
      <c r="E4" s="930"/>
      <c r="F4" s="930"/>
      <c r="G4" s="930"/>
      <c r="H4" s="930"/>
      <c r="I4" s="930"/>
      <c r="J4" s="930"/>
      <c r="K4" s="930"/>
      <c r="L4" s="930"/>
      <c r="M4" s="930"/>
      <c r="N4" s="930"/>
      <c r="O4" s="930"/>
      <c r="P4" s="930"/>
      <c r="Q4" s="930"/>
      <c r="R4" s="930"/>
      <c r="S4" s="851"/>
      <c r="T4" s="851"/>
      <c r="U4" s="851"/>
      <c r="V4" s="851"/>
      <c r="W4" s="851"/>
      <c r="X4" s="851"/>
      <c r="Y4" s="851"/>
      <c r="Z4" s="851"/>
      <c r="AA4" s="851"/>
      <c r="AB4" s="851"/>
      <c r="AC4" s="851"/>
      <c r="AD4" s="851"/>
      <c r="AE4" s="851"/>
      <c r="AF4" s="851"/>
      <c r="AG4" s="851"/>
      <c r="AH4" s="851"/>
      <c r="AI4" s="851"/>
      <c r="AJ4" s="851"/>
      <c r="AK4" s="851"/>
      <c r="AL4" s="851"/>
      <c r="AM4" s="930"/>
    </row>
    <row r="5" spans="1:39" hidden="1">
      <c r="A5" s="930"/>
      <c r="B5" s="930"/>
      <c r="C5" s="930"/>
      <c r="D5" s="930"/>
      <c r="E5" s="930"/>
      <c r="F5" s="930"/>
      <c r="G5" s="930"/>
      <c r="H5" s="930"/>
      <c r="I5" s="930"/>
      <c r="J5" s="930"/>
      <c r="K5" s="930"/>
      <c r="L5" s="930"/>
      <c r="M5" s="930"/>
      <c r="N5" s="930"/>
      <c r="O5" s="930"/>
      <c r="P5" s="930"/>
      <c r="Q5" s="930"/>
      <c r="R5" s="930"/>
      <c r="S5" s="851"/>
      <c r="T5" s="851"/>
      <c r="U5" s="851"/>
      <c r="V5" s="851"/>
      <c r="W5" s="851"/>
      <c r="X5" s="851"/>
      <c r="Y5" s="851"/>
      <c r="Z5" s="851"/>
      <c r="AA5" s="851"/>
      <c r="AB5" s="851"/>
      <c r="AC5" s="851"/>
      <c r="AD5" s="851"/>
      <c r="AE5" s="851"/>
      <c r="AF5" s="851"/>
      <c r="AG5" s="851"/>
      <c r="AH5" s="851"/>
      <c r="AI5" s="851"/>
      <c r="AJ5" s="851"/>
      <c r="AK5" s="851"/>
      <c r="AL5" s="851"/>
      <c r="AM5" s="930"/>
    </row>
    <row r="6" spans="1:39" hidden="1">
      <c r="A6" s="930"/>
      <c r="B6" s="930"/>
      <c r="C6" s="930"/>
      <c r="D6" s="930"/>
      <c r="E6" s="930"/>
      <c r="F6" s="930"/>
      <c r="G6" s="930"/>
      <c r="H6" s="930"/>
      <c r="I6" s="930"/>
      <c r="J6" s="930"/>
      <c r="K6" s="930"/>
      <c r="L6" s="930"/>
      <c r="M6" s="930"/>
      <c r="N6" s="930"/>
      <c r="O6" s="930"/>
      <c r="P6" s="930"/>
      <c r="Q6" s="930"/>
      <c r="R6" s="930"/>
      <c r="S6" s="851"/>
      <c r="T6" s="851"/>
      <c r="U6" s="851"/>
      <c r="V6" s="851"/>
      <c r="W6" s="851"/>
      <c r="X6" s="851"/>
      <c r="Y6" s="851"/>
      <c r="Z6" s="851"/>
      <c r="AA6" s="851"/>
      <c r="AB6" s="851"/>
      <c r="AC6" s="851"/>
      <c r="AD6" s="851"/>
      <c r="AE6" s="851"/>
      <c r="AF6" s="851"/>
      <c r="AG6" s="851"/>
      <c r="AH6" s="851"/>
      <c r="AI6" s="851"/>
      <c r="AJ6" s="851"/>
      <c r="AK6" s="851"/>
      <c r="AL6" s="851"/>
      <c r="AM6" s="930"/>
    </row>
    <row r="7" spans="1:39" hidden="1">
      <c r="A7" s="930"/>
      <c r="B7" s="930"/>
      <c r="C7" s="930"/>
      <c r="D7" s="930"/>
      <c r="E7" s="930"/>
      <c r="F7" s="930"/>
      <c r="G7" s="930"/>
      <c r="H7" s="930"/>
      <c r="I7" s="930"/>
      <c r="J7" s="930"/>
      <c r="K7" s="930"/>
      <c r="L7" s="930"/>
      <c r="M7" s="930"/>
      <c r="N7" s="930"/>
      <c r="O7" s="930"/>
      <c r="P7" s="930"/>
      <c r="Q7" s="930"/>
      <c r="R7" s="930"/>
      <c r="S7" s="800" t="b">
        <v>1</v>
      </c>
      <c r="T7" s="800" t="b">
        <v>0</v>
      </c>
      <c r="U7" s="800" t="b">
        <v>0</v>
      </c>
      <c r="V7" s="800" t="b">
        <v>0</v>
      </c>
      <c r="W7" s="800" t="b">
        <v>0</v>
      </c>
      <c r="X7" s="800" t="b">
        <v>0</v>
      </c>
      <c r="Y7" s="800" t="b">
        <v>0</v>
      </c>
      <c r="Z7" s="800" t="b">
        <v>0</v>
      </c>
      <c r="AA7" s="800" t="b">
        <v>0</v>
      </c>
      <c r="AB7" s="800" t="b">
        <v>0</v>
      </c>
      <c r="AC7" s="800" t="b">
        <v>1</v>
      </c>
      <c r="AD7" s="800" t="b">
        <v>0</v>
      </c>
      <c r="AE7" s="800" t="b">
        <v>0</v>
      </c>
      <c r="AF7" s="800" t="b">
        <v>0</v>
      </c>
      <c r="AG7" s="800" t="b">
        <v>0</v>
      </c>
      <c r="AH7" s="800" t="b">
        <v>0</v>
      </c>
      <c r="AI7" s="800" t="b">
        <v>0</v>
      </c>
      <c r="AJ7" s="800" t="b">
        <v>0</v>
      </c>
      <c r="AK7" s="800" t="b">
        <v>0</v>
      </c>
      <c r="AL7" s="800" t="b">
        <v>0</v>
      </c>
      <c r="AM7" s="930"/>
    </row>
    <row r="8" spans="1:39" hidden="1">
      <c r="A8" s="930"/>
      <c r="B8" s="930"/>
      <c r="C8" s="930"/>
      <c r="D8" s="930"/>
      <c r="E8" s="930"/>
      <c r="F8" s="930"/>
      <c r="G8" s="930"/>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row>
    <row r="9" spans="1:39" hidden="1">
      <c r="A9" s="930"/>
      <c r="B9" s="930"/>
      <c r="C9" s="930"/>
      <c r="D9" s="930"/>
      <c r="E9" s="930"/>
      <c r="F9" s="930"/>
      <c r="G9" s="930"/>
      <c r="H9" s="930"/>
      <c r="I9" s="930"/>
      <c r="J9" s="930"/>
      <c r="K9" s="930"/>
      <c r="L9" s="930"/>
      <c r="M9" s="930"/>
      <c r="N9" s="930"/>
      <c r="O9" s="930"/>
      <c r="P9" s="930"/>
      <c r="Q9" s="930"/>
      <c r="R9" s="930"/>
      <c r="S9" s="930"/>
      <c r="T9" s="930"/>
      <c r="U9" s="930"/>
      <c r="V9" s="930"/>
      <c r="W9" s="930"/>
      <c r="X9" s="930"/>
      <c r="Y9" s="930"/>
      <c r="Z9" s="930"/>
      <c r="AA9" s="930"/>
      <c r="AB9" s="930"/>
      <c r="AC9" s="930"/>
      <c r="AD9" s="930"/>
      <c r="AE9" s="930"/>
      <c r="AF9" s="930"/>
      <c r="AG9" s="930"/>
      <c r="AH9" s="930"/>
      <c r="AI9" s="930"/>
      <c r="AJ9" s="930"/>
      <c r="AK9" s="930"/>
      <c r="AL9" s="930"/>
      <c r="AM9" s="930"/>
    </row>
    <row r="10" spans="1:39" hidden="1">
      <c r="A10" s="930"/>
      <c r="B10" s="930"/>
      <c r="C10" s="930"/>
      <c r="D10" s="930"/>
      <c r="E10" s="930"/>
      <c r="F10" s="930"/>
      <c r="G10" s="930"/>
      <c r="H10" s="930"/>
      <c r="I10" s="930"/>
      <c r="J10" s="930"/>
      <c r="K10" s="930"/>
      <c r="L10" s="930"/>
      <c r="M10" s="930"/>
      <c r="N10" s="930"/>
      <c r="O10" s="930"/>
      <c r="P10" s="930"/>
      <c r="Q10" s="930"/>
      <c r="R10" s="930"/>
      <c r="S10" s="930"/>
      <c r="T10" s="930"/>
      <c r="U10" s="930"/>
      <c r="V10" s="930"/>
      <c r="W10" s="930"/>
      <c r="X10" s="930"/>
      <c r="Y10" s="930"/>
      <c r="Z10" s="930"/>
      <c r="AA10" s="930"/>
      <c r="AB10" s="930"/>
      <c r="AC10" s="930"/>
      <c r="AD10" s="930"/>
      <c r="AE10" s="930"/>
      <c r="AF10" s="930"/>
      <c r="AG10" s="930"/>
      <c r="AH10" s="930"/>
      <c r="AI10" s="930"/>
      <c r="AJ10" s="930"/>
      <c r="AK10" s="930"/>
      <c r="AL10" s="930"/>
      <c r="AM10" s="930"/>
    </row>
    <row r="11" spans="1:39" ht="15" hidden="1" customHeight="1">
      <c r="A11" s="930"/>
      <c r="B11" s="930"/>
      <c r="C11" s="930"/>
      <c r="D11" s="930"/>
      <c r="E11" s="930"/>
      <c r="F11" s="930"/>
      <c r="G11" s="930"/>
      <c r="H11" s="930"/>
      <c r="I11" s="930"/>
      <c r="J11" s="930"/>
      <c r="K11" s="930"/>
      <c r="L11" s="930"/>
      <c r="M11" s="932"/>
      <c r="N11" s="930"/>
      <c r="O11" s="930"/>
      <c r="P11" s="930"/>
      <c r="Q11" s="930"/>
      <c r="R11" s="930"/>
      <c r="S11" s="930"/>
      <c r="T11" s="930"/>
      <c r="U11" s="930"/>
      <c r="V11" s="930"/>
      <c r="W11" s="930"/>
      <c r="X11" s="930"/>
      <c r="Y11" s="930"/>
      <c r="Z11" s="930"/>
      <c r="AA11" s="930"/>
      <c r="AB11" s="930"/>
      <c r="AC11" s="930"/>
      <c r="AD11" s="930"/>
      <c r="AE11" s="930"/>
      <c r="AF11" s="930"/>
      <c r="AG11" s="930"/>
      <c r="AH11" s="930"/>
      <c r="AI11" s="930"/>
      <c r="AJ11" s="930"/>
      <c r="AK11" s="930"/>
      <c r="AL11" s="930"/>
      <c r="AM11" s="930"/>
    </row>
    <row r="12" spans="1:39" ht="20.100000000000001" customHeight="1">
      <c r="A12" s="930"/>
      <c r="B12" s="930"/>
      <c r="C12" s="930"/>
      <c r="D12" s="930"/>
      <c r="E12" s="930"/>
      <c r="F12" s="930"/>
      <c r="G12" s="930"/>
      <c r="H12" s="930"/>
      <c r="I12" s="930"/>
      <c r="J12" s="930"/>
      <c r="K12" s="930"/>
      <c r="L12" s="483" t="s">
        <v>1284</v>
      </c>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9"/>
    </row>
    <row r="13" spans="1:39">
      <c r="A13" s="930"/>
      <c r="B13" s="930"/>
      <c r="C13" s="930"/>
      <c r="D13" s="930"/>
      <c r="E13" s="930"/>
      <c r="F13" s="930"/>
      <c r="G13" s="930"/>
      <c r="H13" s="930"/>
      <c r="I13" s="930"/>
      <c r="J13" s="930"/>
      <c r="K13" s="930"/>
      <c r="L13" s="930"/>
      <c r="M13" s="930"/>
      <c r="N13" s="930"/>
      <c r="O13" s="930"/>
      <c r="P13" s="930"/>
      <c r="Q13" s="930"/>
      <c r="R13" s="930"/>
      <c r="S13" s="930"/>
      <c r="T13" s="930"/>
      <c r="U13" s="930"/>
      <c r="V13" s="930"/>
      <c r="W13" s="930"/>
      <c r="X13" s="930"/>
      <c r="Y13" s="930"/>
      <c r="Z13" s="930"/>
      <c r="AA13" s="930"/>
      <c r="AB13" s="930"/>
      <c r="AC13" s="930"/>
      <c r="AD13" s="930"/>
      <c r="AE13" s="930"/>
      <c r="AF13" s="930"/>
      <c r="AG13" s="930"/>
      <c r="AH13" s="930"/>
      <c r="AI13" s="930"/>
      <c r="AJ13" s="930"/>
      <c r="AK13" s="930"/>
      <c r="AL13" s="930"/>
      <c r="AM13" s="930"/>
    </row>
    <row r="14" spans="1:39" s="82" customFormat="1" ht="15" customHeight="1">
      <c r="A14" s="844"/>
      <c r="B14" s="844"/>
      <c r="C14" s="844"/>
      <c r="D14" s="844"/>
      <c r="E14" s="844"/>
      <c r="F14" s="844"/>
      <c r="G14" s="844"/>
      <c r="H14" s="844"/>
      <c r="I14" s="844"/>
      <c r="J14" s="844"/>
      <c r="K14" s="844"/>
      <c r="L14" s="891" t="s">
        <v>16</v>
      </c>
      <c r="M14" s="891" t="s">
        <v>121</v>
      </c>
      <c r="N14" s="891" t="s">
        <v>285</v>
      </c>
      <c r="O14" s="856" t="s">
        <v>2567</v>
      </c>
      <c r="P14" s="856" t="s">
        <v>2567</v>
      </c>
      <c r="Q14" s="856" t="s">
        <v>2567</v>
      </c>
      <c r="R14" s="857" t="s">
        <v>2568</v>
      </c>
      <c r="S14" s="817" t="s">
        <v>2569</v>
      </c>
      <c r="T14" s="817" t="s">
        <v>2598</v>
      </c>
      <c r="U14" s="817" t="s">
        <v>2599</v>
      </c>
      <c r="V14" s="817" t="s">
        <v>2600</v>
      </c>
      <c r="W14" s="817" t="s">
        <v>2601</v>
      </c>
      <c r="X14" s="817" t="s">
        <v>2602</v>
      </c>
      <c r="Y14" s="817" t="s">
        <v>2603</v>
      </c>
      <c r="Z14" s="817" t="s">
        <v>2604</v>
      </c>
      <c r="AA14" s="817" t="s">
        <v>2605</v>
      </c>
      <c r="AB14" s="817" t="s">
        <v>2606</v>
      </c>
      <c r="AC14" s="817" t="s">
        <v>2569</v>
      </c>
      <c r="AD14" s="817" t="s">
        <v>2598</v>
      </c>
      <c r="AE14" s="817" t="s">
        <v>2599</v>
      </c>
      <c r="AF14" s="817" t="s">
        <v>2600</v>
      </c>
      <c r="AG14" s="817" t="s">
        <v>2601</v>
      </c>
      <c r="AH14" s="817" t="s">
        <v>2602</v>
      </c>
      <c r="AI14" s="817" t="s">
        <v>2603</v>
      </c>
      <c r="AJ14" s="817" t="s">
        <v>2604</v>
      </c>
      <c r="AK14" s="817" t="s">
        <v>2605</v>
      </c>
      <c r="AL14" s="817" t="s">
        <v>2606</v>
      </c>
      <c r="AM14" s="854" t="s">
        <v>323</v>
      </c>
    </row>
    <row r="15" spans="1:39" s="82" customFormat="1" ht="50.1" customHeight="1">
      <c r="A15" s="844"/>
      <c r="B15" s="844"/>
      <c r="C15" s="844"/>
      <c r="D15" s="844"/>
      <c r="E15" s="844"/>
      <c r="F15" s="844"/>
      <c r="G15" s="844"/>
      <c r="H15" s="844"/>
      <c r="I15" s="844"/>
      <c r="J15" s="844"/>
      <c r="K15" s="844"/>
      <c r="L15" s="891"/>
      <c r="M15" s="891"/>
      <c r="N15" s="891"/>
      <c r="O15" s="817" t="s">
        <v>286</v>
      </c>
      <c r="P15" s="817" t="s">
        <v>324</v>
      </c>
      <c r="Q15" s="817" t="s">
        <v>304</v>
      </c>
      <c r="R15" s="817" t="s">
        <v>286</v>
      </c>
      <c r="S15" s="860" t="s">
        <v>287</v>
      </c>
      <c r="T15" s="860" t="s">
        <v>287</v>
      </c>
      <c r="U15" s="860" t="s">
        <v>287</v>
      </c>
      <c r="V15" s="860" t="s">
        <v>287</v>
      </c>
      <c r="W15" s="860" t="s">
        <v>287</v>
      </c>
      <c r="X15" s="860" t="s">
        <v>287</v>
      </c>
      <c r="Y15" s="860" t="s">
        <v>287</v>
      </c>
      <c r="Z15" s="860" t="s">
        <v>287</v>
      </c>
      <c r="AA15" s="860" t="s">
        <v>287</v>
      </c>
      <c r="AB15" s="860" t="s">
        <v>287</v>
      </c>
      <c r="AC15" s="860" t="s">
        <v>286</v>
      </c>
      <c r="AD15" s="860" t="s">
        <v>286</v>
      </c>
      <c r="AE15" s="860" t="s">
        <v>286</v>
      </c>
      <c r="AF15" s="860" t="s">
        <v>286</v>
      </c>
      <c r="AG15" s="860" t="s">
        <v>286</v>
      </c>
      <c r="AH15" s="860" t="s">
        <v>286</v>
      </c>
      <c r="AI15" s="860" t="s">
        <v>286</v>
      </c>
      <c r="AJ15" s="860" t="s">
        <v>286</v>
      </c>
      <c r="AK15" s="860" t="s">
        <v>286</v>
      </c>
      <c r="AL15" s="860" t="s">
        <v>286</v>
      </c>
      <c r="AM15" s="854"/>
    </row>
    <row r="16" spans="1:39" s="82" customFormat="1">
      <c r="A16" s="861" t="s">
        <v>18</v>
      </c>
      <c r="B16" s="844"/>
      <c r="C16" s="844"/>
      <c r="D16" s="844"/>
      <c r="E16" s="844"/>
      <c r="F16" s="844"/>
      <c r="G16" s="844"/>
      <c r="H16" s="844"/>
      <c r="I16" s="844"/>
      <c r="J16" s="844"/>
      <c r="K16" s="844"/>
      <c r="L16" s="918" t="s">
        <v>2545</v>
      </c>
      <c r="M16" s="755"/>
      <c r="N16" s="755"/>
      <c r="O16" s="755"/>
      <c r="P16" s="755"/>
      <c r="Q16" s="755"/>
      <c r="R16" s="755"/>
      <c r="S16" s="755"/>
      <c r="T16" s="755"/>
      <c r="U16" s="755"/>
      <c r="V16" s="755"/>
      <c r="W16" s="755"/>
      <c r="X16" s="755"/>
      <c r="Y16" s="755"/>
      <c r="Z16" s="755"/>
      <c r="AA16" s="755"/>
      <c r="AB16" s="755"/>
      <c r="AC16" s="755"/>
      <c r="AD16" s="755"/>
      <c r="AE16" s="755"/>
      <c r="AF16" s="755"/>
      <c r="AG16" s="755"/>
      <c r="AH16" s="755"/>
      <c r="AI16" s="755"/>
      <c r="AJ16" s="755"/>
      <c r="AK16" s="755"/>
      <c r="AL16" s="755"/>
      <c r="AM16" s="755"/>
    </row>
    <row r="17" spans="1:39" s="82" customFormat="1" ht="22.5">
      <c r="A17" s="895">
        <v>1</v>
      </c>
      <c r="B17" s="844"/>
      <c r="C17" s="844"/>
      <c r="D17" s="844"/>
      <c r="E17" s="844"/>
      <c r="F17" s="844"/>
      <c r="G17" s="844"/>
      <c r="H17" s="844"/>
      <c r="I17" s="844"/>
      <c r="J17" s="844"/>
      <c r="K17" s="844"/>
      <c r="L17" s="955">
        <v>0</v>
      </c>
      <c r="M17" s="956" t="s">
        <v>429</v>
      </c>
      <c r="N17" s="229" t="s">
        <v>370</v>
      </c>
      <c r="O17" s="957">
        <v>0</v>
      </c>
      <c r="P17" s="957">
        <v>1937.74</v>
      </c>
      <c r="Q17" s="957">
        <v>1613.49</v>
      </c>
      <c r="R17" s="957">
        <v>2400.3999999999996</v>
      </c>
      <c r="S17" s="957">
        <v>2670.05</v>
      </c>
      <c r="T17" s="957">
        <v>0</v>
      </c>
      <c r="U17" s="957">
        <v>0</v>
      </c>
      <c r="V17" s="957">
        <v>0</v>
      </c>
      <c r="W17" s="957">
        <v>0</v>
      </c>
      <c r="X17" s="957">
        <v>0</v>
      </c>
      <c r="Y17" s="957">
        <v>0</v>
      </c>
      <c r="Z17" s="957">
        <v>0</v>
      </c>
      <c r="AA17" s="957">
        <v>0</v>
      </c>
      <c r="AB17" s="957">
        <v>0</v>
      </c>
      <c r="AC17" s="957">
        <v>2662.4500000000003</v>
      </c>
      <c r="AD17" s="957">
        <v>0</v>
      </c>
      <c r="AE17" s="957">
        <v>0</v>
      </c>
      <c r="AF17" s="957">
        <v>0</v>
      </c>
      <c r="AG17" s="957">
        <v>0</v>
      </c>
      <c r="AH17" s="957">
        <v>0</v>
      </c>
      <c r="AI17" s="957">
        <v>0</v>
      </c>
      <c r="AJ17" s="957">
        <v>0</v>
      </c>
      <c r="AK17" s="957">
        <v>0</v>
      </c>
      <c r="AL17" s="957">
        <v>0</v>
      </c>
      <c r="AM17" s="868"/>
    </row>
    <row r="18" spans="1:39" s="82" customFormat="1">
      <c r="A18" s="895">
        <v>1</v>
      </c>
      <c r="B18" s="844"/>
      <c r="C18" s="844"/>
      <c r="D18" s="844"/>
      <c r="E18" s="844"/>
      <c r="F18" s="844"/>
      <c r="G18" s="844"/>
      <c r="H18" s="844"/>
      <c r="I18" s="844"/>
      <c r="J18" s="844"/>
      <c r="K18" s="844"/>
      <c r="L18" s="938" t="s">
        <v>18</v>
      </c>
      <c r="M18" s="958" t="s">
        <v>430</v>
      </c>
      <c r="N18" s="232" t="s">
        <v>370</v>
      </c>
      <c r="O18" s="959"/>
      <c r="P18" s="960"/>
      <c r="Q18" s="960"/>
      <c r="R18" s="960"/>
      <c r="S18" s="960"/>
      <c r="T18" s="960"/>
      <c r="U18" s="960"/>
      <c r="V18" s="960"/>
      <c r="W18" s="960"/>
      <c r="X18" s="960"/>
      <c r="Y18" s="960"/>
      <c r="Z18" s="960"/>
      <c r="AA18" s="960"/>
      <c r="AB18" s="960"/>
      <c r="AC18" s="960"/>
      <c r="AD18" s="960"/>
      <c r="AE18" s="960"/>
      <c r="AF18" s="960"/>
      <c r="AG18" s="960"/>
      <c r="AH18" s="960"/>
      <c r="AI18" s="960"/>
      <c r="AJ18" s="960"/>
      <c r="AK18" s="960"/>
      <c r="AL18" s="960"/>
      <c r="AM18" s="868"/>
    </row>
    <row r="19" spans="1:39" s="82" customFormat="1">
      <c r="A19" s="895">
        <v>1</v>
      </c>
      <c r="B19" s="844"/>
      <c r="C19" s="844"/>
      <c r="D19" s="844"/>
      <c r="E19" s="844"/>
      <c r="F19" s="844"/>
      <c r="G19" s="844"/>
      <c r="H19" s="844"/>
      <c r="I19" s="844"/>
      <c r="J19" s="844"/>
      <c r="K19" s="844"/>
      <c r="L19" s="938" t="s">
        <v>102</v>
      </c>
      <c r="M19" s="958" t="s">
        <v>431</v>
      </c>
      <c r="N19" s="232" t="s">
        <v>370</v>
      </c>
      <c r="O19" s="959"/>
      <c r="P19" s="960">
        <v>5.65</v>
      </c>
      <c r="Q19" s="960">
        <v>5.65</v>
      </c>
      <c r="R19" s="960">
        <v>6.22</v>
      </c>
      <c r="S19" s="960">
        <v>6.08</v>
      </c>
      <c r="T19" s="960"/>
      <c r="U19" s="960"/>
      <c r="V19" s="960"/>
      <c r="W19" s="960"/>
      <c r="X19" s="960"/>
      <c r="Y19" s="960"/>
      <c r="Z19" s="960"/>
      <c r="AA19" s="960"/>
      <c r="AB19" s="960"/>
      <c r="AC19" s="960">
        <v>6.08</v>
      </c>
      <c r="AD19" s="960"/>
      <c r="AE19" s="960"/>
      <c r="AF19" s="960"/>
      <c r="AG19" s="960"/>
      <c r="AH19" s="960"/>
      <c r="AI19" s="960"/>
      <c r="AJ19" s="960"/>
      <c r="AK19" s="960"/>
      <c r="AL19" s="960"/>
      <c r="AM19" s="868"/>
    </row>
    <row r="20" spans="1:39" s="82" customFormat="1" ht="22.5">
      <c r="A20" s="895">
        <v>1</v>
      </c>
      <c r="B20" s="844"/>
      <c r="C20" s="844"/>
      <c r="D20" s="844"/>
      <c r="E20" s="844"/>
      <c r="F20" s="844"/>
      <c r="G20" s="844"/>
      <c r="H20" s="844"/>
      <c r="I20" s="844"/>
      <c r="J20" s="844"/>
      <c r="K20" s="844"/>
      <c r="L20" s="938" t="s">
        <v>103</v>
      </c>
      <c r="M20" s="958" t="s">
        <v>1372</v>
      </c>
      <c r="N20" s="232" t="s">
        <v>370</v>
      </c>
      <c r="O20" s="959"/>
      <c r="P20" s="960">
        <v>3.1</v>
      </c>
      <c r="Q20" s="960">
        <v>3.1</v>
      </c>
      <c r="R20" s="960">
        <v>6.02</v>
      </c>
      <c r="S20" s="960">
        <v>3.61</v>
      </c>
      <c r="T20" s="960"/>
      <c r="U20" s="960"/>
      <c r="V20" s="960"/>
      <c r="W20" s="960"/>
      <c r="X20" s="960"/>
      <c r="Y20" s="960"/>
      <c r="Z20" s="960"/>
      <c r="AA20" s="960"/>
      <c r="AB20" s="960"/>
      <c r="AC20" s="960">
        <v>3.61</v>
      </c>
      <c r="AD20" s="960"/>
      <c r="AE20" s="960"/>
      <c r="AF20" s="960"/>
      <c r="AG20" s="960"/>
      <c r="AH20" s="960"/>
      <c r="AI20" s="960"/>
      <c r="AJ20" s="960"/>
      <c r="AK20" s="960"/>
      <c r="AL20" s="960"/>
      <c r="AM20" s="868"/>
    </row>
    <row r="21" spans="1:39">
      <c r="A21" s="895">
        <v>1</v>
      </c>
      <c r="B21" s="930"/>
      <c r="C21" s="930"/>
      <c r="D21" s="930"/>
      <c r="E21" s="930"/>
      <c r="F21" s="930"/>
      <c r="G21" s="930"/>
      <c r="H21" s="930"/>
      <c r="I21" s="930"/>
      <c r="J21" s="930"/>
      <c r="K21" s="930"/>
      <c r="L21" s="961">
        <v>4</v>
      </c>
      <c r="M21" s="958" t="s">
        <v>432</v>
      </c>
      <c r="N21" s="232" t="s">
        <v>370</v>
      </c>
      <c r="O21" s="962"/>
      <c r="P21" s="962">
        <v>1604.66</v>
      </c>
      <c r="Q21" s="962">
        <v>1604.66</v>
      </c>
      <c r="R21" s="962">
        <v>2141.44</v>
      </c>
      <c r="S21" s="962">
        <v>2548.63</v>
      </c>
      <c r="T21" s="962"/>
      <c r="U21" s="962"/>
      <c r="V21" s="962"/>
      <c r="W21" s="962"/>
      <c r="X21" s="962"/>
      <c r="Y21" s="962"/>
      <c r="Z21" s="962"/>
      <c r="AA21" s="962"/>
      <c r="AB21" s="962"/>
      <c r="AC21" s="962">
        <v>2548.63</v>
      </c>
      <c r="AD21" s="962"/>
      <c r="AE21" s="962"/>
      <c r="AF21" s="962"/>
      <c r="AG21" s="962"/>
      <c r="AH21" s="962"/>
      <c r="AI21" s="962"/>
      <c r="AJ21" s="962"/>
      <c r="AK21" s="962"/>
      <c r="AL21" s="962"/>
      <c r="AM21" s="868"/>
    </row>
    <row r="22" spans="1:39" s="82" customFormat="1">
      <c r="A22" s="895">
        <v>1</v>
      </c>
      <c r="B22" s="844"/>
      <c r="C22" s="844"/>
      <c r="D22" s="844"/>
      <c r="E22" s="844"/>
      <c r="F22" s="844"/>
      <c r="G22" s="844"/>
      <c r="H22" s="844"/>
      <c r="I22" s="844"/>
      <c r="J22" s="844"/>
      <c r="K22" s="844"/>
      <c r="L22" s="938" t="s">
        <v>120</v>
      </c>
      <c r="M22" s="958" t="s">
        <v>433</v>
      </c>
      <c r="N22" s="232" t="s">
        <v>370</v>
      </c>
      <c r="O22" s="959"/>
      <c r="P22" s="959"/>
      <c r="Q22" s="959"/>
      <c r="R22" s="959"/>
      <c r="S22" s="959"/>
      <c r="T22" s="959"/>
      <c r="U22" s="959"/>
      <c r="V22" s="959"/>
      <c r="W22" s="959"/>
      <c r="X22" s="959"/>
      <c r="Y22" s="959"/>
      <c r="Z22" s="959"/>
      <c r="AA22" s="959"/>
      <c r="AB22" s="959"/>
      <c r="AC22" s="959"/>
      <c r="AD22" s="959"/>
      <c r="AE22" s="959"/>
      <c r="AF22" s="959"/>
      <c r="AG22" s="959"/>
      <c r="AH22" s="959"/>
      <c r="AI22" s="959"/>
      <c r="AJ22" s="959"/>
      <c r="AK22" s="959"/>
      <c r="AL22" s="959"/>
      <c r="AM22" s="868"/>
    </row>
    <row r="23" spans="1:39" s="82" customFormat="1">
      <c r="A23" s="895">
        <v>1</v>
      </c>
      <c r="B23" s="844"/>
      <c r="C23" s="844"/>
      <c r="D23" s="844"/>
      <c r="E23" s="844"/>
      <c r="F23" s="844"/>
      <c r="G23" s="844"/>
      <c r="H23" s="844"/>
      <c r="I23" s="844"/>
      <c r="J23" s="844"/>
      <c r="K23" s="844"/>
      <c r="L23" s="938" t="s">
        <v>124</v>
      </c>
      <c r="M23" s="958" t="s">
        <v>137</v>
      </c>
      <c r="N23" s="232" t="s">
        <v>370</v>
      </c>
      <c r="O23" s="959"/>
      <c r="P23" s="959"/>
      <c r="Q23" s="959"/>
      <c r="R23" s="959"/>
      <c r="S23" s="959"/>
      <c r="T23" s="959"/>
      <c r="U23" s="959"/>
      <c r="V23" s="959"/>
      <c r="W23" s="959"/>
      <c r="X23" s="959"/>
      <c r="Y23" s="959"/>
      <c r="Z23" s="959"/>
      <c r="AA23" s="959"/>
      <c r="AB23" s="959"/>
      <c r="AC23" s="959"/>
      <c r="AD23" s="959"/>
      <c r="AE23" s="959"/>
      <c r="AF23" s="959"/>
      <c r="AG23" s="959"/>
      <c r="AH23" s="959"/>
      <c r="AI23" s="959"/>
      <c r="AJ23" s="959"/>
      <c r="AK23" s="959"/>
      <c r="AL23" s="959"/>
      <c r="AM23" s="868"/>
    </row>
    <row r="24" spans="1:39" s="82" customFormat="1">
      <c r="A24" s="895">
        <v>1</v>
      </c>
      <c r="B24" s="844"/>
      <c r="C24" s="844"/>
      <c r="D24" s="844"/>
      <c r="E24" s="844"/>
      <c r="F24" s="844"/>
      <c r="G24" s="844"/>
      <c r="H24" s="844"/>
      <c r="I24" s="844"/>
      <c r="J24" s="844"/>
      <c r="K24" s="844"/>
      <c r="L24" s="938" t="s">
        <v>125</v>
      </c>
      <c r="M24" s="958" t="s">
        <v>136</v>
      </c>
      <c r="N24" s="232" t="s">
        <v>370</v>
      </c>
      <c r="O24" s="959"/>
      <c r="P24" s="959"/>
      <c r="Q24" s="959"/>
      <c r="R24" s="959"/>
      <c r="S24" s="959"/>
      <c r="T24" s="959"/>
      <c r="U24" s="959"/>
      <c r="V24" s="959"/>
      <c r="W24" s="959"/>
      <c r="X24" s="959"/>
      <c r="Y24" s="959"/>
      <c r="Z24" s="959"/>
      <c r="AA24" s="959"/>
      <c r="AB24" s="959"/>
      <c r="AC24" s="959"/>
      <c r="AD24" s="959"/>
      <c r="AE24" s="959"/>
      <c r="AF24" s="959"/>
      <c r="AG24" s="959"/>
      <c r="AH24" s="959"/>
      <c r="AI24" s="959"/>
      <c r="AJ24" s="959"/>
      <c r="AK24" s="959"/>
      <c r="AL24" s="959"/>
      <c r="AM24" s="868"/>
    </row>
    <row r="25" spans="1:39" s="82" customFormat="1" ht="22.5">
      <c r="A25" s="895">
        <v>1</v>
      </c>
      <c r="B25" s="844"/>
      <c r="C25" s="844"/>
      <c r="D25" s="844"/>
      <c r="E25" s="844"/>
      <c r="F25" s="844"/>
      <c r="G25" s="844"/>
      <c r="H25" s="844"/>
      <c r="I25" s="844"/>
      <c r="J25" s="844"/>
      <c r="K25" s="844"/>
      <c r="L25" s="938" t="s">
        <v>126</v>
      </c>
      <c r="M25" s="958" t="s">
        <v>1373</v>
      </c>
      <c r="N25" s="232" t="s">
        <v>370</v>
      </c>
      <c r="O25" s="959"/>
      <c r="P25" s="959"/>
      <c r="Q25" s="959"/>
      <c r="R25" s="959"/>
      <c r="S25" s="959"/>
      <c r="T25" s="959"/>
      <c r="U25" s="959"/>
      <c r="V25" s="959"/>
      <c r="W25" s="959"/>
      <c r="X25" s="959"/>
      <c r="Y25" s="959"/>
      <c r="Z25" s="959"/>
      <c r="AA25" s="959"/>
      <c r="AB25" s="959"/>
      <c r="AC25" s="959"/>
      <c r="AD25" s="959"/>
      <c r="AE25" s="959"/>
      <c r="AF25" s="959"/>
      <c r="AG25" s="959"/>
      <c r="AH25" s="959"/>
      <c r="AI25" s="959"/>
      <c r="AJ25" s="959"/>
      <c r="AK25" s="959"/>
      <c r="AL25" s="959"/>
      <c r="AM25" s="868"/>
    </row>
    <row r="26" spans="1:39">
      <c r="A26" s="895">
        <v>1</v>
      </c>
      <c r="B26" s="930"/>
      <c r="C26" s="930"/>
      <c r="D26" s="930"/>
      <c r="E26" s="930"/>
      <c r="F26" s="930"/>
      <c r="G26" s="930"/>
      <c r="H26" s="930"/>
      <c r="I26" s="930"/>
      <c r="J26" s="930"/>
      <c r="K26" s="930"/>
      <c r="L26" s="961">
        <v>9</v>
      </c>
      <c r="M26" s="958" t="s">
        <v>434</v>
      </c>
      <c r="N26" s="232" t="s">
        <v>370</v>
      </c>
      <c r="O26" s="963">
        <v>0</v>
      </c>
      <c r="P26" s="963">
        <v>324.33</v>
      </c>
      <c r="Q26" s="963">
        <v>0.08</v>
      </c>
      <c r="R26" s="963">
        <v>246.72</v>
      </c>
      <c r="S26" s="963">
        <v>111.73</v>
      </c>
      <c r="T26" s="963">
        <v>0</v>
      </c>
      <c r="U26" s="963">
        <v>0</v>
      </c>
      <c r="V26" s="963">
        <v>0</v>
      </c>
      <c r="W26" s="963">
        <v>0</v>
      </c>
      <c r="X26" s="963">
        <v>0</v>
      </c>
      <c r="Y26" s="963">
        <v>0</v>
      </c>
      <c r="Z26" s="963">
        <v>0</v>
      </c>
      <c r="AA26" s="963">
        <v>0</v>
      </c>
      <c r="AB26" s="963">
        <v>0</v>
      </c>
      <c r="AC26" s="963">
        <v>104.13000000000001</v>
      </c>
      <c r="AD26" s="963">
        <v>0</v>
      </c>
      <c r="AE26" s="963">
        <v>0</v>
      </c>
      <c r="AF26" s="963">
        <v>0</v>
      </c>
      <c r="AG26" s="963">
        <v>0</v>
      </c>
      <c r="AH26" s="963">
        <v>0</v>
      </c>
      <c r="AI26" s="963">
        <v>0</v>
      </c>
      <c r="AJ26" s="963">
        <v>0</v>
      </c>
      <c r="AK26" s="963">
        <v>0</v>
      </c>
      <c r="AL26" s="963">
        <v>0</v>
      </c>
      <c r="AM26" s="868"/>
    </row>
    <row r="27" spans="1:39" ht="0.2" customHeight="1">
      <c r="A27" s="895">
        <v>1</v>
      </c>
      <c r="B27" s="930"/>
      <c r="C27" s="930"/>
      <c r="D27" s="930"/>
      <c r="E27" s="930"/>
      <c r="F27" s="930"/>
      <c r="G27" s="930"/>
      <c r="H27" s="930"/>
      <c r="I27" s="930"/>
      <c r="J27" s="930"/>
      <c r="K27" s="930"/>
      <c r="L27" s="961">
        <v>9</v>
      </c>
      <c r="M27" s="231"/>
      <c r="N27" s="232"/>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2"/>
    </row>
    <row r="28" spans="1:39" s="82" customFormat="1" ht="14.25">
      <c r="A28" s="887" t="s">
        <v>18</v>
      </c>
      <c r="B28" s="844"/>
      <c r="C28" s="844"/>
      <c r="D28" s="844"/>
      <c r="E28" s="844"/>
      <c r="F28" s="844"/>
      <c r="G28" s="844"/>
      <c r="H28" s="844"/>
      <c r="I28" s="844"/>
      <c r="J28" s="844"/>
      <c r="K28" s="724"/>
      <c r="L28" s="938" t="s">
        <v>1300</v>
      </c>
      <c r="M28" s="964" t="s">
        <v>434</v>
      </c>
      <c r="N28" s="232" t="s">
        <v>370</v>
      </c>
      <c r="O28" s="959"/>
      <c r="P28" s="960">
        <v>324.33</v>
      </c>
      <c r="Q28" s="960">
        <v>0.08</v>
      </c>
      <c r="R28" s="960">
        <v>246.72</v>
      </c>
      <c r="S28" s="960">
        <v>111.73</v>
      </c>
      <c r="T28" s="960"/>
      <c r="U28" s="960"/>
      <c r="V28" s="960"/>
      <c r="W28" s="960"/>
      <c r="X28" s="960"/>
      <c r="Y28" s="960"/>
      <c r="Z28" s="960"/>
      <c r="AA28" s="960"/>
      <c r="AB28" s="960"/>
      <c r="AC28" s="960">
        <v>104.13000000000001</v>
      </c>
      <c r="AD28" s="960"/>
      <c r="AE28" s="960"/>
      <c r="AF28" s="960"/>
      <c r="AG28" s="960"/>
      <c r="AH28" s="960"/>
      <c r="AI28" s="960"/>
      <c r="AJ28" s="960"/>
      <c r="AK28" s="960"/>
      <c r="AL28" s="960"/>
      <c r="AM28" s="868"/>
    </row>
    <row r="29" spans="1:39">
      <c r="A29" s="930"/>
      <c r="B29" s="930"/>
      <c r="C29" s="930"/>
      <c r="D29" s="930"/>
      <c r="E29" s="930"/>
      <c r="F29" s="930"/>
      <c r="G29" s="930"/>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row>
    <row r="30" spans="1:39" s="88" customFormat="1" ht="15" customHeight="1">
      <c r="A30" s="851"/>
      <c r="B30" s="851"/>
      <c r="C30" s="851"/>
      <c r="D30" s="851"/>
      <c r="E30" s="851"/>
      <c r="F30" s="851"/>
      <c r="G30" s="851"/>
      <c r="H30" s="851"/>
      <c r="I30" s="851"/>
      <c r="J30" s="851"/>
      <c r="K30" s="851"/>
      <c r="L30" s="891" t="s">
        <v>1402</v>
      </c>
      <c r="M30" s="891"/>
      <c r="N30" s="891"/>
      <c r="O30" s="891"/>
      <c r="P30" s="891"/>
      <c r="Q30" s="891"/>
      <c r="R30" s="891"/>
      <c r="S30" s="892"/>
      <c r="T30" s="892"/>
      <c r="U30" s="892"/>
      <c r="V30" s="892"/>
      <c r="W30" s="892"/>
      <c r="X30" s="892"/>
      <c r="Y30" s="892"/>
      <c r="Z30" s="892"/>
      <c r="AA30" s="892"/>
      <c r="AB30" s="892"/>
      <c r="AC30" s="892"/>
      <c r="AD30" s="892"/>
      <c r="AE30" s="892"/>
      <c r="AF30" s="892"/>
      <c r="AG30" s="892"/>
      <c r="AH30" s="892"/>
      <c r="AI30" s="892"/>
      <c r="AJ30" s="892"/>
      <c r="AK30" s="892"/>
      <c r="AL30" s="892"/>
      <c r="AM30" s="892"/>
    </row>
    <row r="31" spans="1:39" s="88" customFormat="1" ht="77.25" customHeight="1">
      <c r="A31" s="851"/>
      <c r="B31" s="851"/>
      <c r="C31" s="851"/>
      <c r="D31" s="851"/>
      <c r="E31" s="851"/>
      <c r="F31" s="851"/>
      <c r="G31" s="851"/>
      <c r="H31" s="851"/>
      <c r="I31" s="851"/>
      <c r="J31" s="851"/>
      <c r="K31" s="724"/>
      <c r="L31" s="908" t="s">
        <v>2535</v>
      </c>
      <c r="M31" s="893"/>
      <c r="N31" s="893"/>
      <c r="O31" s="893"/>
      <c r="P31" s="893"/>
      <c r="Q31" s="893"/>
      <c r="R31" s="893"/>
      <c r="S31" s="894"/>
      <c r="T31" s="894"/>
      <c r="U31" s="894"/>
      <c r="V31" s="894"/>
      <c r="W31" s="894"/>
      <c r="X31" s="894"/>
      <c r="Y31" s="894"/>
      <c r="Z31" s="894"/>
      <c r="AA31" s="894"/>
      <c r="AB31" s="894"/>
      <c r="AC31" s="894"/>
      <c r="AD31" s="894"/>
      <c r="AE31" s="894"/>
      <c r="AF31" s="894"/>
      <c r="AG31" s="894"/>
      <c r="AH31" s="894"/>
      <c r="AI31" s="894"/>
      <c r="AJ31" s="894"/>
      <c r="AK31" s="894"/>
      <c r="AL31" s="894"/>
      <c r="AM31" s="894"/>
    </row>
  </sheetData>
  <sheetProtection formatColumns="0" formatRows="0" autoFilter="0"/>
  <mergeCells count="6">
    <mergeCell ref="L30:AM30"/>
    <mergeCell ref="L31:AM31"/>
    <mergeCell ref="L14:L15"/>
    <mergeCell ref="M14:M15"/>
    <mergeCell ref="N14:N15"/>
    <mergeCell ref="AM14:AM15"/>
  </mergeCells>
  <dataValidations count="3">
    <dataValidation allowBlank="1" showInputMessage="1" showErrorMessage="1" sqref="S27:AL27 S29:AM65487"/>
    <dataValidation type="textLength" operator="lessThanOrEqual" allowBlank="1" showInputMessage="1" showErrorMessage="1" errorTitle="Ошибка" error="Допускается ввод не более 900 символов!" sqref="AM17:AM26 AM28">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8"/>
  <sheetViews>
    <sheetView showGridLines="0" view="pageBreakPreview" topLeftCell="A11" zoomScale="60" zoomScaleNormal="100" workbookViewId="0">
      <pane xSplit="14" ySplit="7" topLeftCell="O47" activePane="bottomRight" state="frozen"/>
      <selection activeCell="M11" sqref="M11"/>
      <selection pane="topRight" activeCell="M11" sqref="M11"/>
      <selection pane="bottomLeft" activeCell="M11" sqref="M11"/>
      <selection pane="bottomRight"/>
    </sheetView>
  </sheetViews>
  <sheetFormatPr defaultColWidth="8.85546875" defaultRowHeight="11.25"/>
  <cols>
    <col min="1" max="10" width="8.85546875" style="102" hidden="1" customWidth="1"/>
    <col min="11" max="11" width="3.7109375" style="102" hidden="1" customWidth="1"/>
    <col min="12" max="12" width="8" style="102" customWidth="1"/>
    <col min="13" max="13" width="54.7109375" style="102" customWidth="1"/>
    <col min="14" max="14" width="11.85546875" style="102" customWidth="1"/>
    <col min="15" max="15" width="14.85546875" style="102" customWidth="1"/>
    <col min="16" max="16" width="13.28515625" style="102" customWidth="1"/>
    <col min="17" max="17" width="15" style="102" customWidth="1"/>
    <col min="18" max="18" width="15.140625" style="102" customWidth="1"/>
    <col min="19" max="19" width="15" style="102" customWidth="1"/>
    <col min="20" max="21" width="13.28515625" style="102" customWidth="1"/>
    <col min="22" max="30" width="13.28515625" style="102" hidden="1" customWidth="1"/>
    <col min="31" max="31" width="13.28515625" style="102" customWidth="1"/>
    <col min="32" max="40" width="13.28515625" style="102" hidden="1" customWidth="1"/>
    <col min="41" max="41" width="21.28515625" style="102" customWidth="1"/>
    <col min="42" max="16384" width="8.85546875" style="102"/>
  </cols>
  <sheetData>
    <row r="1" spans="1:41" hidden="1">
      <c r="A1" s="965"/>
      <c r="B1" s="965"/>
      <c r="C1" s="965"/>
      <c r="D1" s="965"/>
      <c r="E1" s="965"/>
      <c r="F1" s="965"/>
      <c r="G1" s="965"/>
      <c r="H1" s="965"/>
      <c r="I1" s="965"/>
      <c r="J1" s="965"/>
      <c r="K1" s="965"/>
      <c r="L1" s="965"/>
      <c r="M1" s="965"/>
      <c r="N1" s="965"/>
      <c r="O1" s="965"/>
      <c r="P1" s="965"/>
      <c r="Q1" s="965"/>
      <c r="R1" s="965"/>
      <c r="S1" s="965"/>
      <c r="T1" s="965"/>
      <c r="U1" s="851">
        <v>2024</v>
      </c>
      <c r="V1" s="851">
        <v>2025</v>
      </c>
      <c r="W1" s="851">
        <v>2026</v>
      </c>
      <c r="X1" s="851">
        <v>2027</v>
      </c>
      <c r="Y1" s="851">
        <v>2028</v>
      </c>
      <c r="Z1" s="851">
        <v>2029</v>
      </c>
      <c r="AA1" s="851">
        <v>2030</v>
      </c>
      <c r="AB1" s="851">
        <v>2031</v>
      </c>
      <c r="AC1" s="851">
        <v>2032</v>
      </c>
      <c r="AD1" s="851">
        <v>2033</v>
      </c>
      <c r="AE1" s="851">
        <v>2024</v>
      </c>
      <c r="AF1" s="851">
        <v>2025</v>
      </c>
      <c r="AG1" s="851">
        <v>2026</v>
      </c>
      <c r="AH1" s="851">
        <v>2027</v>
      </c>
      <c r="AI1" s="851">
        <v>2028</v>
      </c>
      <c r="AJ1" s="851">
        <v>2029</v>
      </c>
      <c r="AK1" s="851">
        <v>2030</v>
      </c>
      <c r="AL1" s="851">
        <v>2031</v>
      </c>
      <c r="AM1" s="851">
        <v>2032</v>
      </c>
      <c r="AN1" s="851">
        <v>2033</v>
      </c>
      <c r="AO1" s="965"/>
    </row>
    <row r="2" spans="1:41" hidden="1">
      <c r="A2" s="965"/>
      <c r="B2" s="965"/>
      <c r="C2" s="965"/>
      <c r="D2" s="965"/>
      <c r="E2" s="965"/>
      <c r="F2" s="965"/>
      <c r="G2" s="965"/>
      <c r="H2" s="965"/>
      <c r="I2" s="965"/>
      <c r="J2" s="965"/>
      <c r="K2" s="965"/>
      <c r="L2" s="965"/>
      <c r="M2" s="965"/>
      <c r="N2" s="965"/>
      <c r="O2" s="965"/>
      <c r="P2" s="965"/>
      <c r="Q2" s="965"/>
      <c r="R2" s="965"/>
      <c r="S2" s="965"/>
      <c r="T2" s="965"/>
      <c r="U2" s="851"/>
      <c r="V2" s="851"/>
      <c r="W2" s="851"/>
      <c r="X2" s="851"/>
      <c r="Y2" s="851"/>
      <c r="Z2" s="851"/>
      <c r="AA2" s="851"/>
      <c r="AB2" s="851"/>
      <c r="AC2" s="851"/>
      <c r="AD2" s="851"/>
      <c r="AE2" s="851"/>
      <c r="AF2" s="851"/>
      <c r="AG2" s="851"/>
      <c r="AH2" s="851"/>
      <c r="AI2" s="851"/>
      <c r="AJ2" s="851"/>
      <c r="AK2" s="851"/>
      <c r="AL2" s="851"/>
      <c r="AM2" s="851"/>
      <c r="AN2" s="851"/>
      <c r="AO2" s="965"/>
    </row>
    <row r="3" spans="1:41" hidden="1">
      <c r="A3" s="965"/>
      <c r="B3" s="965"/>
      <c r="C3" s="965"/>
      <c r="D3" s="965"/>
      <c r="E3" s="965"/>
      <c r="F3" s="965"/>
      <c r="G3" s="965"/>
      <c r="H3" s="965"/>
      <c r="I3" s="965"/>
      <c r="J3" s="965"/>
      <c r="K3" s="965"/>
      <c r="L3" s="965"/>
      <c r="M3" s="965"/>
      <c r="N3" s="965"/>
      <c r="O3" s="965"/>
      <c r="P3" s="965"/>
      <c r="Q3" s="965"/>
      <c r="R3" s="965"/>
      <c r="S3" s="965"/>
      <c r="T3" s="965"/>
      <c r="U3" s="851"/>
      <c r="V3" s="851"/>
      <c r="W3" s="851"/>
      <c r="X3" s="851"/>
      <c r="Y3" s="851"/>
      <c r="Z3" s="851"/>
      <c r="AA3" s="851"/>
      <c r="AB3" s="851"/>
      <c r="AC3" s="851"/>
      <c r="AD3" s="851"/>
      <c r="AE3" s="851"/>
      <c r="AF3" s="851"/>
      <c r="AG3" s="851"/>
      <c r="AH3" s="851"/>
      <c r="AI3" s="851"/>
      <c r="AJ3" s="851"/>
      <c r="AK3" s="851"/>
      <c r="AL3" s="851"/>
      <c r="AM3" s="851"/>
      <c r="AN3" s="851"/>
      <c r="AO3" s="965"/>
    </row>
    <row r="4" spans="1:41" hidden="1">
      <c r="A4" s="965"/>
      <c r="B4" s="965"/>
      <c r="C4" s="965"/>
      <c r="D4" s="965"/>
      <c r="E4" s="965"/>
      <c r="F4" s="965"/>
      <c r="G4" s="965"/>
      <c r="H4" s="965"/>
      <c r="I4" s="965"/>
      <c r="J4" s="965"/>
      <c r="K4" s="965"/>
      <c r="L4" s="965"/>
      <c r="M4" s="965"/>
      <c r="N4" s="965"/>
      <c r="O4" s="965"/>
      <c r="P4" s="965"/>
      <c r="Q4" s="965"/>
      <c r="R4" s="965"/>
      <c r="S4" s="965"/>
      <c r="T4" s="965"/>
      <c r="U4" s="851"/>
      <c r="V4" s="851"/>
      <c r="W4" s="851"/>
      <c r="X4" s="851"/>
      <c r="Y4" s="851"/>
      <c r="Z4" s="851"/>
      <c r="AA4" s="851"/>
      <c r="AB4" s="851"/>
      <c r="AC4" s="851"/>
      <c r="AD4" s="851"/>
      <c r="AE4" s="851"/>
      <c r="AF4" s="851"/>
      <c r="AG4" s="851"/>
      <c r="AH4" s="851"/>
      <c r="AI4" s="851"/>
      <c r="AJ4" s="851"/>
      <c r="AK4" s="851"/>
      <c r="AL4" s="851"/>
      <c r="AM4" s="851"/>
      <c r="AN4" s="851"/>
      <c r="AO4" s="965"/>
    </row>
    <row r="5" spans="1:41" hidden="1">
      <c r="A5" s="965"/>
      <c r="B5" s="965"/>
      <c r="C5" s="965"/>
      <c r="D5" s="965"/>
      <c r="E5" s="965"/>
      <c r="F5" s="965"/>
      <c r="G5" s="965"/>
      <c r="H5" s="965"/>
      <c r="I5" s="965"/>
      <c r="J5" s="965"/>
      <c r="K5" s="965"/>
      <c r="L5" s="965"/>
      <c r="M5" s="965"/>
      <c r="N5" s="965"/>
      <c r="O5" s="965"/>
      <c r="P5" s="965"/>
      <c r="Q5" s="965"/>
      <c r="R5" s="965"/>
      <c r="S5" s="965"/>
      <c r="T5" s="965"/>
      <c r="U5" s="851"/>
      <c r="V5" s="851"/>
      <c r="W5" s="851"/>
      <c r="X5" s="851"/>
      <c r="Y5" s="851"/>
      <c r="Z5" s="851"/>
      <c r="AA5" s="851"/>
      <c r="AB5" s="851"/>
      <c r="AC5" s="851"/>
      <c r="AD5" s="851"/>
      <c r="AE5" s="851"/>
      <c r="AF5" s="851"/>
      <c r="AG5" s="851"/>
      <c r="AH5" s="851"/>
      <c r="AI5" s="851"/>
      <c r="AJ5" s="851"/>
      <c r="AK5" s="851"/>
      <c r="AL5" s="851"/>
      <c r="AM5" s="851"/>
      <c r="AN5" s="851"/>
      <c r="AO5" s="965"/>
    </row>
    <row r="6" spans="1:41" hidden="1">
      <c r="A6" s="965"/>
      <c r="B6" s="965"/>
      <c r="C6" s="965"/>
      <c r="D6" s="965"/>
      <c r="E6" s="965"/>
      <c r="F6" s="965"/>
      <c r="G6" s="965"/>
      <c r="H6" s="965"/>
      <c r="I6" s="965"/>
      <c r="J6" s="965"/>
      <c r="K6" s="965"/>
      <c r="L6" s="965"/>
      <c r="M6" s="965"/>
      <c r="N6" s="965"/>
      <c r="O6" s="965"/>
      <c r="P6" s="965"/>
      <c r="Q6" s="965"/>
      <c r="R6" s="965"/>
      <c r="S6" s="965"/>
      <c r="T6" s="965"/>
      <c r="U6" s="851"/>
      <c r="V6" s="851"/>
      <c r="W6" s="851"/>
      <c r="X6" s="851"/>
      <c r="Y6" s="851"/>
      <c r="Z6" s="851"/>
      <c r="AA6" s="851"/>
      <c r="AB6" s="851"/>
      <c r="AC6" s="851"/>
      <c r="AD6" s="851"/>
      <c r="AE6" s="851"/>
      <c r="AF6" s="851"/>
      <c r="AG6" s="851"/>
      <c r="AH6" s="851"/>
      <c r="AI6" s="851"/>
      <c r="AJ6" s="851"/>
      <c r="AK6" s="851"/>
      <c r="AL6" s="851"/>
      <c r="AM6" s="851"/>
      <c r="AN6" s="851"/>
      <c r="AO6" s="965"/>
    </row>
    <row r="7" spans="1:41" hidden="1">
      <c r="A7" s="965"/>
      <c r="B7" s="965"/>
      <c r="C7" s="965"/>
      <c r="D7" s="965"/>
      <c r="E7" s="965"/>
      <c r="F7" s="965"/>
      <c r="G7" s="965"/>
      <c r="H7" s="965"/>
      <c r="I7" s="965"/>
      <c r="J7" s="965"/>
      <c r="K7" s="965"/>
      <c r="L7" s="965"/>
      <c r="M7" s="965"/>
      <c r="N7" s="965"/>
      <c r="O7" s="965"/>
      <c r="P7" s="965"/>
      <c r="Q7" s="965"/>
      <c r="R7" s="965"/>
      <c r="S7" s="965"/>
      <c r="T7" s="965"/>
      <c r="U7" s="800" t="b">
        <v>1</v>
      </c>
      <c r="V7" s="800" t="b">
        <v>0</v>
      </c>
      <c r="W7" s="800" t="b">
        <v>0</v>
      </c>
      <c r="X7" s="800" t="b">
        <v>0</v>
      </c>
      <c r="Y7" s="800" t="b">
        <v>0</v>
      </c>
      <c r="Z7" s="800" t="b">
        <v>0</v>
      </c>
      <c r="AA7" s="800" t="b">
        <v>0</v>
      </c>
      <c r="AB7" s="800" t="b">
        <v>0</v>
      </c>
      <c r="AC7" s="800" t="b">
        <v>0</v>
      </c>
      <c r="AD7" s="800" t="b">
        <v>0</v>
      </c>
      <c r="AE7" s="800" t="b">
        <v>1</v>
      </c>
      <c r="AF7" s="800" t="b">
        <v>0</v>
      </c>
      <c r="AG7" s="800" t="b">
        <v>0</v>
      </c>
      <c r="AH7" s="800" t="b">
        <v>0</v>
      </c>
      <c r="AI7" s="800" t="b">
        <v>0</v>
      </c>
      <c r="AJ7" s="800" t="b">
        <v>0</v>
      </c>
      <c r="AK7" s="800" t="b">
        <v>0</v>
      </c>
      <c r="AL7" s="800" t="b">
        <v>0</v>
      </c>
      <c r="AM7" s="800" t="b">
        <v>0</v>
      </c>
      <c r="AN7" s="800" t="b">
        <v>0</v>
      </c>
      <c r="AO7" s="965"/>
    </row>
    <row r="8" spans="1:41" hidden="1">
      <c r="A8" s="965"/>
      <c r="B8" s="965"/>
      <c r="C8" s="965"/>
      <c r="D8" s="965"/>
      <c r="E8" s="965"/>
      <c r="F8" s="965"/>
      <c r="G8" s="965"/>
      <c r="H8" s="965"/>
      <c r="I8" s="965"/>
      <c r="J8" s="965"/>
      <c r="K8" s="965"/>
      <c r="L8" s="965"/>
      <c r="M8" s="965"/>
      <c r="N8" s="965"/>
      <c r="O8" s="965"/>
      <c r="P8" s="965"/>
      <c r="Q8" s="965"/>
      <c r="R8" s="965"/>
      <c r="S8" s="965"/>
      <c r="T8" s="965"/>
      <c r="U8" s="965"/>
      <c r="V8" s="965"/>
      <c r="W8" s="965"/>
      <c r="X8" s="965"/>
      <c r="Y8" s="965"/>
      <c r="Z8" s="965"/>
      <c r="AA8" s="965"/>
      <c r="AB8" s="965"/>
      <c r="AC8" s="965"/>
      <c r="AD8" s="965"/>
      <c r="AE8" s="965"/>
      <c r="AF8" s="965"/>
      <c r="AG8" s="965"/>
      <c r="AH8" s="965"/>
      <c r="AI8" s="965"/>
      <c r="AJ8" s="965"/>
      <c r="AK8" s="965"/>
      <c r="AL8" s="965"/>
      <c r="AM8" s="965"/>
      <c r="AN8" s="965"/>
      <c r="AO8" s="965"/>
    </row>
    <row r="9" spans="1:41" hidden="1">
      <c r="A9" s="965"/>
      <c r="B9" s="965"/>
      <c r="C9" s="965"/>
      <c r="D9" s="965"/>
      <c r="E9" s="965"/>
      <c r="F9" s="965"/>
      <c r="G9" s="965"/>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5"/>
      <c r="AK9" s="965"/>
      <c r="AL9" s="965"/>
      <c r="AM9" s="965"/>
      <c r="AN9" s="965"/>
      <c r="AO9" s="965"/>
    </row>
    <row r="10" spans="1:41" hidden="1">
      <c r="A10" s="965"/>
      <c r="B10" s="965"/>
      <c r="C10" s="965"/>
      <c r="D10" s="965"/>
      <c r="E10" s="965"/>
      <c r="F10" s="965"/>
      <c r="G10" s="965"/>
      <c r="H10" s="965"/>
      <c r="I10" s="965"/>
      <c r="J10" s="965"/>
      <c r="K10" s="965"/>
      <c r="L10" s="965"/>
      <c r="M10" s="965"/>
      <c r="N10" s="965"/>
      <c r="O10" s="965"/>
      <c r="P10" s="965"/>
      <c r="Q10" s="965"/>
      <c r="R10" s="965"/>
      <c r="S10" s="965"/>
      <c r="T10" s="965"/>
      <c r="U10" s="965"/>
      <c r="V10" s="965"/>
      <c r="W10" s="965"/>
      <c r="X10" s="965"/>
      <c r="Y10" s="965"/>
      <c r="Z10" s="965"/>
      <c r="AA10" s="965"/>
      <c r="AB10" s="965"/>
      <c r="AC10" s="965"/>
      <c r="AD10" s="965"/>
      <c r="AE10" s="965"/>
      <c r="AF10" s="965"/>
      <c r="AG10" s="965"/>
      <c r="AH10" s="965"/>
      <c r="AI10" s="965"/>
      <c r="AJ10" s="965"/>
      <c r="AK10" s="965"/>
      <c r="AL10" s="965"/>
      <c r="AM10" s="965"/>
      <c r="AN10" s="965"/>
      <c r="AO10" s="965"/>
    </row>
    <row r="11" spans="1:41" s="100" customFormat="1" ht="15" hidden="1" customHeight="1">
      <c r="A11" s="966"/>
      <c r="B11" s="966"/>
      <c r="C11" s="966"/>
      <c r="D11" s="966"/>
      <c r="E11" s="966"/>
      <c r="F11" s="966"/>
      <c r="G11" s="966"/>
      <c r="H11" s="966"/>
      <c r="I11" s="966"/>
      <c r="J11" s="966"/>
      <c r="K11" s="966"/>
      <c r="L11" s="966"/>
      <c r="M11" s="967"/>
      <c r="N11" s="966"/>
      <c r="O11" s="966"/>
      <c r="P11" s="966"/>
      <c r="Q11" s="966"/>
      <c r="R11" s="966"/>
      <c r="S11" s="966"/>
      <c r="T11" s="966"/>
      <c r="U11" s="966"/>
      <c r="V11" s="966"/>
      <c r="W11" s="966"/>
      <c r="X11" s="966"/>
      <c r="Y11" s="966"/>
      <c r="Z11" s="966"/>
      <c r="AA11" s="966"/>
      <c r="AB11" s="966"/>
      <c r="AC11" s="966"/>
      <c r="AD11" s="966"/>
      <c r="AE11" s="966"/>
      <c r="AF11" s="966"/>
      <c r="AG11" s="966"/>
      <c r="AH11" s="966"/>
      <c r="AI11" s="966"/>
      <c r="AJ11" s="966"/>
      <c r="AK11" s="966"/>
      <c r="AL11" s="966"/>
      <c r="AM11" s="966"/>
      <c r="AN11" s="966"/>
      <c r="AO11" s="966"/>
    </row>
    <row r="12" spans="1:41" s="100" customFormat="1" ht="20.100000000000001" customHeight="1">
      <c r="A12" s="966"/>
      <c r="B12" s="966"/>
      <c r="C12" s="966"/>
      <c r="D12" s="966"/>
      <c r="E12" s="966"/>
      <c r="F12" s="966"/>
      <c r="G12" s="966"/>
      <c r="H12" s="966"/>
      <c r="I12" s="966"/>
      <c r="J12" s="966"/>
      <c r="K12" s="966"/>
      <c r="L12" s="484" t="s">
        <v>1285</v>
      </c>
      <c r="M12" s="265"/>
      <c r="N12" s="265"/>
      <c r="O12" s="265"/>
      <c r="P12" s="265"/>
      <c r="Q12" s="265"/>
      <c r="R12" s="265"/>
      <c r="S12" s="265"/>
      <c r="T12" s="265"/>
      <c r="U12" s="265"/>
      <c r="V12" s="265"/>
      <c r="W12" s="265"/>
      <c r="X12" s="265"/>
      <c r="Y12" s="265"/>
      <c r="Z12" s="265"/>
      <c r="AA12" s="265"/>
      <c r="AB12" s="265"/>
      <c r="AC12" s="265"/>
      <c r="AD12" s="265"/>
      <c r="AE12" s="265"/>
      <c r="AF12" s="266"/>
      <c r="AG12" s="266"/>
      <c r="AH12" s="266"/>
      <c r="AI12" s="266"/>
      <c r="AJ12" s="266"/>
      <c r="AK12" s="266"/>
      <c r="AL12" s="266"/>
      <c r="AM12" s="266"/>
      <c r="AN12" s="266"/>
      <c r="AO12" s="266"/>
    </row>
    <row r="13" spans="1:41" s="100" customFormat="1" ht="11.25" hidden="1" customHeight="1">
      <c r="A13" s="966"/>
      <c r="B13" s="966"/>
      <c r="C13" s="966"/>
      <c r="D13" s="966"/>
      <c r="E13" s="966"/>
      <c r="F13" s="966"/>
      <c r="G13" s="966"/>
      <c r="H13" s="966"/>
      <c r="I13" s="966"/>
      <c r="J13" s="966"/>
      <c r="K13" s="966"/>
      <c r="L13" s="966"/>
      <c r="M13" s="966"/>
      <c r="N13" s="966"/>
      <c r="O13" s="966"/>
      <c r="P13" s="966"/>
      <c r="Q13" s="966"/>
      <c r="R13" s="966"/>
      <c r="S13" s="966"/>
      <c r="T13" s="966"/>
      <c r="U13" s="966"/>
      <c r="V13" s="966"/>
      <c r="W13" s="966"/>
      <c r="X13" s="966"/>
      <c r="Y13" s="966"/>
      <c r="Z13" s="966"/>
      <c r="AA13" s="966"/>
      <c r="AB13" s="966"/>
      <c r="AC13" s="966"/>
      <c r="AD13" s="966"/>
      <c r="AE13" s="966"/>
      <c r="AF13" s="966"/>
      <c r="AG13" s="966"/>
      <c r="AH13" s="966"/>
      <c r="AI13" s="966"/>
      <c r="AJ13" s="966"/>
      <c r="AK13" s="966"/>
      <c r="AL13" s="966"/>
      <c r="AM13" s="966"/>
      <c r="AN13" s="966"/>
      <c r="AO13" s="966"/>
    </row>
    <row r="14" spans="1:41" s="100" customFormat="1" ht="22.5" hidden="1" customHeight="1">
      <c r="A14" s="966"/>
      <c r="B14" s="966"/>
      <c r="C14" s="966"/>
      <c r="D14" s="966"/>
      <c r="E14" s="966"/>
      <c r="F14" s="966"/>
      <c r="G14" s="966"/>
      <c r="H14" s="966"/>
      <c r="I14" s="966"/>
      <c r="J14" s="966"/>
      <c r="K14" s="966"/>
      <c r="L14" s="968" t="s">
        <v>1331</v>
      </c>
      <c r="M14" s="968"/>
      <c r="N14" s="969" t="s">
        <v>21</v>
      </c>
      <c r="O14" s="966"/>
      <c r="P14" s="966"/>
      <c r="Q14" s="966"/>
      <c r="R14" s="966"/>
      <c r="S14" s="966"/>
      <c r="T14" s="966"/>
      <c r="U14" s="966"/>
      <c r="V14" s="966"/>
      <c r="W14" s="966"/>
      <c r="X14" s="966"/>
      <c r="Y14" s="966"/>
      <c r="Z14" s="966"/>
      <c r="AA14" s="966"/>
      <c r="AB14" s="966"/>
      <c r="AC14" s="966"/>
      <c r="AD14" s="966"/>
      <c r="AE14" s="966"/>
      <c r="AF14" s="966"/>
      <c r="AG14" s="966"/>
      <c r="AH14" s="966"/>
      <c r="AI14" s="966"/>
      <c r="AJ14" s="966"/>
      <c r="AK14" s="966"/>
      <c r="AL14" s="966"/>
      <c r="AM14" s="966"/>
      <c r="AN14" s="966"/>
      <c r="AO14" s="966"/>
    </row>
    <row r="15" spans="1:41" s="100" customFormat="1" ht="11.25" customHeight="1">
      <c r="A15" s="966"/>
      <c r="B15" s="966"/>
      <c r="C15" s="966"/>
      <c r="D15" s="966"/>
      <c r="E15" s="966"/>
      <c r="F15" s="966"/>
      <c r="G15" s="966"/>
      <c r="H15" s="966"/>
      <c r="I15" s="966"/>
      <c r="J15" s="966"/>
      <c r="K15" s="966"/>
      <c r="L15" s="966"/>
      <c r="M15" s="966"/>
      <c r="N15" s="966"/>
      <c r="O15" s="966"/>
      <c r="P15" s="966"/>
      <c r="Q15" s="966"/>
      <c r="R15" s="966"/>
      <c r="S15" s="966"/>
      <c r="T15" s="966"/>
      <c r="U15" s="966"/>
      <c r="V15" s="966"/>
      <c r="W15" s="966"/>
      <c r="X15" s="966"/>
      <c r="Y15" s="966"/>
      <c r="Z15" s="966"/>
      <c r="AA15" s="966"/>
      <c r="AB15" s="966"/>
      <c r="AC15" s="966"/>
      <c r="AD15" s="966"/>
      <c r="AE15" s="966"/>
      <c r="AF15" s="966"/>
      <c r="AG15" s="966"/>
      <c r="AH15" s="966"/>
      <c r="AI15" s="966"/>
      <c r="AJ15" s="966"/>
      <c r="AK15" s="966"/>
      <c r="AL15" s="966"/>
      <c r="AM15" s="966"/>
      <c r="AN15" s="966"/>
      <c r="AO15" s="966"/>
    </row>
    <row r="16" spans="1:41" s="100" customFormat="1" ht="15" customHeight="1">
      <c r="A16" s="966"/>
      <c r="B16" s="966"/>
      <c r="C16" s="966"/>
      <c r="D16" s="966"/>
      <c r="E16" s="966"/>
      <c r="F16" s="966"/>
      <c r="G16" s="966"/>
      <c r="H16" s="966"/>
      <c r="I16" s="966"/>
      <c r="J16" s="966"/>
      <c r="K16" s="966"/>
      <c r="L16" s="815" t="s">
        <v>16</v>
      </c>
      <c r="M16" s="970" t="s">
        <v>435</v>
      </c>
      <c r="N16" s="970" t="s">
        <v>143</v>
      </c>
      <c r="O16" s="971" t="s">
        <v>2567</v>
      </c>
      <c r="P16" s="971" t="s">
        <v>2567</v>
      </c>
      <c r="Q16" s="971" t="s">
        <v>2567</v>
      </c>
      <c r="R16" s="971" t="s">
        <v>2567</v>
      </c>
      <c r="S16" s="972" t="s">
        <v>2568</v>
      </c>
      <c r="T16" s="972" t="s">
        <v>2568</v>
      </c>
      <c r="U16" s="817" t="s">
        <v>2569</v>
      </c>
      <c r="V16" s="817" t="s">
        <v>2598</v>
      </c>
      <c r="W16" s="817" t="s">
        <v>2599</v>
      </c>
      <c r="X16" s="817" t="s">
        <v>2600</v>
      </c>
      <c r="Y16" s="817" t="s">
        <v>2601</v>
      </c>
      <c r="Z16" s="817" t="s">
        <v>2602</v>
      </c>
      <c r="AA16" s="817" t="s">
        <v>2603</v>
      </c>
      <c r="AB16" s="817" t="s">
        <v>2604</v>
      </c>
      <c r="AC16" s="817" t="s">
        <v>2605</v>
      </c>
      <c r="AD16" s="817" t="s">
        <v>2606</v>
      </c>
      <c r="AE16" s="817" t="s">
        <v>2569</v>
      </c>
      <c r="AF16" s="817" t="s">
        <v>2598</v>
      </c>
      <c r="AG16" s="817" t="s">
        <v>2599</v>
      </c>
      <c r="AH16" s="817" t="s">
        <v>2600</v>
      </c>
      <c r="AI16" s="817" t="s">
        <v>2601</v>
      </c>
      <c r="AJ16" s="817" t="s">
        <v>2602</v>
      </c>
      <c r="AK16" s="817" t="s">
        <v>2603</v>
      </c>
      <c r="AL16" s="817" t="s">
        <v>2604</v>
      </c>
      <c r="AM16" s="817" t="s">
        <v>2605</v>
      </c>
      <c r="AN16" s="817" t="s">
        <v>2606</v>
      </c>
      <c r="AO16" s="973" t="s">
        <v>323</v>
      </c>
    </row>
    <row r="17" spans="1:41" s="101" customFormat="1" ht="126" customHeight="1">
      <c r="A17" s="974"/>
      <c r="B17" s="974"/>
      <c r="C17" s="974"/>
      <c r="D17" s="974"/>
      <c r="E17" s="974"/>
      <c r="F17" s="974"/>
      <c r="G17" s="974"/>
      <c r="H17" s="974"/>
      <c r="I17" s="974"/>
      <c r="J17" s="974"/>
      <c r="K17" s="974"/>
      <c r="L17" s="815"/>
      <c r="M17" s="970"/>
      <c r="N17" s="970"/>
      <c r="O17" s="971" t="s">
        <v>1197</v>
      </c>
      <c r="P17" s="975" t="s">
        <v>286</v>
      </c>
      <c r="Q17" s="975" t="s">
        <v>436</v>
      </c>
      <c r="R17" s="975" t="s">
        <v>437</v>
      </c>
      <c r="S17" s="975" t="s">
        <v>1197</v>
      </c>
      <c r="T17" s="976" t="s">
        <v>286</v>
      </c>
      <c r="U17" s="860" t="s">
        <v>287</v>
      </c>
      <c r="V17" s="860" t="s">
        <v>287</v>
      </c>
      <c r="W17" s="860" t="s">
        <v>287</v>
      </c>
      <c r="X17" s="860" t="s">
        <v>287</v>
      </c>
      <c r="Y17" s="860" t="s">
        <v>287</v>
      </c>
      <c r="Z17" s="860" t="s">
        <v>287</v>
      </c>
      <c r="AA17" s="860" t="s">
        <v>287</v>
      </c>
      <c r="AB17" s="860" t="s">
        <v>287</v>
      </c>
      <c r="AC17" s="860" t="s">
        <v>287</v>
      </c>
      <c r="AD17" s="860" t="s">
        <v>287</v>
      </c>
      <c r="AE17" s="860" t="s">
        <v>286</v>
      </c>
      <c r="AF17" s="860" t="s">
        <v>286</v>
      </c>
      <c r="AG17" s="860" t="s">
        <v>286</v>
      </c>
      <c r="AH17" s="860" t="s">
        <v>286</v>
      </c>
      <c r="AI17" s="860" t="s">
        <v>286</v>
      </c>
      <c r="AJ17" s="860" t="s">
        <v>286</v>
      </c>
      <c r="AK17" s="860" t="s">
        <v>286</v>
      </c>
      <c r="AL17" s="860" t="s">
        <v>286</v>
      </c>
      <c r="AM17" s="860" t="s">
        <v>286</v>
      </c>
      <c r="AN17" s="860" t="s">
        <v>286</v>
      </c>
      <c r="AO17" s="973"/>
    </row>
    <row r="18" spans="1:41" s="278" customFormat="1" ht="22.5" hidden="1">
      <c r="A18" s="977"/>
      <c r="B18" s="965" t="b">
        <v>0</v>
      </c>
      <c r="C18" s="978"/>
      <c r="D18" s="978"/>
      <c r="E18" s="978"/>
      <c r="F18" s="978"/>
      <c r="G18" s="978"/>
      <c r="H18" s="978"/>
      <c r="I18" s="978"/>
      <c r="J18" s="978"/>
      <c r="K18" s="978"/>
      <c r="L18" s="276">
        <v>1</v>
      </c>
      <c r="M18" s="271" t="s">
        <v>438</v>
      </c>
      <c r="N18" s="277" t="s">
        <v>370</v>
      </c>
      <c r="O18" s="979">
        <v>0</v>
      </c>
      <c r="P18" s="979">
        <v>0</v>
      </c>
      <c r="Q18" s="979">
        <v>0</v>
      </c>
      <c r="R18" s="979">
        <v>0</v>
      </c>
      <c r="S18" s="979">
        <v>0</v>
      </c>
      <c r="T18" s="979">
        <v>0</v>
      </c>
      <c r="U18" s="979">
        <v>0</v>
      </c>
      <c r="V18" s="979">
        <v>0</v>
      </c>
      <c r="W18" s="979">
        <v>0</v>
      </c>
      <c r="X18" s="979">
        <v>0</v>
      </c>
      <c r="Y18" s="979">
        <v>0</v>
      </c>
      <c r="Z18" s="979">
        <v>0</v>
      </c>
      <c r="AA18" s="979">
        <v>0</v>
      </c>
      <c r="AB18" s="979">
        <v>0</v>
      </c>
      <c r="AC18" s="979">
        <v>0</v>
      </c>
      <c r="AD18" s="979">
        <v>0</v>
      </c>
      <c r="AE18" s="979">
        <v>0</v>
      </c>
      <c r="AF18" s="979">
        <v>0</v>
      </c>
      <c r="AG18" s="979">
        <v>0</v>
      </c>
      <c r="AH18" s="979">
        <v>0</v>
      </c>
      <c r="AI18" s="979">
        <v>0</v>
      </c>
      <c r="AJ18" s="979">
        <v>0</v>
      </c>
      <c r="AK18" s="979">
        <v>0</v>
      </c>
      <c r="AL18" s="979">
        <v>0</v>
      </c>
      <c r="AM18" s="979">
        <v>0</v>
      </c>
      <c r="AN18" s="979">
        <v>0</v>
      </c>
      <c r="AO18" s="868"/>
    </row>
    <row r="19" spans="1:41" hidden="1">
      <c r="A19" s="977"/>
      <c r="B19" s="965" t="b">
        <v>0</v>
      </c>
      <c r="C19" s="965"/>
      <c r="D19" s="965"/>
      <c r="E19" s="965"/>
      <c r="F19" s="965"/>
      <c r="G19" s="965"/>
      <c r="H19" s="965"/>
      <c r="I19" s="965"/>
      <c r="J19" s="965"/>
      <c r="K19" s="965"/>
      <c r="L19" s="273" t="s">
        <v>165</v>
      </c>
      <c r="M19" s="274" t="s">
        <v>439</v>
      </c>
      <c r="N19" s="270" t="s">
        <v>370</v>
      </c>
      <c r="O19" s="980">
        <v>0</v>
      </c>
      <c r="P19" s="980">
        <v>0</v>
      </c>
      <c r="Q19" s="980">
        <v>0</v>
      </c>
      <c r="R19" s="980">
        <v>0</v>
      </c>
      <c r="S19" s="980">
        <v>0</v>
      </c>
      <c r="T19" s="980">
        <v>0</v>
      </c>
      <c r="U19" s="980">
        <v>0</v>
      </c>
      <c r="V19" s="980">
        <v>0</v>
      </c>
      <c r="W19" s="980">
        <v>0</v>
      </c>
      <c r="X19" s="980">
        <v>0</v>
      </c>
      <c r="Y19" s="980">
        <v>0</v>
      </c>
      <c r="Z19" s="980">
        <v>0</v>
      </c>
      <c r="AA19" s="980">
        <v>0</v>
      </c>
      <c r="AB19" s="980">
        <v>0</v>
      </c>
      <c r="AC19" s="980">
        <v>0</v>
      </c>
      <c r="AD19" s="980">
        <v>0</v>
      </c>
      <c r="AE19" s="980">
        <v>0</v>
      </c>
      <c r="AF19" s="980">
        <v>0</v>
      </c>
      <c r="AG19" s="980">
        <v>0</v>
      </c>
      <c r="AH19" s="980">
        <v>0</v>
      </c>
      <c r="AI19" s="980">
        <v>0</v>
      </c>
      <c r="AJ19" s="980">
        <v>0</v>
      </c>
      <c r="AK19" s="980">
        <v>0</v>
      </c>
      <c r="AL19" s="980">
        <v>0</v>
      </c>
      <c r="AM19" s="980">
        <v>0</v>
      </c>
      <c r="AN19" s="980">
        <v>0</v>
      </c>
      <c r="AO19" s="868"/>
    </row>
    <row r="20" spans="1:41" hidden="1">
      <c r="A20" s="977"/>
      <c r="B20" s="965" t="b">
        <v>0</v>
      </c>
      <c r="C20" s="965"/>
      <c r="D20" s="965"/>
      <c r="E20" s="965"/>
      <c r="F20" s="965"/>
      <c r="G20" s="965"/>
      <c r="H20" s="965"/>
      <c r="I20" s="965"/>
      <c r="J20" s="965"/>
      <c r="K20" s="965"/>
      <c r="L20" s="273" t="s">
        <v>412</v>
      </c>
      <c r="M20" s="275" t="s">
        <v>440</v>
      </c>
      <c r="N20" s="270" t="s">
        <v>370</v>
      </c>
      <c r="O20" s="981"/>
      <c r="P20" s="981"/>
      <c r="Q20" s="981"/>
      <c r="R20" s="981"/>
      <c r="S20" s="981"/>
      <c r="T20" s="981"/>
      <c r="U20" s="981"/>
      <c r="V20" s="981"/>
      <c r="W20" s="981"/>
      <c r="X20" s="981"/>
      <c r="Y20" s="981"/>
      <c r="Z20" s="981"/>
      <c r="AA20" s="981"/>
      <c r="AB20" s="981"/>
      <c r="AC20" s="981"/>
      <c r="AD20" s="981"/>
      <c r="AE20" s="981"/>
      <c r="AF20" s="981"/>
      <c r="AG20" s="981"/>
      <c r="AH20" s="981"/>
      <c r="AI20" s="981"/>
      <c r="AJ20" s="981"/>
      <c r="AK20" s="981"/>
      <c r="AL20" s="981"/>
      <c r="AM20" s="981"/>
      <c r="AN20" s="981"/>
      <c r="AO20" s="868"/>
    </row>
    <row r="21" spans="1:41" hidden="1">
      <c r="A21" s="977"/>
      <c r="B21" s="965" t="b">
        <v>0</v>
      </c>
      <c r="C21" s="965"/>
      <c r="D21" s="965"/>
      <c r="E21" s="965"/>
      <c r="F21" s="965"/>
      <c r="G21" s="965"/>
      <c r="H21" s="965"/>
      <c r="I21" s="965"/>
      <c r="J21" s="965"/>
      <c r="K21" s="965"/>
      <c r="L21" s="273" t="s">
        <v>414</v>
      </c>
      <c r="M21" s="275" t="s">
        <v>1126</v>
      </c>
      <c r="N21" s="270" t="s">
        <v>370</v>
      </c>
      <c r="O21" s="981"/>
      <c r="P21" s="981"/>
      <c r="Q21" s="981"/>
      <c r="R21" s="981"/>
      <c r="S21" s="981"/>
      <c r="T21" s="981"/>
      <c r="U21" s="981"/>
      <c r="V21" s="981"/>
      <c r="W21" s="981"/>
      <c r="X21" s="981"/>
      <c r="Y21" s="981"/>
      <c r="Z21" s="981"/>
      <c r="AA21" s="981"/>
      <c r="AB21" s="981"/>
      <c r="AC21" s="981"/>
      <c r="AD21" s="981"/>
      <c r="AE21" s="981"/>
      <c r="AF21" s="981"/>
      <c r="AG21" s="981"/>
      <c r="AH21" s="981"/>
      <c r="AI21" s="981"/>
      <c r="AJ21" s="981"/>
      <c r="AK21" s="981"/>
      <c r="AL21" s="981"/>
      <c r="AM21" s="981"/>
      <c r="AN21" s="981"/>
      <c r="AO21" s="868"/>
    </row>
    <row r="22" spans="1:41" hidden="1">
      <c r="A22" s="977"/>
      <c r="B22" s="965" t="b">
        <v>0</v>
      </c>
      <c r="C22" s="965"/>
      <c r="D22" s="965"/>
      <c r="E22" s="965"/>
      <c r="F22" s="965"/>
      <c r="G22" s="965"/>
      <c r="H22" s="965"/>
      <c r="I22" s="965"/>
      <c r="J22" s="965"/>
      <c r="K22" s="965"/>
      <c r="L22" s="273" t="s">
        <v>1087</v>
      </c>
      <c r="M22" s="275" t="s">
        <v>441</v>
      </c>
      <c r="N22" s="270" t="s">
        <v>370</v>
      </c>
      <c r="O22" s="981"/>
      <c r="P22" s="981"/>
      <c r="Q22" s="981"/>
      <c r="R22" s="981"/>
      <c r="S22" s="981"/>
      <c r="T22" s="981"/>
      <c r="U22" s="981"/>
      <c r="V22" s="981"/>
      <c r="W22" s="981"/>
      <c r="X22" s="981"/>
      <c r="Y22" s="981"/>
      <c r="Z22" s="981"/>
      <c r="AA22" s="981"/>
      <c r="AB22" s="981"/>
      <c r="AC22" s="981"/>
      <c r="AD22" s="981"/>
      <c r="AE22" s="981"/>
      <c r="AF22" s="981"/>
      <c r="AG22" s="981"/>
      <c r="AH22" s="981"/>
      <c r="AI22" s="981"/>
      <c r="AJ22" s="981"/>
      <c r="AK22" s="981"/>
      <c r="AL22" s="981"/>
      <c r="AM22" s="981"/>
      <c r="AN22" s="981"/>
      <c r="AO22" s="868"/>
    </row>
    <row r="23" spans="1:41" hidden="1">
      <c r="A23" s="977"/>
      <c r="B23" s="965" t="b">
        <v>0</v>
      </c>
      <c r="C23" s="965"/>
      <c r="D23" s="965"/>
      <c r="E23" s="965"/>
      <c r="F23" s="965"/>
      <c r="G23" s="965"/>
      <c r="H23" s="965"/>
      <c r="I23" s="965"/>
      <c r="J23" s="965"/>
      <c r="K23" s="965"/>
      <c r="L23" s="273" t="s">
        <v>1088</v>
      </c>
      <c r="M23" s="275" t="s">
        <v>442</v>
      </c>
      <c r="N23" s="270" t="s">
        <v>370</v>
      </c>
      <c r="O23" s="981"/>
      <c r="P23" s="981"/>
      <c r="Q23" s="981"/>
      <c r="R23" s="981"/>
      <c r="S23" s="981"/>
      <c r="T23" s="981"/>
      <c r="U23" s="981"/>
      <c r="V23" s="981"/>
      <c r="W23" s="981"/>
      <c r="X23" s="981"/>
      <c r="Y23" s="981"/>
      <c r="Z23" s="981"/>
      <c r="AA23" s="981"/>
      <c r="AB23" s="981"/>
      <c r="AC23" s="981"/>
      <c r="AD23" s="981"/>
      <c r="AE23" s="981"/>
      <c r="AF23" s="981"/>
      <c r="AG23" s="981"/>
      <c r="AH23" s="981"/>
      <c r="AI23" s="981"/>
      <c r="AJ23" s="981"/>
      <c r="AK23" s="981"/>
      <c r="AL23" s="981"/>
      <c r="AM23" s="981"/>
      <c r="AN23" s="981"/>
      <c r="AO23" s="868"/>
    </row>
    <row r="24" spans="1:41" hidden="1">
      <c r="A24" s="977"/>
      <c r="B24" s="965" t="b">
        <v>0</v>
      </c>
      <c r="C24" s="965"/>
      <c r="D24" s="965"/>
      <c r="E24" s="965"/>
      <c r="F24" s="965"/>
      <c r="G24" s="965"/>
      <c r="H24" s="965"/>
      <c r="I24" s="965"/>
      <c r="J24" s="965"/>
      <c r="K24" s="965"/>
      <c r="L24" s="273" t="s">
        <v>166</v>
      </c>
      <c r="M24" s="274" t="s">
        <v>443</v>
      </c>
      <c r="N24" s="270" t="s">
        <v>370</v>
      </c>
      <c r="O24" s="980">
        <v>0</v>
      </c>
      <c r="P24" s="980">
        <v>0</v>
      </c>
      <c r="Q24" s="980">
        <v>0</v>
      </c>
      <c r="R24" s="980">
        <v>0</v>
      </c>
      <c r="S24" s="980">
        <v>0</v>
      </c>
      <c r="T24" s="980">
        <v>0</v>
      </c>
      <c r="U24" s="980">
        <v>0</v>
      </c>
      <c r="V24" s="980">
        <v>0</v>
      </c>
      <c r="W24" s="980">
        <v>0</v>
      </c>
      <c r="X24" s="980">
        <v>0</v>
      </c>
      <c r="Y24" s="980">
        <v>0</v>
      </c>
      <c r="Z24" s="980">
        <v>0</v>
      </c>
      <c r="AA24" s="980">
        <v>0</v>
      </c>
      <c r="AB24" s="980">
        <v>0</v>
      </c>
      <c r="AC24" s="980">
        <v>0</v>
      </c>
      <c r="AD24" s="980">
        <v>0</v>
      </c>
      <c r="AE24" s="980">
        <v>0</v>
      </c>
      <c r="AF24" s="980">
        <v>0</v>
      </c>
      <c r="AG24" s="980">
        <v>0</v>
      </c>
      <c r="AH24" s="980">
        <v>0</v>
      </c>
      <c r="AI24" s="980">
        <v>0</v>
      </c>
      <c r="AJ24" s="980">
        <v>0</v>
      </c>
      <c r="AK24" s="980">
        <v>0</v>
      </c>
      <c r="AL24" s="980">
        <v>0</v>
      </c>
      <c r="AM24" s="980">
        <v>0</v>
      </c>
      <c r="AN24" s="980">
        <v>0</v>
      </c>
      <c r="AO24" s="868"/>
    </row>
    <row r="25" spans="1:41" hidden="1">
      <c r="A25" s="977"/>
      <c r="B25" s="965" t="b">
        <v>0</v>
      </c>
      <c r="C25" s="965"/>
      <c r="D25" s="965"/>
      <c r="E25" s="965"/>
      <c r="F25" s="965"/>
      <c r="G25" s="965"/>
      <c r="H25" s="965"/>
      <c r="I25" s="965"/>
      <c r="J25" s="965"/>
      <c r="K25" s="965"/>
      <c r="L25" s="273" t="s">
        <v>534</v>
      </c>
      <c r="M25" s="275" t="s">
        <v>444</v>
      </c>
      <c r="N25" s="270" t="s">
        <v>370</v>
      </c>
      <c r="O25" s="981"/>
      <c r="P25" s="981"/>
      <c r="Q25" s="981"/>
      <c r="R25" s="981"/>
      <c r="S25" s="981"/>
      <c r="T25" s="981"/>
      <c r="U25" s="981"/>
      <c r="V25" s="981"/>
      <c r="W25" s="981"/>
      <c r="X25" s="981"/>
      <c r="Y25" s="981"/>
      <c r="Z25" s="981"/>
      <c r="AA25" s="981"/>
      <c r="AB25" s="981"/>
      <c r="AC25" s="981"/>
      <c r="AD25" s="981"/>
      <c r="AE25" s="981"/>
      <c r="AF25" s="981"/>
      <c r="AG25" s="981"/>
      <c r="AH25" s="981"/>
      <c r="AI25" s="981"/>
      <c r="AJ25" s="981"/>
      <c r="AK25" s="981"/>
      <c r="AL25" s="981"/>
      <c r="AM25" s="981"/>
      <c r="AN25" s="981"/>
      <c r="AO25" s="868"/>
    </row>
    <row r="26" spans="1:41" hidden="1">
      <c r="A26" s="977"/>
      <c r="B26" s="965" t="b">
        <v>0</v>
      </c>
      <c r="C26" s="965"/>
      <c r="D26" s="965"/>
      <c r="E26" s="965"/>
      <c r="F26" s="965"/>
      <c r="G26" s="965"/>
      <c r="H26" s="965"/>
      <c r="I26" s="965"/>
      <c r="J26" s="965"/>
      <c r="K26" s="965"/>
      <c r="L26" s="273" t="s">
        <v>540</v>
      </c>
      <c r="M26" s="275" t="s">
        <v>445</v>
      </c>
      <c r="N26" s="270" t="s">
        <v>370</v>
      </c>
      <c r="O26" s="981"/>
      <c r="P26" s="981"/>
      <c r="Q26" s="981"/>
      <c r="R26" s="981"/>
      <c r="S26" s="981"/>
      <c r="T26" s="981"/>
      <c r="U26" s="981"/>
      <c r="V26" s="981"/>
      <c r="W26" s="981"/>
      <c r="X26" s="981"/>
      <c r="Y26" s="981"/>
      <c r="Z26" s="981"/>
      <c r="AA26" s="981"/>
      <c r="AB26" s="981"/>
      <c r="AC26" s="981"/>
      <c r="AD26" s="981"/>
      <c r="AE26" s="981"/>
      <c r="AF26" s="981"/>
      <c r="AG26" s="981"/>
      <c r="AH26" s="981"/>
      <c r="AI26" s="981"/>
      <c r="AJ26" s="981"/>
      <c r="AK26" s="981"/>
      <c r="AL26" s="981"/>
      <c r="AM26" s="981"/>
      <c r="AN26" s="981"/>
      <c r="AO26" s="868"/>
    </row>
    <row r="27" spans="1:41" hidden="1">
      <c r="A27" s="977"/>
      <c r="B27" s="965" t="b">
        <v>0</v>
      </c>
      <c r="C27" s="965"/>
      <c r="D27" s="965"/>
      <c r="E27" s="965"/>
      <c r="F27" s="965"/>
      <c r="G27" s="965"/>
      <c r="H27" s="965"/>
      <c r="I27" s="965"/>
      <c r="J27" s="965"/>
      <c r="K27" s="965"/>
      <c r="L27" s="273" t="s">
        <v>542</v>
      </c>
      <c r="M27" s="275" t="s">
        <v>446</v>
      </c>
      <c r="N27" s="270" t="s">
        <v>370</v>
      </c>
      <c r="O27" s="981"/>
      <c r="P27" s="981"/>
      <c r="Q27" s="981"/>
      <c r="R27" s="981"/>
      <c r="S27" s="981"/>
      <c r="T27" s="981"/>
      <c r="U27" s="981"/>
      <c r="V27" s="981"/>
      <c r="W27" s="981"/>
      <c r="X27" s="981"/>
      <c r="Y27" s="981"/>
      <c r="Z27" s="981"/>
      <c r="AA27" s="981"/>
      <c r="AB27" s="981"/>
      <c r="AC27" s="981"/>
      <c r="AD27" s="981"/>
      <c r="AE27" s="981"/>
      <c r="AF27" s="981"/>
      <c r="AG27" s="981"/>
      <c r="AH27" s="981"/>
      <c r="AI27" s="981"/>
      <c r="AJ27" s="981"/>
      <c r="AK27" s="981"/>
      <c r="AL27" s="981"/>
      <c r="AM27" s="981"/>
      <c r="AN27" s="981"/>
      <c r="AO27" s="868"/>
    </row>
    <row r="28" spans="1:41" hidden="1">
      <c r="A28" s="977"/>
      <c r="B28" s="965" t="b">
        <v>0</v>
      </c>
      <c r="C28" s="965"/>
      <c r="D28" s="965"/>
      <c r="E28" s="965"/>
      <c r="F28" s="965"/>
      <c r="G28" s="965"/>
      <c r="H28" s="965"/>
      <c r="I28" s="965"/>
      <c r="J28" s="965"/>
      <c r="K28" s="965"/>
      <c r="L28" s="273" t="s">
        <v>378</v>
      </c>
      <c r="M28" s="274" t="s">
        <v>447</v>
      </c>
      <c r="N28" s="270" t="s">
        <v>370</v>
      </c>
      <c r="O28" s="980">
        <v>0</v>
      </c>
      <c r="P28" s="980">
        <v>0</v>
      </c>
      <c r="Q28" s="980">
        <v>0</v>
      </c>
      <c r="R28" s="980">
        <v>0</v>
      </c>
      <c r="S28" s="980">
        <v>0</v>
      </c>
      <c r="T28" s="980">
        <v>0</v>
      </c>
      <c r="U28" s="980">
        <v>0</v>
      </c>
      <c r="V28" s="980">
        <v>0</v>
      </c>
      <c r="W28" s="980">
        <v>0</v>
      </c>
      <c r="X28" s="980">
        <v>0</v>
      </c>
      <c r="Y28" s="980">
        <v>0</v>
      </c>
      <c r="Z28" s="980">
        <v>0</v>
      </c>
      <c r="AA28" s="980">
        <v>0</v>
      </c>
      <c r="AB28" s="980">
        <v>0</v>
      </c>
      <c r="AC28" s="980">
        <v>0</v>
      </c>
      <c r="AD28" s="980">
        <v>0</v>
      </c>
      <c r="AE28" s="980">
        <v>0</v>
      </c>
      <c r="AF28" s="980">
        <v>0</v>
      </c>
      <c r="AG28" s="980">
        <v>0</v>
      </c>
      <c r="AH28" s="980">
        <v>0</v>
      </c>
      <c r="AI28" s="980">
        <v>0</v>
      </c>
      <c r="AJ28" s="980">
        <v>0</v>
      </c>
      <c r="AK28" s="980">
        <v>0</v>
      </c>
      <c r="AL28" s="980">
        <v>0</v>
      </c>
      <c r="AM28" s="980">
        <v>0</v>
      </c>
      <c r="AN28" s="980">
        <v>0</v>
      </c>
      <c r="AO28" s="868"/>
    </row>
    <row r="29" spans="1:41" hidden="1">
      <c r="A29" s="977"/>
      <c r="B29" s="965" t="b">
        <v>0</v>
      </c>
      <c r="C29" s="965"/>
      <c r="D29" s="965"/>
      <c r="E29" s="965"/>
      <c r="F29" s="965"/>
      <c r="G29" s="965"/>
      <c r="H29" s="965"/>
      <c r="I29" s="965"/>
      <c r="J29" s="965"/>
      <c r="K29" s="965"/>
      <c r="L29" s="273" t="s">
        <v>564</v>
      </c>
      <c r="M29" s="275" t="s">
        <v>448</v>
      </c>
      <c r="N29" s="270" t="s">
        <v>370</v>
      </c>
      <c r="O29" s="981"/>
      <c r="P29" s="981"/>
      <c r="Q29" s="981"/>
      <c r="R29" s="981"/>
      <c r="S29" s="981"/>
      <c r="T29" s="981"/>
      <c r="U29" s="981"/>
      <c r="V29" s="981"/>
      <c r="W29" s="981"/>
      <c r="X29" s="981"/>
      <c r="Y29" s="981"/>
      <c r="Z29" s="981"/>
      <c r="AA29" s="981"/>
      <c r="AB29" s="981"/>
      <c r="AC29" s="981"/>
      <c r="AD29" s="981"/>
      <c r="AE29" s="981"/>
      <c r="AF29" s="981"/>
      <c r="AG29" s="981"/>
      <c r="AH29" s="981"/>
      <c r="AI29" s="981"/>
      <c r="AJ29" s="981"/>
      <c r="AK29" s="981"/>
      <c r="AL29" s="981"/>
      <c r="AM29" s="981"/>
      <c r="AN29" s="981"/>
      <c r="AO29" s="868"/>
    </row>
    <row r="30" spans="1:41" hidden="1">
      <c r="A30" s="977"/>
      <c r="B30" s="965" t="b">
        <v>0</v>
      </c>
      <c r="C30" s="965"/>
      <c r="D30" s="965"/>
      <c r="E30" s="965"/>
      <c r="F30" s="965"/>
      <c r="G30" s="965"/>
      <c r="H30" s="965"/>
      <c r="I30" s="965"/>
      <c r="J30" s="965"/>
      <c r="K30" s="965"/>
      <c r="L30" s="273" t="s">
        <v>566</v>
      </c>
      <c r="M30" s="275" t="s">
        <v>449</v>
      </c>
      <c r="N30" s="270" t="s">
        <v>370</v>
      </c>
      <c r="O30" s="981"/>
      <c r="P30" s="981"/>
      <c r="Q30" s="981"/>
      <c r="R30" s="981"/>
      <c r="S30" s="981"/>
      <c r="T30" s="981"/>
      <c r="U30" s="981"/>
      <c r="V30" s="981"/>
      <c r="W30" s="981"/>
      <c r="X30" s="981"/>
      <c r="Y30" s="981"/>
      <c r="Z30" s="981"/>
      <c r="AA30" s="981"/>
      <c r="AB30" s="981"/>
      <c r="AC30" s="981"/>
      <c r="AD30" s="981"/>
      <c r="AE30" s="981"/>
      <c r="AF30" s="981"/>
      <c r="AG30" s="981"/>
      <c r="AH30" s="981"/>
      <c r="AI30" s="981"/>
      <c r="AJ30" s="981"/>
      <c r="AK30" s="981"/>
      <c r="AL30" s="981"/>
      <c r="AM30" s="981"/>
      <c r="AN30" s="981"/>
      <c r="AO30" s="868"/>
    </row>
    <row r="31" spans="1:41" hidden="1">
      <c r="A31" s="977"/>
      <c r="B31" s="965" t="b">
        <v>0</v>
      </c>
      <c r="C31" s="965"/>
      <c r="D31" s="965"/>
      <c r="E31" s="965"/>
      <c r="F31" s="965"/>
      <c r="G31" s="965"/>
      <c r="H31" s="965"/>
      <c r="I31" s="965"/>
      <c r="J31" s="965"/>
      <c r="K31" s="965"/>
      <c r="L31" s="273" t="s">
        <v>568</v>
      </c>
      <c r="M31" s="275" t="s">
        <v>450</v>
      </c>
      <c r="N31" s="270" t="s">
        <v>370</v>
      </c>
      <c r="O31" s="981"/>
      <c r="P31" s="981"/>
      <c r="Q31" s="981"/>
      <c r="R31" s="981"/>
      <c r="S31" s="981"/>
      <c r="T31" s="981"/>
      <c r="U31" s="981"/>
      <c r="V31" s="981"/>
      <c r="W31" s="981"/>
      <c r="X31" s="981"/>
      <c r="Y31" s="981"/>
      <c r="Z31" s="981"/>
      <c r="AA31" s="981"/>
      <c r="AB31" s="981"/>
      <c r="AC31" s="981"/>
      <c r="AD31" s="981"/>
      <c r="AE31" s="981"/>
      <c r="AF31" s="981"/>
      <c r="AG31" s="981"/>
      <c r="AH31" s="981"/>
      <c r="AI31" s="981"/>
      <c r="AJ31" s="981"/>
      <c r="AK31" s="981"/>
      <c r="AL31" s="981"/>
      <c r="AM31" s="981"/>
      <c r="AN31" s="981"/>
      <c r="AO31" s="868"/>
    </row>
    <row r="32" spans="1:41" hidden="1">
      <c r="A32" s="977"/>
      <c r="B32" s="965" t="b">
        <v>0</v>
      </c>
      <c r="C32" s="965"/>
      <c r="D32" s="965"/>
      <c r="E32" s="965"/>
      <c r="F32" s="965"/>
      <c r="G32" s="965"/>
      <c r="H32" s="965"/>
      <c r="I32" s="965"/>
      <c r="J32" s="965"/>
      <c r="K32" s="965"/>
      <c r="L32" s="273" t="s">
        <v>380</v>
      </c>
      <c r="M32" s="274" t="s">
        <v>451</v>
      </c>
      <c r="N32" s="270" t="s">
        <v>370</v>
      </c>
      <c r="O32" s="980">
        <v>0</v>
      </c>
      <c r="P32" s="980">
        <v>0</v>
      </c>
      <c r="Q32" s="980">
        <v>0</v>
      </c>
      <c r="R32" s="980">
        <v>0</v>
      </c>
      <c r="S32" s="980">
        <v>0</v>
      </c>
      <c r="T32" s="980">
        <v>0</v>
      </c>
      <c r="U32" s="980">
        <v>0</v>
      </c>
      <c r="V32" s="980">
        <v>0</v>
      </c>
      <c r="W32" s="980">
        <v>0</v>
      </c>
      <c r="X32" s="980">
        <v>0</v>
      </c>
      <c r="Y32" s="980">
        <v>0</v>
      </c>
      <c r="Z32" s="980">
        <v>0</v>
      </c>
      <c r="AA32" s="980">
        <v>0</v>
      </c>
      <c r="AB32" s="980">
        <v>0</v>
      </c>
      <c r="AC32" s="980">
        <v>0</v>
      </c>
      <c r="AD32" s="980">
        <v>0</v>
      </c>
      <c r="AE32" s="980">
        <v>0</v>
      </c>
      <c r="AF32" s="980">
        <v>0</v>
      </c>
      <c r="AG32" s="980">
        <v>0</v>
      </c>
      <c r="AH32" s="980">
        <v>0</v>
      </c>
      <c r="AI32" s="980">
        <v>0</v>
      </c>
      <c r="AJ32" s="980">
        <v>0</v>
      </c>
      <c r="AK32" s="980">
        <v>0</v>
      </c>
      <c r="AL32" s="980">
        <v>0</v>
      </c>
      <c r="AM32" s="980">
        <v>0</v>
      </c>
      <c r="AN32" s="980">
        <v>0</v>
      </c>
      <c r="AO32" s="868"/>
    </row>
    <row r="33" spans="1:41" hidden="1">
      <c r="A33" s="977"/>
      <c r="B33" s="965" t="b">
        <v>0</v>
      </c>
      <c r="C33" s="965"/>
      <c r="D33" s="965"/>
      <c r="E33" s="965"/>
      <c r="F33" s="965"/>
      <c r="G33" s="965"/>
      <c r="H33" s="965"/>
      <c r="I33" s="965"/>
      <c r="J33" s="965"/>
      <c r="K33" s="965"/>
      <c r="L33" s="273" t="s">
        <v>573</v>
      </c>
      <c r="M33" s="275" t="s">
        <v>452</v>
      </c>
      <c r="N33" s="270" t="s">
        <v>370</v>
      </c>
      <c r="O33" s="981"/>
      <c r="P33" s="981"/>
      <c r="Q33" s="981"/>
      <c r="R33" s="981"/>
      <c r="S33" s="981"/>
      <c r="T33" s="981"/>
      <c r="U33" s="981"/>
      <c r="V33" s="981"/>
      <c r="W33" s="981"/>
      <c r="X33" s="981"/>
      <c r="Y33" s="981"/>
      <c r="Z33" s="981"/>
      <c r="AA33" s="981"/>
      <c r="AB33" s="981"/>
      <c r="AC33" s="981"/>
      <c r="AD33" s="981"/>
      <c r="AE33" s="981"/>
      <c r="AF33" s="981"/>
      <c r="AG33" s="981"/>
      <c r="AH33" s="981"/>
      <c r="AI33" s="981"/>
      <c r="AJ33" s="981"/>
      <c r="AK33" s="981"/>
      <c r="AL33" s="981"/>
      <c r="AM33" s="981"/>
      <c r="AN33" s="981"/>
      <c r="AO33" s="868"/>
    </row>
    <row r="34" spans="1:41" ht="22.5" hidden="1">
      <c r="A34" s="977"/>
      <c r="B34" s="965" t="b">
        <v>0</v>
      </c>
      <c r="C34" s="965"/>
      <c r="D34" s="965"/>
      <c r="E34" s="965"/>
      <c r="F34" s="965"/>
      <c r="G34" s="965"/>
      <c r="H34" s="965"/>
      <c r="I34" s="965"/>
      <c r="J34" s="965"/>
      <c r="K34" s="965"/>
      <c r="L34" s="273" t="s">
        <v>587</v>
      </c>
      <c r="M34" s="275" t="s">
        <v>1180</v>
      </c>
      <c r="N34" s="270" t="s">
        <v>370</v>
      </c>
      <c r="O34" s="981"/>
      <c r="P34" s="981"/>
      <c r="Q34" s="981"/>
      <c r="R34" s="981"/>
      <c r="S34" s="981"/>
      <c r="T34" s="981"/>
      <c r="U34" s="981"/>
      <c r="V34" s="981"/>
      <c r="W34" s="981"/>
      <c r="X34" s="981"/>
      <c r="Y34" s="981"/>
      <c r="Z34" s="981"/>
      <c r="AA34" s="981"/>
      <c r="AB34" s="981"/>
      <c r="AC34" s="981"/>
      <c r="AD34" s="981"/>
      <c r="AE34" s="981"/>
      <c r="AF34" s="981"/>
      <c r="AG34" s="981"/>
      <c r="AH34" s="981"/>
      <c r="AI34" s="981"/>
      <c r="AJ34" s="981"/>
      <c r="AK34" s="981"/>
      <c r="AL34" s="981"/>
      <c r="AM34" s="981"/>
      <c r="AN34" s="981"/>
      <c r="AO34" s="868"/>
    </row>
    <row r="35" spans="1:41" ht="22.5" hidden="1">
      <c r="A35" s="977"/>
      <c r="B35" s="965" t="b">
        <v>0</v>
      </c>
      <c r="C35" s="965"/>
      <c r="D35" s="965"/>
      <c r="E35" s="965"/>
      <c r="F35" s="965"/>
      <c r="G35" s="965"/>
      <c r="H35" s="965"/>
      <c r="I35" s="965"/>
      <c r="J35" s="965"/>
      <c r="K35" s="965"/>
      <c r="L35" s="273" t="s">
        <v>593</v>
      </c>
      <c r="M35" s="275" t="s">
        <v>453</v>
      </c>
      <c r="N35" s="270" t="s">
        <v>370</v>
      </c>
      <c r="O35" s="981"/>
      <c r="P35" s="981"/>
      <c r="Q35" s="981"/>
      <c r="R35" s="981"/>
      <c r="S35" s="981"/>
      <c r="T35" s="981"/>
      <c r="U35" s="981"/>
      <c r="V35" s="981"/>
      <c r="W35" s="981"/>
      <c r="X35" s="981"/>
      <c r="Y35" s="981"/>
      <c r="Z35" s="981"/>
      <c r="AA35" s="981"/>
      <c r="AB35" s="981"/>
      <c r="AC35" s="981"/>
      <c r="AD35" s="981"/>
      <c r="AE35" s="981"/>
      <c r="AF35" s="981"/>
      <c r="AG35" s="981"/>
      <c r="AH35" s="981"/>
      <c r="AI35" s="981"/>
      <c r="AJ35" s="981"/>
      <c r="AK35" s="981"/>
      <c r="AL35" s="981"/>
      <c r="AM35" s="981"/>
      <c r="AN35" s="981"/>
      <c r="AO35" s="868"/>
    </row>
    <row r="36" spans="1:41" hidden="1">
      <c r="A36" s="977"/>
      <c r="B36" s="965" t="b">
        <v>0</v>
      </c>
      <c r="C36" s="965"/>
      <c r="D36" s="965"/>
      <c r="E36" s="965"/>
      <c r="F36" s="965"/>
      <c r="G36" s="965"/>
      <c r="H36" s="965"/>
      <c r="I36" s="965"/>
      <c r="J36" s="965"/>
      <c r="K36" s="965"/>
      <c r="L36" s="273" t="s">
        <v>595</v>
      </c>
      <c r="M36" s="275" t="s">
        <v>454</v>
      </c>
      <c r="N36" s="270" t="s">
        <v>370</v>
      </c>
      <c r="O36" s="981"/>
      <c r="P36" s="981"/>
      <c r="Q36" s="981"/>
      <c r="R36" s="981"/>
      <c r="S36" s="981"/>
      <c r="T36" s="981"/>
      <c r="U36" s="981"/>
      <c r="V36" s="981"/>
      <c r="W36" s="981"/>
      <c r="X36" s="981"/>
      <c r="Y36" s="981"/>
      <c r="Z36" s="981"/>
      <c r="AA36" s="981"/>
      <c r="AB36" s="981"/>
      <c r="AC36" s="981"/>
      <c r="AD36" s="981"/>
      <c r="AE36" s="981"/>
      <c r="AF36" s="981"/>
      <c r="AG36" s="981"/>
      <c r="AH36" s="981"/>
      <c r="AI36" s="981"/>
      <c r="AJ36" s="981"/>
      <c r="AK36" s="981"/>
      <c r="AL36" s="981"/>
      <c r="AM36" s="981"/>
      <c r="AN36" s="981"/>
      <c r="AO36" s="868"/>
    </row>
    <row r="37" spans="1:41" s="278" customFormat="1" ht="22.5" hidden="1">
      <c r="A37" s="977"/>
      <c r="B37" s="965" t="b">
        <v>0</v>
      </c>
      <c r="C37" s="978"/>
      <c r="D37" s="978"/>
      <c r="E37" s="978"/>
      <c r="F37" s="978"/>
      <c r="G37" s="978"/>
      <c r="H37" s="978"/>
      <c r="I37" s="978"/>
      <c r="J37" s="978"/>
      <c r="K37" s="978"/>
      <c r="L37" s="276" t="s">
        <v>102</v>
      </c>
      <c r="M37" s="272" t="s">
        <v>455</v>
      </c>
      <c r="N37" s="277" t="s">
        <v>370</v>
      </c>
      <c r="O37" s="979">
        <v>0</v>
      </c>
      <c r="P37" s="979">
        <v>0</v>
      </c>
      <c r="Q37" s="979">
        <v>0</v>
      </c>
      <c r="R37" s="979">
        <v>0</v>
      </c>
      <c r="S37" s="979">
        <v>0</v>
      </c>
      <c r="T37" s="979">
        <v>0</v>
      </c>
      <c r="U37" s="979">
        <v>0</v>
      </c>
      <c r="V37" s="979">
        <v>0</v>
      </c>
      <c r="W37" s="979">
        <v>0</v>
      </c>
      <c r="X37" s="979">
        <v>0</v>
      </c>
      <c r="Y37" s="979">
        <v>0</v>
      </c>
      <c r="Z37" s="979">
        <v>0</v>
      </c>
      <c r="AA37" s="979">
        <v>0</v>
      </c>
      <c r="AB37" s="979">
        <v>0</v>
      </c>
      <c r="AC37" s="979">
        <v>0</v>
      </c>
      <c r="AD37" s="979">
        <v>0</v>
      </c>
      <c r="AE37" s="979">
        <v>0</v>
      </c>
      <c r="AF37" s="979">
        <v>0</v>
      </c>
      <c r="AG37" s="979">
        <v>0</v>
      </c>
      <c r="AH37" s="979">
        <v>0</v>
      </c>
      <c r="AI37" s="979">
        <v>0</v>
      </c>
      <c r="AJ37" s="979">
        <v>0</v>
      </c>
      <c r="AK37" s="979">
        <v>0</v>
      </c>
      <c r="AL37" s="979">
        <v>0</v>
      </c>
      <c r="AM37" s="979">
        <v>0</v>
      </c>
      <c r="AN37" s="979">
        <v>0</v>
      </c>
      <c r="AO37" s="868"/>
    </row>
    <row r="38" spans="1:41" hidden="1">
      <c r="A38" s="977"/>
      <c r="B38" s="965" t="b">
        <v>0</v>
      </c>
      <c r="C38" s="965"/>
      <c r="D38" s="965"/>
      <c r="E38" s="965"/>
      <c r="F38" s="965"/>
      <c r="G38" s="965"/>
      <c r="H38" s="965"/>
      <c r="I38" s="965"/>
      <c r="J38" s="965"/>
      <c r="K38" s="965"/>
      <c r="L38" s="273" t="s">
        <v>17</v>
      </c>
      <c r="M38" s="274" t="s">
        <v>1191</v>
      </c>
      <c r="N38" s="270" t="s">
        <v>370</v>
      </c>
      <c r="O38" s="981"/>
      <c r="P38" s="981"/>
      <c r="Q38" s="981"/>
      <c r="R38" s="981"/>
      <c r="S38" s="981"/>
      <c r="T38" s="981"/>
      <c r="U38" s="981"/>
      <c r="V38" s="981"/>
      <c r="W38" s="981"/>
      <c r="X38" s="981"/>
      <c r="Y38" s="981"/>
      <c r="Z38" s="981"/>
      <c r="AA38" s="981"/>
      <c r="AB38" s="981"/>
      <c r="AC38" s="981"/>
      <c r="AD38" s="981"/>
      <c r="AE38" s="981"/>
      <c r="AF38" s="981"/>
      <c r="AG38" s="981"/>
      <c r="AH38" s="981"/>
      <c r="AI38" s="981"/>
      <c r="AJ38" s="981"/>
      <c r="AK38" s="981"/>
      <c r="AL38" s="981"/>
      <c r="AM38" s="981"/>
      <c r="AN38" s="981"/>
      <c r="AO38" s="868"/>
    </row>
    <row r="39" spans="1:41" hidden="1">
      <c r="A39" s="977"/>
      <c r="B39" s="965" t="b">
        <v>0</v>
      </c>
      <c r="C39" s="965"/>
      <c r="D39" s="965"/>
      <c r="E39" s="965"/>
      <c r="F39" s="965"/>
      <c r="G39" s="965"/>
      <c r="H39" s="965"/>
      <c r="I39" s="965"/>
      <c r="J39" s="965"/>
      <c r="K39" s="965"/>
      <c r="L39" s="273" t="s">
        <v>146</v>
      </c>
      <c r="M39" s="274" t="s">
        <v>1192</v>
      </c>
      <c r="N39" s="270" t="s">
        <v>370</v>
      </c>
      <c r="O39" s="981"/>
      <c r="P39" s="981"/>
      <c r="Q39" s="981"/>
      <c r="R39" s="981"/>
      <c r="S39" s="981"/>
      <c r="T39" s="981"/>
      <c r="U39" s="981"/>
      <c r="V39" s="981"/>
      <c r="W39" s="981"/>
      <c r="X39" s="981"/>
      <c r="Y39" s="981"/>
      <c r="Z39" s="981"/>
      <c r="AA39" s="981"/>
      <c r="AB39" s="981"/>
      <c r="AC39" s="981"/>
      <c r="AD39" s="981"/>
      <c r="AE39" s="981"/>
      <c r="AF39" s="981"/>
      <c r="AG39" s="981"/>
      <c r="AH39" s="981"/>
      <c r="AI39" s="981"/>
      <c r="AJ39" s="981"/>
      <c r="AK39" s="981"/>
      <c r="AL39" s="981"/>
      <c r="AM39" s="981"/>
      <c r="AN39" s="981"/>
      <c r="AO39" s="868"/>
    </row>
    <row r="40" spans="1:41" hidden="1">
      <c r="A40" s="977"/>
      <c r="B40" s="965" t="b">
        <v>0</v>
      </c>
      <c r="C40" s="965"/>
      <c r="D40" s="965"/>
      <c r="E40" s="965"/>
      <c r="F40" s="965"/>
      <c r="G40" s="965"/>
      <c r="H40" s="965"/>
      <c r="I40" s="965"/>
      <c r="J40" s="965"/>
      <c r="K40" s="965"/>
      <c r="L40" s="273" t="s">
        <v>167</v>
      </c>
      <c r="M40" s="274" t="s">
        <v>456</v>
      </c>
      <c r="N40" s="270" t="s">
        <v>370</v>
      </c>
      <c r="O40" s="981"/>
      <c r="P40" s="981"/>
      <c r="Q40" s="981"/>
      <c r="R40" s="981"/>
      <c r="S40" s="981"/>
      <c r="T40" s="981"/>
      <c r="U40" s="981"/>
      <c r="V40" s="981"/>
      <c r="W40" s="981"/>
      <c r="X40" s="981"/>
      <c r="Y40" s="981"/>
      <c r="Z40" s="981"/>
      <c r="AA40" s="981"/>
      <c r="AB40" s="981"/>
      <c r="AC40" s="981"/>
      <c r="AD40" s="981"/>
      <c r="AE40" s="981"/>
      <c r="AF40" s="981"/>
      <c r="AG40" s="981"/>
      <c r="AH40" s="981"/>
      <c r="AI40" s="981"/>
      <c r="AJ40" s="981"/>
      <c r="AK40" s="981"/>
      <c r="AL40" s="981"/>
      <c r="AM40" s="981"/>
      <c r="AN40" s="981"/>
      <c r="AO40" s="868"/>
    </row>
    <row r="41" spans="1:41" s="82" customFormat="1">
      <c r="A41" s="861" t="s">
        <v>18</v>
      </c>
      <c r="B41" s="965" t="b">
        <v>1</v>
      </c>
      <c r="C41" s="844"/>
      <c r="D41" s="844"/>
      <c r="E41" s="844"/>
      <c r="F41" s="844"/>
      <c r="G41" s="844"/>
      <c r="H41" s="844"/>
      <c r="I41" s="844"/>
      <c r="J41" s="844"/>
      <c r="K41" s="844"/>
      <c r="L41" s="982" t="s">
        <v>2545</v>
      </c>
      <c r="M41" s="983"/>
      <c r="N41" s="983"/>
      <c r="O41" s="983"/>
      <c r="P41" s="983"/>
      <c r="Q41" s="983"/>
      <c r="R41" s="983"/>
      <c r="S41" s="983"/>
      <c r="T41" s="983"/>
      <c r="U41" s="983"/>
      <c r="V41" s="983"/>
      <c r="W41" s="983"/>
      <c r="X41" s="983"/>
      <c r="Y41" s="983"/>
      <c r="Z41" s="983"/>
      <c r="AA41" s="983"/>
      <c r="AB41" s="983"/>
      <c r="AC41" s="983"/>
      <c r="AD41" s="983"/>
      <c r="AE41" s="983"/>
      <c r="AF41" s="983"/>
      <c r="AG41" s="983"/>
      <c r="AH41" s="983"/>
      <c r="AI41" s="983"/>
      <c r="AJ41" s="983"/>
      <c r="AK41" s="983"/>
      <c r="AL41" s="983"/>
      <c r="AM41" s="983"/>
      <c r="AN41" s="983"/>
      <c r="AO41" s="983"/>
    </row>
    <row r="42" spans="1:41" s="278" customFormat="1" ht="22.5">
      <c r="A42" s="895">
        <v>1</v>
      </c>
      <c r="B42" s="965" t="b">
        <v>1</v>
      </c>
      <c r="C42" s="978"/>
      <c r="D42" s="978"/>
      <c r="E42" s="978"/>
      <c r="F42" s="978"/>
      <c r="G42" s="978"/>
      <c r="H42" s="978"/>
      <c r="I42" s="978"/>
      <c r="J42" s="978"/>
      <c r="K42" s="978"/>
      <c r="L42" s="276">
        <v>1</v>
      </c>
      <c r="M42" s="271" t="s">
        <v>438</v>
      </c>
      <c r="N42" s="277" t="s">
        <v>370</v>
      </c>
      <c r="O42" s="979">
        <v>0</v>
      </c>
      <c r="P42" s="979">
        <v>0</v>
      </c>
      <c r="Q42" s="979">
        <v>0</v>
      </c>
      <c r="R42" s="979">
        <v>0</v>
      </c>
      <c r="S42" s="979">
        <v>0</v>
      </c>
      <c r="T42" s="979">
        <v>0</v>
      </c>
      <c r="U42" s="979">
        <v>0</v>
      </c>
      <c r="V42" s="979">
        <v>0</v>
      </c>
      <c r="W42" s="979">
        <v>0</v>
      </c>
      <c r="X42" s="979">
        <v>0</v>
      </c>
      <c r="Y42" s="979">
        <v>0</v>
      </c>
      <c r="Z42" s="979">
        <v>0</v>
      </c>
      <c r="AA42" s="979">
        <v>0</v>
      </c>
      <c r="AB42" s="979">
        <v>0</v>
      </c>
      <c r="AC42" s="979">
        <v>0</v>
      </c>
      <c r="AD42" s="979">
        <v>0</v>
      </c>
      <c r="AE42" s="979">
        <v>0</v>
      </c>
      <c r="AF42" s="979">
        <v>0</v>
      </c>
      <c r="AG42" s="979">
        <v>0</v>
      </c>
      <c r="AH42" s="979">
        <v>0</v>
      </c>
      <c r="AI42" s="979">
        <v>0</v>
      </c>
      <c r="AJ42" s="979">
        <v>0</v>
      </c>
      <c r="AK42" s="979">
        <v>0</v>
      </c>
      <c r="AL42" s="979">
        <v>0</v>
      </c>
      <c r="AM42" s="979">
        <v>0</v>
      </c>
      <c r="AN42" s="979">
        <v>0</v>
      </c>
      <c r="AO42" s="868"/>
    </row>
    <row r="43" spans="1:41">
      <c r="A43" s="895">
        <v>1</v>
      </c>
      <c r="B43" s="965" t="b">
        <v>1</v>
      </c>
      <c r="C43" s="965"/>
      <c r="D43" s="965"/>
      <c r="E43" s="965"/>
      <c r="F43" s="965"/>
      <c r="G43" s="965"/>
      <c r="H43" s="965"/>
      <c r="I43" s="965"/>
      <c r="J43" s="965"/>
      <c r="K43" s="965"/>
      <c r="L43" s="273" t="s">
        <v>165</v>
      </c>
      <c r="M43" s="274" t="s">
        <v>439</v>
      </c>
      <c r="N43" s="270" t="s">
        <v>370</v>
      </c>
      <c r="O43" s="980">
        <v>0</v>
      </c>
      <c r="P43" s="980">
        <v>0</v>
      </c>
      <c r="Q43" s="980">
        <v>0</v>
      </c>
      <c r="R43" s="980">
        <v>0</v>
      </c>
      <c r="S43" s="980">
        <v>0</v>
      </c>
      <c r="T43" s="980">
        <v>0</v>
      </c>
      <c r="U43" s="980">
        <v>0</v>
      </c>
      <c r="V43" s="980">
        <v>0</v>
      </c>
      <c r="W43" s="980">
        <v>0</v>
      </c>
      <c r="X43" s="980">
        <v>0</v>
      </c>
      <c r="Y43" s="980">
        <v>0</v>
      </c>
      <c r="Z43" s="980">
        <v>0</v>
      </c>
      <c r="AA43" s="980">
        <v>0</v>
      </c>
      <c r="AB43" s="980">
        <v>0</v>
      </c>
      <c r="AC43" s="980">
        <v>0</v>
      </c>
      <c r="AD43" s="980">
        <v>0</v>
      </c>
      <c r="AE43" s="980">
        <v>0</v>
      </c>
      <c r="AF43" s="980">
        <v>0</v>
      </c>
      <c r="AG43" s="980">
        <v>0</v>
      </c>
      <c r="AH43" s="980">
        <v>0</v>
      </c>
      <c r="AI43" s="980">
        <v>0</v>
      </c>
      <c r="AJ43" s="980">
        <v>0</v>
      </c>
      <c r="AK43" s="980">
        <v>0</v>
      </c>
      <c r="AL43" s="980">
        <v>0</v>
      </c>
      <c r="AM43" s="980">
        <v>0</v>
      </c>
      <c r="AN43" s="980">
        <v>0</v>
      </c>
      <c r="AO43" s="868"/>
    </row>
    <row r="44" spans="1:41">
      <c r="A44" s="895">
        <v>1</v>
      </c>
      <c r="B44" s="965" t="b">
        <v>1</v>
      </c>
      <c r="C44" s="965"/>
      <c r="D44" s="965"/>
      <c r="E44" s="965"/>
      <c r="F44" s="965"/>
      <c r="G44" s="965"/>
      <c r="H44" s="965"/>
      <c r="I44" s="965"/>
      <c r="J44" s="965"/>
      <c r="K44" s="965"/>
      <c r="L44" s="273" t="s">
        <v>412</v>
      </c>
      <c r="M44" s="275" t="s">
        <v>440</v>
      </c>
      <c r="N44" s="270" t="s">
        <v>370</v>
      </c>
      <c r="O44" s="981"/>
      <c r="P44" s="981"/>
      <c r="Q44" s="981"/>
      <c r="R44" s="981"/>
      <c r="S44" s="981"/>
      <c r="T44" s="981"/>
      <c r="U44" s="981"/>
      <c r="V44" s="981"/>
      <c r="W44" s="981"/>
      <c r="X44" s="981"/>
      <c r="Y44" s="981"/>
      <c r="Z44" s="981"/>
      <c r="AA44" s="981"/>
      <c r="AB44" s="981"/>
      <c r="AC44" s="981"/>
      <c r="AD44" s="981"/>
      <c r="AE44" s="981"/>
      <c r="AF44" s="981"/>
      <c r="AG44" s="981"/>
      <c r="AH44" s="981"/>
      <c r="AI44" s="981"/>
      <c r="AJ44" s="981"/>
      <c r="AK44" s="981"/>
      <c r="AL44" s="981"/>
      <c r="AM44" s="981"/>
      <c r="AN44" s="981"/>
      <c r="AO44" s="868"/>
    </row>
    <row r="45" spans="1:41">
      <c r="A45" s="895">
        <v>1</v>
      </c>
      <c r="B45" s="965" t="b">
        <v>1</v>
      </c>
      <c r="C45" s="965"/>
      <c r="D45" s="965"/>
      <c r="E45" s="965"/>
      <c r="F45" s="965"/>
      <c r="G45" s="965"/>
      <c r="H45" s="965"/>
      <c r="I45" s="965"/>
      <c r="J45" s="965"/>
      <c r="K45" s="965"/>
      <c r="L45" s="273" t="s">
        <v>414</v>
      </c>
      <c r="M45" s="275" t="s">
        <v>1126</v>
      </c>
      <c r="N45" s="270" t="s">
        <v>370</v>
      </c>
      <c r="O45" s="981"/>
      <c r="P45" s="981"/>
      <c r="Q45" s="981"/>
      <c r="R45" s="981"/>
      <c r="S45" s="981"/>
      <c r="T45" s="981"/>
      <c r="U45" s="981"/>
      <c r="V45" s="981"/>
      <c r="W45" s="981"/>
      <c r="X45" s="981"/>
      <c r="Y45" s="981"/>
      <c r="Z45" s="981"/>
      <c r="AA45" s="981"/>
      <c r="AB45" s="981"/>
      <c r="AC45" s="981"/>
      <c r="AD45" s="981"/>
      <c r="AE45" s="981"/>
      <c r="AF45" s="981"/>
      <c r="AG45" s="981"/>
      <c r="AH45" s="981"/>
      <c r="AI45" s="981"/>
      <c r="AJ45" s="981"/>
      <c r="AK45" s="981"/>
      <c r="AL45" s="981"/>
      <c r="AM45" s="981"/>
      <c r="AN45" s="981"/>
      <c r="AO45" s="868"/>
    </row>
    <row r="46" spans="1:41">
      <c r="A46" s="895">
        <v>1</v>
      </c>
      <c r="B46" s="965" t="b">
        <v>1</v>
      </c>
      <c r="C46" s="965"/>
      <c r="D46" s="965"/>
      <c r="E46" s="965"/>
      <c r="F46" s="965"/>
      <c r="G46" s="965"/>
      <c r="H46" s="965"/>
      <c r="I46" s="965"/>
      <c r="J46" s="965"/>
      <c r="K46" s="965"/>
      <c r="L46" s="273" t="s">
        <v>1087</v>
      </c>
      <c r="M46" s="275" t="s">
        <v>441</v>
      </c>
      <c r="N46" s="270" t="s">
        <v>370</v>
      </c>
      <c r="O46" s="981"/>
      <c r="P46" s="981"/>
      <c r="Q46" s="981"/>
      <c r="R46" s="981"/>
      <c r="S46" s="981"/>
      <c r="T46" s="981"/>
      <c r="U46" s="981"/>
      <c r="V46" s="981"/>
      <c r="W46" s="981"/>
      <c r="X46" s="981"/>
      <c r="Y46" s="981"/>
      <c r="Z46" s="981"/>
      <c r="AA46" s="981"/>
      <c r="AB46" s="981"/>
      <c r="AC46" s="981"/>
      <c r="AD46" s="981"/>
      <c r="AE46" s="981"/>
      <c r="AF46" s="981"/>
      <c r="AG46" s="981"/>
      <c r="AH46" s="981"/>
      <c r="AI46" s="981"/>
      <c r="AJ46" s="981"/>
      <c r="AK46" s="981"/>
      <c r="AL46" s="981"/>
      <c r="AM46" s="981"/>
      <c r="AN46" s="981"/>
      <c r="AO46" s="868"/>
    </row>
    <row r="47" spans="1:41">
      <c r="A47" s="895">
        <v>1</v>
      </c>
      <c r="B47" s="965" t="b">
        <v>1</v>
      </c>
      <c r="C47" s="965"/>
      <c r="D47" s="965"/>
      <c r="E47" s="965"/>
      <c r="F47" s="965"/>
      <c r="G47" s="965"/>
      <c r="H47" s="965"/>
      <c r="I47" s="965"/>
      <c r="J47" s="965"/>
      <c r="K47" s="965"/>
      <c r="L47" s="273" t="s">
        <v>1088</v>
      </c>
      <c r="M47" s="275" t="s">
        <v>442</v>
      </c>
      <c r="N47" s="270" t="s">
        <v>370</v>
      </c>
      <c r="O47" s="981"/>
      <c r="P47" s="981"/>
      <c r="Q47" s="981"/>
      <c r="R47" s="981"/>
      <c r="S47" s="981"/>
      <c r="T47" s="981"/>
      <c r="U47" s="981"/>
      <c r="V47" s="981"/>
      <c r="W47" s="981"/>
      <c r="X47" s="981"/>
      <c r="Y47" s="981"/>
      <c r="Z47" s="981"/>
      <c r="AA47" s="981"/>
      <c r="AB47" s="981"/>
      <c r="AC47" s="981"/>
      <c r="AD47" s="981"/>
      <c r="AE47" s="981"/>
      <c r="AF47" s="981"/>
      <c r="AG47" s="981"/>
      <c r="AH47" s="981"/>
      <c r="AI47" s="981"/>
      <c r="AJ47" s="981"/>
      <c r="AK47" s="981"/>
      <c r="AL47" s="981"/>
      <c r="AM47" s="981"/>
      <c r="AN47" s="981"/>
      <c r="AO47" s="868"/>
    </row>
    <row r="48" spans="1:41">
      <c r="A48" s="895">
        <v>1</v>
      </c>
      <c r="B48" s="965" t="b">
        <v>1</v>
      </c>
      <c r="C48" s="965"/>
      <c r="D48" s="965"/>
      <c r="E48" s="965"/>
      <c r="F48" s="965"/>
      <c r="G48" s="965"/>
      <c r="H48" s="965"/>
      <c r="I48" s="965"/>
      <c r="J48" s="965"/>
      <c r="K48" s="965"/>
      <c r="L48" s="273" t="s">
        <v>166</v>
      </c>
      <c r="M48" s="274" t="s">
        <v>443</v>
      </c>
      <c r="N48" s="270" t="s">
        <v>370</v>
      </c>
      <c r="O48" s="980">
        <v>0</v>
      </c>
      <c r="P48" s="980">
        <v>0</v>
      </c>
      <c r="Q48" s="980">
        <v>0</v>
      </c>
      <c r="R48" s="980">
        <v>0</v>
      </c>
      <c r="S48" s="980">
        <v>0</v>
      </c>
      <c r="T48" s="980">
        <v>0</v>
      </c>
      <c r="U48" s="980">
        <v>0</v>
      </c>
      <c r="V48" s="980">
        <v>0</v>
      </c>
      <c r="W48" s="980">
        <v>0</v>
      </c>
      <c r="X48" s="980">
        <v>0</v>
      </c>
      <c r="Y48" s="980">
        <v>0</v>
      </c>
      <c r="Z48" s="980">
        <v>0</v>
      </c>
      <c r="AA48" s="980">
        <v>0</v>
      </c>
      <c r="AB48" s="980">
        <v>0</v>
      </c>
      <c r="AC48" s="980">
        <v>0</v>
      </c>
      <c r="AD48" s="980">
        <v>0</v>
      </c>
      <c r="AE48" s="980">
        <v>0</v>
      </c>
      <c r="AF48" s="980">
        <v>0</v>
      </c>
      <c r="AG48" s="980">
        <v>0</v>
      </c>
      <c r="AH48" s="980">
        <v>0</v>
      </c>
      <c r="AI48" s="980">
        <v>0</v>
      </c>
      <c r="AJ48" s="980">
        <v>0</v>
      </c>
      <c r="AK48" s="980">
        <v>0</v>
      </c>
      <c r="AL48" s="980">
        <v>0</v>
      </c>
      <c r="AM48" s="980">
        <v>0</v>
      </c>
      <c r="AN48" s="980">
        <v>0</v>
      </c>
      <c r="AO48" s="868"/>
    </row>
    <row r="49" spans="1:41">
      <c r="A49" s="895">
        <v>1</v>
      </c>
      <c r="B49" s="965" t="b">
        <v>1</v>
      </c>
      <c r="C49" s="965"/>
      <c r="D49" s="965"/>
      <c r="E49" s="965"/>
      <c r="F49" s="965"/>
      <c r="G49" s="965"/>
      <c r="H49" s="965"/>
      <c r="I49" s="965"/>
      <c r="J49" s="965"/>
      <c r="K49" s="965"/>
      <c r="L49" s="273" t="s">
        <v>534</v>
      </c>
      <c r="M49" s="275" t="s">
        <v>444</v>
      </c>
      <c r="N49" s="270" t="s">
        <v>370</v>
      </c>
      <c r="O49" s="981"/>
      <c r="P49" s="981"/>
      <c r="Q49" s="981"/>
      <c r="R49" s="981"/>
      <c r="S49" s="981"/>
      <c r="T49" s="981"/>
      <c r="U49" s="981"/>
      <c r="V49" s="981"/>
      <c r="W49" s="981"/>
      <c r="X49" s="981"/>
      <c r="Y49" s="981"/>
      <c r="Z49" s="981"/>
      <c r="AA49" s="981"/>
      <c r="AB49" s="981"/>
      <c r="AC49" s="981"/>
      <c r="AD49" s="981"/>
      <c r="AE49" s="981"/>
      <c r="AF49" s="981"/>
      <c r="AG49" s="981"/>
      <c r="AH49" s="981"/>
      <c r="AI49" s="981"/>
      <c r="AJ49" s="981"/>
      <c r="AK49" s="981"/>
      <c r="AL49" s="981"/>
      <c r="AM49" s="981"/>
      <c r="AN49" s="981"/>
      <c r="AO49" s="868"/>
    </row>
    <row r="50" spans="1:41">
      <c r="A50" s="895">
        <v>1</v>
      </c>
      <c r="B50" s="965" t="b">
        <v>1</v>
      </c>
      <c r="C50" s="965"/>
      <c r="D50" s="965"/>
      <c r="E50" s="965"/>
      <c r="F50" s="965"/>
      <c r="G50" s="965"/>
      <c r="H50" s="965"/>
      <c r="I50" s="965"/>
      <c r="J50" s="965"/>
      <c r="K50" s="965"/>
      <c r="L50" s="273" t="s">
        <v>540</v>
      </c>
      <c r="M50" s="275" t="s">
        <v>445</v>
      </c>
      <c r="N50" s="270" t="s">
        <v>370</v>
      </c>
      <c r="O50" s="981"/>
      <c r="P50" s="981"/>
      <c r="Q50" s="981"/>
      <c r="R50" s="981"/>
      <c r="S50" s="981"/>
      <c r="T50" s="981"/>
      <c r="U50" s="981"/>
      <c r="V50" s="981"/>
      <c r="W50" s="981"/>
      <c r="X50" s="981"/>
      <c r="Y50" s="981"/>
      <c r="Z50" s="981"/>
      <c r="AA50" s="981"/>
      <c r="AB50" s="981"/>
      <c r="AC50" s="981"/>
      <c r="AD50" s="981"/>
      <c r="AE50" s="981"/>
      <c r="AF50" s="981"/>
      <c r="AG50" s="981"/>
      <c r="AH50" s="981"/>
      <c r="AI50" s="981"/>
      <c r="AJ50" s="981"/>
      <c r="AK50" s="981"/>
      <c r="AL50" s="981"/>
      <c r="AM50" s="981"/>
      <c r="AN50" s="981"/>
      <c r="AO50" s="868"/>
    </row>
    <row r="51" spans="1:41">
      <c r="A51" s="895">
        <v>1</v>
      </c>
      <c r="B51" s="965" t="b">
        <v>1</v>
      </c>
      <c r="C51" s="965"/>
      <c r="D51" s="965"/>
      <c r="E51" s="965"/>
      <c r="F51" s="965"/>
      <c r="G51" s="965"/>
      <c r="H51" s="965"/>
      <c r="I51" s="965"/>
      <c r="J51" s="965"/>
      <c r="K51" s="965"/>
      <c r="L51" s="273" t="s">
        <v>542</v>
      </c>
      <c r="M51" s="275" t="s">
        <v>446</v>
      </c>
      <c r="N51" s="270" t="s">
        <v>370</v>
      </c>
      <c r="O51" s="981"/>
      <c r="P51" s="981"/>
      <c r="Q51" s="981"/>
      <c r="R51" s="981"/>
      <c r="S51" s="981"/>
      <c r="T51" s="981"/>
      <c r="U51" s="981"/>
      <c r="V51" s="981"/>
      <c r="W51" s="981"/>
      <c r="X51" s="981"/>
      <c r="Y51" s="981"/>
      <c r="Z51" s="981"/>
      <c r="AA51" s="981"/>
      <c r="AB51" s="981"/>
      <c r="AC51" s="981"/>
      <c r="AD51" s="981"/>
      <c r="AE51" s="981"/>
      <c r="AF51" s="981"/>
      <c r="AG51" s="981"/>
      <c r="AH51" s="981"/>
      <c r="AI51" s="981"/>
      <c r="AJ51" s="981"/>
      <c r="AK51" s="981"/>
      <c r="AL51" s="981"/>
      <c r="AM51" s="981"/>
      <c r="AN51" s="981"/>
      <c r="AO51" s="868"/>
    </row>
    <row r="52" spans="1:41">
      <c r="A52" s="895">
        <v>1</v>
      </c>
      <c r="B52" s="965" t="b">
        <v>1</v>
      </c>
      <c r="C52" s="965"/>
      <c r="D52" s="965"/>
      <c r="E52" s="965"/>
      <c r="F52" s="965"/>
      <c r="G52" s="965"/>
      <c r="H52" s="965"/>
      <c r="I52" s="965"/>
      <c r="J52" s="965"/>
      <c r="K52" s="965"/>
      <c r="L52" s="273" t="s">
        <v>378</v>
      </c>
      <c r="M52" s="274" t="s">
        <v>447</v>
      </c>
      <c r="N52" s="270" t="s">
        <v>370</v>
      </c>
      <c r="O52" s="980">
        <v>0</v>
      </c>
      <c r="P52" s="980">
        <v>0</v>
      </c>
      <c r="Q52" s="980">
        <v>0</v>
      </c>
      <c r="R52" s="980">
        <v>0</v>
      </c>
      <c r="S52" s="980">
        <v>0</v>
      </c>
      <c r="T52" s="980">
        <v>0</v>
      </c>
      <c r="U52" s="980">
        <v>0</v>
      </c>
      <c r="V52" s="980">
        <v>0</v>
      </c>
      <c r="W52" s="980">
        <v>0</v>
      </c>
      <c r="X52" s="980">
        <v>0</v>
      </c>
      <c r="Y52" s="980">
        <v>0</v>
      </c>
      <c r="Z52" s="980">
        <v>0</v>
      </c>
      <c r="AA52" s="980">
        <v>0</v>
      </c>
      <c r="AB52" s="980">
        <v>0</v>
      </c>
      <c r="AC52" s="980">
        <v>0</v>
      </c>
      <c r="AD52" s="980">
        <v>0</v>
      </c>
      <c r="AE52" s="980">
        <v>0</v>
      </c>
      <c r="AF52" s="980">
        <v>0</v>
      </c>
      <c r="AG52" s="980">
        <v>0</v>
      </c>
      <c r="AH52" s="980">
        <v>0</v>
      </c>
      <c r="AI52" s="980">
        <v>0</v>
      </c>
      <c r="AJ52" s="980">
        <v>0</v>
      </c>
      <c r="AK52" s="980">
        <v>0</v>
      </c>
      <c r="AL52" s="980">
        <v>0</v>
      </c>
      <c r="AM52" s="980">
        <v>0</v>
      </c>
      <c r="AN52" s="980">
        <v>0</v>
      </c>
      <c r="AO52" s="868"/>
    </row>
    <row r="53" spans="1:41">
      <c r="A53" s="895">
        <v>1</v>
      </c>
      <c r="B53" s="965" t="b">
        <v>1</v>
      </c>
      <c r="C53" s="965"/>
      <c r="D53" s="965"/>
      <c r="E53" s="965"/>
      <c r="F53" s="965"/>
      <c r="G53" s="965"/>
      <c r="H53" s="965"/>
      <c r="I53" s="965"/>
      <c r="J53" s="965"/>
      <c r="K53" s="965"/>
      <c r="L53" s="273" t="s">
        <v>564</v>
      </c>
      <c r="M53" s="275" t="s">
        <v>448</v>
      </c>
      <c r="N53" s="270" t="s">
        <v>370</v>
      </c>
      <c r="O53" s="981"/>
      <c r="P53" s="981"/>
      <c r="Q53" s="981"/>
      <c r="R53" s="981"/>
      <c r="S53" s="981"/>
      <c r="T53" s="981"/>
      <c r="U53" s="981"/>
      <c r="V53" s="981"/>
      <c r="W53" s="981"/>
      <c r="X53" s="981"/>
      <c r="Y53" s="981"/>
      <c r="Z53" s="981"/>
      <c r="AA53" s="981"/>
      <c r="AB53" s="981"/>
      <c r="AC53" s="981"/>
      <c r="AD53" s="981"/>
      <c r="AE53" s="981"/>
      <c r="AF53" s="981"/>
      <c r="AG53" s="981"/>
      <c r="AH53" s="981"/>
      <c r="AI53" s="981"/>
      <c r="AJ53" s="981"/>
      <c r="AK53" s="981"/>
      <c r="AL53" s="981"/>
      <c r="AM53" s="981"/>
      <c r="AN53" s="981"/>
      <c r="AO53" s="868"/>
    </row>
    <row r="54" spans="1:41">
      <c r="A54" s="895">
        <v>1</v>
      </c>
      <c r="B54" s="965" t="b">
        <v>1</v>
      </c>
      <c r="C54" s="965"/>
      <c r="D54" s="965"/>
      <c r="E54" s="965"/>
      <c r="F54" s="965"/>
      <c r="G54" s="965"/>
      <c r="H54" s="965"/>
      <c r="I54" s="965"/>
      <c r="J54" s="965"/>
      <c r="K54" s="965"/>
      <c r="L54" s="273" t="s">
        <v>566</v>
      </c>
      <c r="M54" s="275" t="s">
        <v>449</v>
      </c>
      <c r="N54" s="270" t="s">
        <v>370</v>
      </c>
      <c r="O54" s="981"/>
      <c r="P54" s="981"/>
      <c r="Q54" s="981"/>
      <c r="R54" s="981"/>
      <c r="S54" s="981"/>
      <c r="T54" s="981"/>
      <c r="U54" s="981"/>
      <c r="V54" s="981"/>
      <c r="W54" s="981"/>
      <c r="X54" s="981"/>
      <c r="Y54" s="981"/>
      <c r="Z54" s="981"/>
      <c r="AA54" s="981"/>
      <c r="AB54" s="981"/>
      <c r="AC54" s="981"/>
      <c r="AD54" s="981"/>
      <c r="AE54" s="981"/>
      <c r="AF54" s="981"/>
      <c r="AG54" s="981"/>
      <c r="AH54" s="981"/>
      <c r="AI54" s="981"/>
      <c r="AJ54" s="981"/>
      <c r="AK54" s="981"/>
      <c r="AL54" s="981"/>
      <c r="AM54" s="981"/>
      <c r="AN54" s="981"/>
      <c r="AO54" s="868"/>
    </row>
    <row r="55" spans="1:41">
      <c r="A55" s="895">
        <v>1</v>
      </c>
      <c r="B55" s="965" t="b">
        <v>1</v>
      </c>
      <c r="C55" s="965"/>
      <c r="D55" s="965"/>
      <c r="E55" s="965"/>
      <c r="F55" s="965"/>
      <c r="G55" s="965"/>
      <c r="H55" s="965"/>
      <c r="I55" s="965"/>
      <c r="J55" s="965"/>
      <c r="K55" s="965"/>
      <c r="L55" s="273" t="s">
        <v>568</v>
      </c>
      <c r="M55" s="275" t="s">
        <v>450</v>
      </c>
      <c r="N55" s="270" t="s">
        <v>370</v>
      </c>
      <c r="O55" s="981"/>
      <c r="P55" s="981"/>
      <c r="Q55" s="981"/>
      <c r="R55" s="981"/>
      <c r="S55" s="981"/>
      <c r="T55" s="981"/>
      <c r="U55" s="981"/>
      <c r="V55" s="981"/>
      <c r="W55" s="981"/>
      <c r="X55" s="981"/>
      <c r="Y55" s="981"/>
      <c r="Z55" s="981"/>
      <c r="AA55" s="981"/>
      <c r="AB55" s="981"/>
      <c r="AC55" s="981"/>
      <c r="AD55" s="981"/>
      <c r="AE55" s="981"/>
      <c r="AF55" s="981"/>
      <c r="AG55" s="981"/>
      <c r="AH55" s="981"/>
      <c r="AI55" s="981"/>
      <c r="AJ55" s="981"/>
      <c r="AK55" s="981"/>
      <c r="AL55" s="981"/>
      <c r="AM55" s="981"/>
      <c r="AN55" s="981"/>
      <c r="AO55" s="868"/>
    </row>
    <row r="56" spans="1:41">
      <c r="A56" s="895">
        <v>1</v>
      </c>
      <c r="B56" s="965" t="b">
        <v>1</v>
      </c>
      <c r="C56" s="965"/>
      <c r="D56" s="965"/>
      <c r="E56" s="965"/>
      <c r="F56" s="965"/>
      <c r="G56" s="965"/>
      <c r="H56" s="965"/>
      <c r="I56" s="965"/>
      <c r="J56" s="965"/>
      <c r="K56" s="965"/>
      <c r="L56" s="273" t="s">
        <v>380</v>
      </c>
      <c r="M56" s="274" t="s">
        <v>451</v>
      </c>
      <c r="N56" s="270" t="s">
        <v>370</v>
      </c>
      <c r="O56" s="980">
        <v>0</v>
      </c>
      <c r="P56" s="980">
        <v>0</v>
      </c>
      <c r="Q56" s="980">
        <v>0</v>
      </c>
      <c r="R56" s="980">
        <v>0</v>
      </c>
      <c r="S56" s="980">
        <v>0</v>
      </c>
      <c r="T56" s="980">
        <v>0</v>
      </c>
      <c r="U56" s="980">
        <v>0</v>
      </c>
      <c r="V56" s="980">
        <v>0</v>
      </c>
      <c r="W56" s="980">
        <v>0</v>
      </c>
      <c r="X56" s="980">
        <v>0</v>
      </c>
      <c r="Y56" s="980">
        <v>0</v>
      </c>
      <c r="Z56" s="980">
        <v>0</v>
      </c>
      <c r="AA56" s="980">
        <v>0</v>
      </c>
      <c r="AB56" s="980">
        <v>0</v>
      </c>
      <c r="AC56" s="980">
        <v>0</v>
      </c>
      <c r="AD56" s="980">
        <v>0</v>
      </c>
      <c r="AE56" s="980">
        <v>0</v>
      </c>
      <c r="AF56" s="980">
        <v>0</v>
      </c>
      <c r="AG56" s="980">
        <v>0</v>
      </c>
      <c r="AH56" s="980">
        <v>0</v>
      </c>
      <c r="AI56" s="980">
        <v>0</v>
      </c>
      <c r="AJ56" s="980">
        <v>0</v>
      </c>
      <c r="AK56" s="980">
        <v>0</v>
      </c>
      <c r="AL56" s="980">
        <v>0</v>
      </c>
      <c r="AM56" s="980">
        <v>0</v>
      </c>
      <c r="AN56" s="980">
        <v>0</v>
      </c>
      <c r="AO56" s="868"/>
    </row>
    <row r="57" spans="1:41">
      <c r="A57" s="895">
        <v>1</v>
      </c>
      <c r="B57" s="965" t="b">
        <v>1</v>
      </c>
      <c r="C57" s="965"/>
      <c r="D57" s="965"/>
      <c r="E57" s="965"/>
      <c r="F57" s="965"/>
      <c r="G57" s="965"/>
      <c r="H57" s="965"/>
      <c r="I57" s="965"/>
      <c r="J57" s="965"/>
      <c r="K57" s="965"/>
      <c r="L57" s="273" t="s">
        <v>573</v>
      </c>
      <c r="M57" s="275" t="s">
        <v>452</v>
      </c>
      <c r="N57" s="270" t="s">
        <v>370</v>
      </c>
      <c r="O57" s="981"/>
      <c r="P57" s="981"/>
      <c r="Q57" s="981"/>
      <c r="R57" s="981"/>
      <c r="S57" s="981"/>
      <c r="T57" s="981"/>
      <c r="U57" s="981"/>
      <c r="V57" s="981"/>
      <c r="W57" s="981"/>
      <c r="X57" s="981"/>
      <c r="Y57" s="981"/>
      <c r="Z57" s="981"/>
      <c r="AA57" s="981"/>
      <c r="AB57" s="981"/>
      <c r="AC57" s="981"/>
      <c r="AD57" s="981"/>
      <c r="AE57" s="981"/>
      <c r="AF57" s="981"/>
      <c r="AG57" s="981"/>
      <c r="AH57" s="981"/>
      <c r="AI57" s="981"/>
      <c r="AJ57" s="981"/>
      <c r="AK57" s="981"/>
      <c r="AL57" s="981"/>
      <c r="AM57" s="981"/>
      <c r="AN57" s="981"/>
      <c r="AO57" s="868"/>
    </row>
    <row r="58" spans="1:41" ht="22.5">
      <c r="A58" s="895">
        <v>1</v>
      </c>
      <c r="B58" s="965" t="b">
        <v>1</v>
      </c>
      <c r="C58" s="965"/>
      <c r="D58" s="965"/>
      <c r="E58" s="965"/>
      <c r="F58" s="965"/>
      <c r="G58" s="965"/>
      <c r="H58" s="965"/>
      <c r="I58" s="965"/>
      <c r="J58" s="965"/>
      <c r="K58" s="965"/>
      <c r="L58" s="273" t="s">
        <v>587</v>
      </c>
      <c r="M58" s="275" t="s">
        <v>1180</v>
      </c>
      <c r="N58" s="270" t="s">
        <v>370</v>
      </c>
      <c r="O58" s="981"/>
      <c r="P58" s="981"/>
      <c r="Q58" s="981"/>
      <c r="R58" s="981"/>
      <c r="S58" s="981"/>
      <c r="T58" s="981"/>
      <c r="U58" s="981"/>
      <c r="V58" s="981"/>
      <c r="W58" s="981"/>
      <c r="X58" s="981"/>
      <c r="Y58" s="981"/>
      <c r="Z58" s="981"/>
      <c r="AA58" s="981"/>
      <c r="AB58" s="981"/>
      <c r="AC58" s="981"/>
      <c r="AD58" s="981"/>
      <c r="AE58" s="981"/>
      <c r="AF58" s="981"/>
      <c r="AG58" s="981"/>
      <c r="AH58" s="981"/>
      <c r="AI58" s="981"/>
      <c r="AJ58" s="981"/>
      <c r="AK58" s="981"/>
      <c r="AL58" s="981"/>
      <c r="AM58" s="981"/>
      <c r="AN58" s="981"/>
      <c r="AO58" s="868"/>
    </row>
    <row r="59" spans="1:41" ht="22.5">
      <c r="A59" s="895">
        <v>1</v>
      </c>
      <c r="B59" s="965" t="b">
        <v>1</v>
      </c>
      <c r="C59" s="965"/>
      <c r="D59" s="965"/>
      <c r="E59" s="965"/>
      <c r="F59" s="965"/>
      <c r="G59" s="965"/>
      <c r="H59" s="965"/>
      <c r="I59" s="965"/>
      <c r="J59" s="965"/>
      <c r="K59" s="965"/>
      <c r="L59" s="273" t="s">
        <v>593</v>
      </c>
      <c r="M59" s="275" t="s">
        <v>453</v>
      </c>
      <c r="N59" s="270" t="s">
        <v>370</v>
      </c>
      <c r="O59" s="981"/>
      <c r="P59" s="981"/>
      <c r="Q59" s="981"/>
      <c r="R59" s="981"/>
      <c r="S59" s="981"/>
      <c r="T59" s="981"/>
      <c r="U59" s="981"/>
      <c r="V59" s="981"/>
      <c r="W59" s="981"/>
      <c r="X59" s="981"/>
      <c r="Y59" s="981"/>
      <c r="Z59" s="981"/>
      <c r="AA59" s="981"/>
      <c r="AB59" s="981"/>
      <c r="AC59" s="981"/>
      <c r="AD59" s="981"/>
      <c r="AE59" s="981"/>
      <c r="AF59" s="981"/>
      <c r="AG59" s="981"/>
      <c r="AH59" s="981"/>
      <c r="AI59" s="981"/>
      <c r="AJ59" s="981"/>
      <c r="AK59" s="981"/>
      <c r="AL59" s="981"/>
      <c r="AM59" s="981"/>
      <c r="AN59" s="981"/>
      <c r="AO59" s="868"/>
    </row>
    <row r="60" spans="1:41">
      <c r="A60" s="895">
        <v>1</v>
      </c>
      <c r="B60" s="965" t="b">
        <v>1</v>
      </c>
      <c r="C60" s="965"/>
      <c r="D60" s="965"/>
      <c r="E60" s="965"/>
      <c r="F60" s="965"/>
      <c r="G60" s="965"/>
      <c r="H60" s="965"/>
      <c r="I60" s="965"/>
      <c r="J60" s="965"/>
      <c r="K60" s="965"/>
      <c r="L60" s="273" t="s">
        <v>595</v>
      </c>
      <c r="M60" s="275" t="s">
        <v>454</v>
      </c>
      <c r="N60" s="270" t="s">
        <v>370</v>
      </c>
      <c r="O60" s="981"/>
      <c r="P60" s="981"/>
      <c r="Q60" s="981"/>
      <c r="R60" s="981"/>
      <c r="S60" s="981"/>
      <c r="T60" s="981"/>
      <c r="U60" s="981"/>
      <c r="V60" s="981"/>
      <c r="W60" s="981"/>
      <c r="X60" s="981"/>
      <c r="Y60" s="981"/>
      <c r="Z60" s="981"/>
      <c r="AA60" s="981"/>
      <c r="AB60" s="981"/>
      <c r="AC60" s="981"/>
      <c r="AD60" s="981"/>
      <c r="AE60" s="981"/>
      <c r="AF60" s="981"/>
      <c r="AG60" s="981"/>
      <c r="AH60" s="981"/>
      <c r="AI60" s="981"/>
      <c r="AJ60" s="981"/>
      <c r="AK60" s="981"/>
      <c r="AL60" s="981"/>
      <c r="AM60" s="981"/>
      <c r="AN60" s="981"/>
      <c r="AO60" s="868"/>
    </row>
    <row r="61" spans="1:41" s="278" customFormat="1" ht="22.5">
      <c r="A61" s="895">
        <v>1</v>
      </c>
      <c r="B61" s="965" t="b">
        <v>1</v>
      </c>
      <c r="C61" s="978"/>
      <c r="D61" s="978"/>
      <c r="E61" s="978"/>
      <c r="F61" s="978"/>
      <c r="G61" s="978"/>
      <c r="H61" s="978"/>
      <c r="I61" s="978"/>
      <c r="J61" s="978"/>
      <c r="K61" s="978"/>
      <c r="L61" s="276" t="s">
        <v>102</v>
      </c>
      <c r="M61" s="272" t="s">
        <v>455</v>
      </c>
      <c r="N61" s="277" t="s">
        <v>370</v>
      </c>
      <c r="O61" s="979">
        <v>0</v>
      </c>
      <c r="P61" s="979">
        <v>0</v>
      </c>
      <c r="Q61" s="979">
        <v>0</v>
      </c>
      <c r="R61" s="979">
        <v>0</v>
      </c>
      <c r="S61" s="979">
        <v>0</v>
      </c>
      <c r="T61" s="979">
        <v>0</v>
      </c>
      <c r="U61" s="979">
        <v>0</v>
      </c>
      <c r="V61" s="979">
        <v>0</v>
      </c>
      <c r="W61" s="979">
        <v>0</v>
      </c>
      <c r="X61" s="979">
        <v>0</v>
      </c>
      <c r="Y61" s="979">
        <v>0</v>
      </c>
      <c r="Z61" s="979">
        <v>0</v>
      </c>
      <c r="AA61" s="979">
        <v>0</v>
      </c>
      <c r="AB61" s="979">
        <v>0</v>
      </c>
      <c r="AC61" s="979">
        <v>0</v>
      </c>
      <c r="AD61" s="979">
        <v>0</v>
      </c>
      <c r="AE61" s="979">
        <v>0</v>
      </c>
      <c r="AF61" s="979">
        <v>0</v>
      </c>
      <c r="AG61" s="979">
        <v>0</v>
      </c>
      <c r="AH61" s="979">
        <v>0</v>
      </c>
      <c r="AI61" s="979">
        <v>0</v>
      </c>
      <c r="AJ61" s="979">
        <v>0</v>
      </c>
      <c r="AK61" s="979">
        <v>0</v>
      </c>
      <c r="AL61" s="979">
        <v>0</v>
      </c>
      <c r="AM61" s="979">
        <v>0</v>
      </c>
      <c r="AN61" s="979">
        <v>0</v>
      </c>
      <c r="AO61" s="868"/>
    </row>
    <row r="62" spans="1:41">
      <c r="A62" s="895">
        <v>1</v>
      </c>
      <c r="B62" s="965" t="b">
        <v>1</v>
      </c>
      <c r="C62" s="965"/>
      <c r="D62" s="965"/>
      <c r="E62" s="965"/>
      <c r="F62" s="965"/>
      <c r="G62" s="965"/>
      <c r="H62" s="965"/>
      <c r="I62" s="965"/>
      <c r="J62" s="965"/>
      <c r="K62" s="965"/>
      <c r="L62" s="273" t="s">
        <v>17</v>
      </c>
      <c r="M62" s="274" t="s">
        <v>1191</v>
      </c>
      <c r="N62" s="270" t="s">
        <v>370</v>
      </c>
      <c r="O62" s="981"/>
      <c r="P62" s="981"/>
      <c r="Q62" s="981"/>
      <c r="R62" s="981"/>
      <c r="S62" s="981"/>
      <c r="T62" s="981"/>
      <c r="U62" s="981"/>
      <c r="V62" s="981"/>
      <c r="W62" s="981"/>
      <c r="X62" s="981"/>
      <c r="Y62" s="981"/>
      <c r="Z62" s="981"/>
      <c r="AA62" s="981"/>
      <c r="AB62" s="981"/>
      <c r="AC62" s="981"/>
      <c r="AD62" s="981"/>
      <c r="AE62" s="981"/>
      <c r="AF62" s="981"/>
      <c r="AG62" s="981"/>
      <c r="AH62" s="981"/>
      <c r="AI62" s="981"/>
      <c r="AJ62" s="981"/>
      <c r="AK62" s="981"/>
      <c r="AL62" s="981"/>
      <c r="AM62" s="981"/>
      <c r="AN62" s="981"/>
      <c r="AO62" s="868"/>
    </row>
    <row r="63" spans="1:41">
      <c r="A63" s="895">
        <v>1</v>
      </c>
      <c r="B63" s="965" t="b">
        <v>1</v>
      </c>
      <c r="C63" s="965"/>
      <c r="D63" s="965"/>
      <c r="E63" s="965"/>
      <c r="F63" s="965"/>
      <c r="G63" s="965"/>
      <c r="H63" s="965"/>
      <c r="I63" s="965"/>
      <c r="J63" s="965"/>
      <c r="K63" s="965"/>
      <c r="L63" s="273" t="s">
        <v>146</v>
      </c>
      <c r="M63" s="274" t="s">
        <v>1192</v>
      </c>
      <c r="N63" s="270" t="s">
        <v>370</v>
      </c>
      <c r="O63" s="981"/>
      <c r="P63" s="981"/>
      <c r="Q63" s="981"/>
      <c r="R63" s="981"/>
      <c r="S63" s="981"/>
      <c r="T63" s="981"/>
      <c r="U63" s="981"/>
      <c r="V63" s="981"/>
      <c r="W63" s="981"/>
      <c r="X63" s="981"/>
      <c r="Y63" s="981"/>
      <c r="Z63" s="981"/>
      <c r="AA63" s="981"/>
      <c r="AB63" s="981"/>
      <c r="AC63" s="981"/>
      <c r="AD63" s="981"/>
      <c r="AE63" s="981"/>
      <c r="AF63" s="981"/>
      <c r="AG63" s="981"/>
      <c r="AH63" s="981"/>
      <c r="AI63" s="981"/>
      <c r="AJ63" s="981"/>
      <c r="AK63" s="981"/>
      <c r="AL63" s="981"/>
      <c r="AM63" s="981"/>
      <c r="AN63" s="981"/>
      <c r="AO63" s="868"/>
    </row>
    <row r="64" spans="1:41">
      <c r="A64" s="895">
        <v>1</v>
      </c>
      <c r="B64" s="965" t="b">
        <v>1</v>
      </c>
      <c r="C64" s="965"/>
      <c r="D64" s="965"/>
      <c r="E64" s="965"/>
      <c r="F64" s="965"/>
      <c r="G64" s="965"/>
      <c r="H64" s="965"/>
      <c r="I64" s="965"/>
      <c r="J64" s="965"/>
      <c r="K64" s="965"/>
      <c r="L64" s="273" t="s">
        <v>167</v>
      </c>
      <c r="M64" s="274" t="s">
        <v>456</v>
      </c>
      <c r="N64" s="270" t="s">
        <v>370</v>
      </c>
      <c r="O64" s="981"/>
      <c r="P64" s="981"/>
      <c r="Q64" s="981"/>
      <c r="R64" s="981"/>
      <c r="S64" s="981"/>
      <c r="T64" s="981"/>
      <c r="U64" s="981"/>
      <c r="V64" s="981"/>
      <c r="W64" s="981"/>
      <c r="X64" s="981"/>
      <c r="Y64" s="981"/>
      <c r="Z64" s="981"/>
      <c r="AA64" s="981"/>
      <c r="AB64" s="981"/>
      <c r="AC64" s="981"/>
      <c r="AD64" s="981"/>
      <c r="AE64" s="981"/>
      <c r="AF64" s="981"/>
      <c r="AG64" s="981"/>
      <c r="AH64" s="981"/>
      <c r="AI64" s="981"/>
      <c r="AJ64" s="981"/>
      <c r="AK64" s="981"/>
      <c r="AL64" s="981"/>
      <c r="AM64" s="981"/>
      <c r="AN64" s="981"/>
      <c r="AO64" s="868"/>
    </row>
    <row r="65" spans="1:41" ht="21" customHeight="1">
      <c r="A65" s="965"/>
      <c r="B65" s="965"/>
      <c r="C65" s="965"/>
      <c r="D65" s="965"/>
      <c r="E65" s="965"/>
      <c r="F65" s="965"/>
      <c r="G65" s="965"/>
      <c r="H65" s="965"/>
      <c r="I65" s="965"/>
      <c r="J65" s="965"/>
      <c r="K65" s="965"/>
      <c r="L65" s="965"/>
      <c r="M65" s="984" t="s">
        <v>1364</v>
      </c>
      <c r="N65" s="965"/>
      <c r="O65" s="965"/>
      <c r="P65" s="965"/>
      <c r="Q65" s="965"/>
      <c r="R65" s="965"/>
      <c r="S65" s="965"/>
      <c r="T65" s="965"/>
      <c r="U65" s="965"/>
      <c r="V65" s="965"/>
      <c r="W65" s="965"/>
      <c r="X65" s="965"/>
      <c r="Y65" s="965"/>
      <c r="Z65" s="965"/>
      <c r="AA65" s="965"/>
      <c r="AB65" s="965"/>
      <c r="AC65" s="965"/>
      <c r="AD65" s="965"/>
      <c r="AE65" s="965"/>
      <c r="AF65" s="965"/>
      <c r="AG65" s="965"/>
      <c r="AH65" s="965"/>
      <c r="AI65" s="965"/>
      <c r="AJ65" s="965"/>
      <c r="AK65" s="965"/>
      <c r="AL65" s="965"/>
      <c r="AM65" s="965"/>
      <c r="AN65" s="965"/>
      <c r="AO65" s="965"/>
    </row>
    <row r="66" spans="1:41" ht="15" customHeight="1">
      <c r="A66" s="965"/>
      <c r="B66" s="965"/>
      <c r="C66" s="965"/>
      <c r="D66" s="965"/>
      <c r="E66" s="965"/>
      <c r="F66" s="965"/>
      <c r="G66" s="965"/>
      <c r="H66" s="965"/>
      <c r="I66" s="965"/>
      <c r="J66" s="965"/>
      <c r="K66" s="965"/>
      <c r="L66" s="985" t="s">
        <v>1402</v>
      </c>
      <c r="M66" s="986"/>
      <c r="N66" s="986"/>
      <c r="O66" s="986"/>
      <c r="P66" s="986"/>
      <c r="Q66" s="986"/>
      <c r="R66" s="986"/>
      <c r="S66" s="986"/>
      <c r="T66" s="986"/>
      <c r="U66" s="986"/>
      <c r="V66" s="986"/>
      <c r="W66" s="986"/>
      <c r="X66" s="986"/>
      <c r="Y66" s="986"/>
      <c r="Z66" s="986"/>
      <c r="AA66" s="986"/>
      <c r="AB66" s="986"/>
      <c r="AC66" s="986"/>
      <c r="AD66" s="986"/>
      <c r="AE66" s="986"/>
      <c r="AF66" s="986"/>
      <c r="AG66" s="986"/>
      <c r="AH66" s="986"/>
      <c r="AI66" s="986"/>
      <c r="AJ66" s="986"/>
      <c r="AK66" s="986"/>
      <c r="AL66" s="986"/>
      <c r="AM66" s="986"/>
      <c r="AN66" s="986"/>
      <c r="AO66" s="986"/>
    </row>
    <row r="67" spans="1:41" ht="15" customHeight="1">
      <c r="A67" s="965"/>
      <c r="B67" s="965"/>
      <c r="C67" s="965"/>
      <c r="D67" s="965"/>
      <c r="E67" s="965"/>
      <c r="F67" s="965"/>
      <c r="G67" s="965"/>
      <c r="H67" s="965"/>
      <c r="I67" s="965"/>
      <c r="J67" s="965"/>
      <c r="K67" s="724"/>
      <c r="L67" s="987"/>
      <c r="M67" s="987"/>
      <c r="N67" s="987"/>
      <c r="O67" s="987"/>
      <c r="P67" s="987"/>
      <c r="Q67" s="987"/>
      <c r="R67" s="987"/>
      <c r="S67" s="987"/>
      <c r="T67" s="987"/>
      <c r="U67" s="987"/>
      <c r="V67" s="987"/>
      <c r="W67" s="987"/>
      <c r="X67" s="987"/>
      <c r="Y67" s="987"/>
      <c r="Z67" s="987"/>
      <c r="AA67" s="987"/>
      <c r="AB67" s="987"/>
      <c r="AC67" s="987"/>
      <c r="AD67" s="987"/>
      <c r="AE67" s="987"/>
      <c r="AF67" s="987"/>
      <c r="AG67" s="987"/>
      <c r="AH67" s="987"/>
      <c r="AI67" s="987"/>
      <c r="AJ67" s="987"/>
      <c r="AK67" s="987"/>
      <c r="AL67" s="987"/>
      <c r="AM67" s="987"/>
      <c r="AN67" s="987"/>
      <c r="AO67" s="987"/>
    </row>
    <row r="68" spans="1:41">
      <c r="A68" s="965"/>
      <c r="B68" s="965"/>
      <c r="C68" s="965"/>
      <c r="D68" s="965"/>
      <c r="E68" s="965"/>
      <c r="F68" s="965"/>
      <c r="G68" s="965"/>
      <c r="H68" s="965"/>
      <c r="I68" s="965"/>
      <c r="J68" s="965"/>
      <c r="K68" s="965"/>
      <c r="L68" s="965"/>
      <c r="M68" s="965"/>
      <c r="N68" s="965"/>
      <c r="O68" s="965"/>
      <c r="P68" s="965"/>
      <c r="Q68" s="965"/>
      <c r="R68" s="965"/>
      <c r="S68" s="965"/>
      <c r="T68" s="965"/>
      <c r="U68" s="965"/>
      <c r="V68" s="965"/>
      <c r="W68" s="965"/>
      <c r="X68" s="965"/>
      <c r="Y68" s="965"/>
      <c r="Z68" s="965"/>
      <c r="AA68" s="965"/>
      <c r="AB68" s="965"/>
      <c r="AC68" s="965"/>
      <c r="AD68" s="965"/>
      <c r="AE68" s="965"/>
      <c r="AF68" s="988"/>
      <c r="AG68" s="988"/>
      <c r="AH68" s="988"/>
      <c r="AI68" s="988"/>
      <c r="AJ68" s="988"/>
      <c r="AK68" s="988"/>
      <c r="AL68" s="988"/>
      <c r="AM68" s="988"/>
      <c r="AN68" s="988"/>
      <c r="AO68" s="965"/>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44:AN47 O62:AN64 O57:AN60 O53:AN55 O49:AN51">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Y23" sqref="Y23"/>
    </sheetView>
  </sheetViews>
  <sheetFormatPr defaultColWidth="9.140625" defaultRowHeight="11.25"/>
  <cols>
    <col min="1" max="10" width="0" style="102" hidden="1" customWidth="1"/>
    <col min="11" max="11" width="3.7109375" style="102" hidden="1" customWidth="1"/>
    <col min="12" max="12" width="6.7109375" style="102" customWidth="1"/>
    <col min="13" max="13" width="50.7109375" style="102" customWidth="1"/>
    <col min="14" max="14" width="10.7109375" style="102" customWidth="1"/>
    <col min="15" max="15" width="13.28515625" style="102" customWidth="1"/>
    <col min="16" max="24" width="13.28515625" style="102" hidden="1" customWidth="1"/>
    <col min="25" max="25" width="13.28515625" style="102" customWidth="1"/>
    <col min="26" max="34" width="13.28515625" style="102" hidden="1" customWidth="1"/>
    <col min="35" max="35" width="20.7109375" style="102" customWidth="1"/>
    <col min="36" max="16384" width="9.140625" style="102"/>
  </cols>
  <sheetData>
    <row r="1" spans="1:35" hidden="1">
      <c r="A1" s="965"/>
      <c r="B1" s="965"/>
      <c r="C1" s="965"/>
      <c r="D1" s="965"/>
      <c r="E1" s="965"/>
      <c r="F1" s="965"/>
      <c r="G1" s="965"/>
      <c r="H1" s="965"/>
      <c r="I1" s="965"/>
      <c r="J1" s="965"/>
      <c r="K1" s="965"/>
      <c r="L1" s="965"/>
      <c r="M1" s="965"/>
      <c r="N1" s="965"/>
      <c r="O1" s="851">
        <v>2024</v>
      </c>
      <c r="P1" s="851">
        <v>2025</v>
      </c>
      <c r="Q1" s="851">
        <v>2026</v>
      </c>
      <c r="R1" s="851">
        <v>2027</v>
      </c>
      <c r="S1" s="851">
        <v>2028</v>
      </c>
      <c r="T1" s="851">
        <v>2029</v>
      </c>
      <c r="U1" s="851">
        <v>2030</v>
      </c>
      <c r="V1" s="851">
        <v>2031</v>
      </c>
      <c r="W1" s="851">
        <v>2032</v>
      </c>
      <c r="X1" s="851">
        <v>2033</v>
      </c>
      <c r="Y1" s="851">
        <v>2024</v>
      </c>
      <c r="Z1" s="851">
        <v>2025</v>
      </c>
      <c r="AA1" s="851">
        <v>2026</v>
      </c>
      <c r="AB1" s="851">
        <v>2027</v>
      </c>
      <c r="AC1" s="851">
        <v>2028</v>
      </c>
      <c r="AD1" s="851">
        <v>2029</v>
      </c>
      <c r="AE1" s="851">
        <v>2030</v>
      </c>
      <c r="AF1" s="851">
        <v>2031</v>
      </c>
      <c r="AG1" s="851">
        <v>2032</v>
      </c>
      <c r="AH1" s="851">
        <v>2033</v>
      </c>
      <c r="AI1" s="965"/>
    </row>
    <row r="2" spans="1:35" hidden="1">
      <c r="A2" s="965"/>
      <c r="B2" s="965"/>
      <c r="C2" s="965"/>
      <c r="D2" s="965"/>
      <c r="E2" s="965"/>
      <c r="F2" s="965"/>
      <c r="G2" s="965"/>
      <c r="H2" s="965"/>
      <c r="I2" s="965"/>
      <c r="J2" s="965"/>
      <c r="K2" s="965"/>
      <c r="L2" s="965"/>
      <c r="M2" s="965"/>
      <c r="N2" s="965"/>
      <c r="O2" s="851"/>
      <c r="P2" s="851"/>
      <c r="Q2" s="851"/>
      <c r="R2" s="851"/>
      <c r="S2" s="851"/>
      <c r="T2" s="851"/>
      <c r="U2" s="851"/>
      <c r="V2" s="851"/>
      <c r="W2" s="851"/>
      <c r="X2" s="851"/>
      <c r="Y2" s="851"/>
      <c r="Z2" s="851"/>
      <c r="AA2" s="851"/>
      <c r="AB2" s="851"/>
      <c r="AC2" s="851"/>
      <c r="AD2" s="851"/>
      <c r="AE2" s="851"/>
      <c r="AF2" s="851"/>
      <c r="AG2" s="851"/>
      <c r="AH2" s="851"/>
      <c r="AI2" s="965"/>
    </row>
    <row r="3" spans="1:35" hidden="1">
      <c r="A3" s="965"/>
      <c r="B3" s="965"/>
      <c r="C3" s="965"/>
      <c r="D3" s="965"/>
      <c r="E3" s="965"/>
      <c r="F3" s="965"/>
      <c r="G3" s="965"/>
      <c r="H3" s="965"/>
      <c r="I3" s="965"/>
      <c r="J3" s="965"/>
      <c r="K3" s="965"/>
      <c r="L3" s="965"/>
      <c r="M3" s="965"/>
      <c r="N3" s="965"/>
      <c r="O3" s="851"/>
      <c r="P3" s="851"/>
      <c r="Q3" s="851"/>
      <c r="R3" s="851"/>
      <c r="S3" s="851"/>
      <c r="T3" s="851"/>
      <c r="U3" s="851"/>
      <c r="V3" s="851"/>
      <c r="W3" s="851"/>
      <c r="X3" s="851"/>
      <c r="Y3" s="851"/>
      <c r="Z3" s="851"/>
      <c r="AA3" s="851"/>
      <c r="AB3" s="851"/>
      <c r="AC3" s="851"/>
      <c r="AD3" s="851"/>
      <c r="AE3" s="851"/>
      <c r="AF3" s="851"/>
      <c r="AG3" s="851"/>
      <c r="AH3" s="851"/>
      <c r="AI3" s="965"/>
    </row>
    <row r="4" spans="1:35" hidden="1">
      <c r="A4" s="965"/>
      <c r="B4" s="965"/>
      <c r="C4" s="965"/>
      <c r="D4" s="965"/>
      <c r="E4" s="965"/>
      <c r="F4" s="965"/>
      <c r="G4" s="965"/>
      <c r="H4" s="965"/>
      <c r="I4" s="965"/>
      <c r="J4" s="965"/>
      <c r="K4" s="965"/>
      <c r="L4" s="965"/>
      <c r="M4" s="965"/>
      <c r="N4" s="965"/>
      <c r="O4" s="851"/>
      <c r="P4" s="851"/>
      <c r="Q4" s="851"/>
      <c r="R4" s="851"/>
      <c r="S4" s="851"/>
      <c r="T4" s="851"/>
      <c r="U4" s="851"/>
      <c r="V4" s="851"/>
      <c r="W4" s="851"/>
      <c r="X4" s="851"/>
      <c r="Y4" s="851"/>
      <c r="Z4" s="851"/>
      <c r="AA4" s="851"/>
      <c r="AB4" s="851"/>
      <c r="AC4" s="851"/>
      <c r="AD4" s="851"/>
      <c r="AE4" s="851"/>
      <c r="AF4" s="851"/>
      <c r="AG4" s="851"/>
      <c r="AH4" s="851"/>
      <c r="AI4" s="965"/>
    </row>
    <row r="5" spans="1:35" hidden="1">
      <c r="A5" s="965"/>
      <c r="B5" s="965"/>
      <c r="C5" s="965"/>
      <c r="D5" s="965"/>
      <c r="E5" s="965"/>
      <c r="F5" s="965"/>
      <c r="G5" s="965"/>
      <c r="H5" s="965"/>
      <c r="I5" s="965"/>
      <c r="J5" s="965"/>
      <c r="K5" s="965"/>
      <c r="L5" s="965"/>
      <c r="M5" s="965"/>
      <c r="N5" s="965"/>
      <c r="O5" s="851"/>
      <c r="P5" s="851"/>
      <c r="Q5" s="851"/>
      <c r="R5" s="851"/>
      <c r="S5" s="851"/>
      <c r="T5" s="851"/>
      <c r="U5" s="851"/>
      <c r="V5" s="851"/>
      <c r="W5" s="851"/>
      <c r="X5" s="851"/>
      <c r="Y5" s="851"/>
      <c r="Z5" s="851"/>
      <c r="AA5" s="851"/>
      <c r="AB5" s="851"/>
      <c r="AC5" s="851"/>
      <c r="AD5" s="851"/>
      <c r="AE5" s="851"/>
      <c r="AF5" s="851"/>
      <c r="AG5" s="851"/>
      <c r="AH5" s="851"/>
      <c r="AI5" s="965"/>
    </row>
    <row r="6" spans="1:35" hidden="1">
      <c r="A6" s="965"/>
      <c r="B6" s="965"/>
      <c r="C6" s="965"/>
      <c r="D6" s="965"/>
      <c r="E6" s="965"/>
      <c r="F6" s="965"/>
      <c r="G6" s="965"/>
      <c r="H6" s="965"/>
      <c r="I6" s="965"/>
      <c r="J6" s="965"/>
      <c r="K6" s="965"/>
      <c r="L6" s="965"/>
      <c r="M6" s="965"/>
      <c r="N6" s="965"/>
      <c r="O6" s="851"/>
      <c r="P6" s="851"/>
      <c r="Q6" s="851"/>
      <c r="R6" s="851"/>
      <c r="S6" s="851"/>
      <c r="T6" s="851"/>
      <c r="U6" s="851"/>
      <c r="V6" s="851"/>
      <c r="W6" s="851"/>
      <c r="X6" s="851"/>
      <c r="Y6" s="851"/>
      <c r="Z6" s="851"/>
      <c r="AA6" s="851"/>
      <c r="AB6" s="851"/>
      <c r="AC6" s="851"/>
      <c r="AD6" s="851"/>
      <c r="AE6" s="851"/>
      <c r="AF6" s="851"/>
      <c r="AG6" s="851"/>
      <c r="AH6" s="851"/>
      <c r="AI6" s="965"/>
    </row>
    <row r="7" spans="1:35" hidden="1">
      <c r="A7" s="965"/>
      <c r="B7" s="965"/>
      <c r="C7" s="965"/>
      <c r="D7" s="965"/>
      <c r="E7" s="965"/>
      <c r="F7" s="965"/>
      <c r="G7" s="965"/>
      <c r="H7" s="965"/>
      <c r="I7" s="965"/>
      <c r="J7" s="965"/>
      <c r="K7" s="965"/>
      <c r="L7" s="965"/>
      <c r="M7" s="965"/>
      <c r="N7" s="965"/>
      <c r="O7" s="800" t="b">
        <v>1</v>
      </c>
      <c r="P7" s="800" t="b">
        <v>0</v>
      </c>
      <c r="Q7" s="800" t="b">
        <v>0</v>
      </c>
      <c r="R7" s="800" t="b">
        <v>0</v>
      </c>
      <c r="S7" s="800" t="b">
        <v>0</v>
      </c>
      <c r="T7" s="800" t="b">
        <v>0</v>
      </c>
      <c r="U7" s="800" t="b">
        <v>0</v>
      </c>
      <c r="V7" s="800" t="b">
        <v>0</v>
      </c>
      <c r="W7" s="800" t="b">
        <v>0</v>
      </c>
      <c r="X7" s="800" t="b">
        <v>0</v>
      </c>
      <c r="Y7" s="800" t="b">
        <v>1</v>
      </c>
      <c r="Z7" s="800" t="b">
        <v>0</v>
      </c>
      <c r="AA7" s="800" t="b">
        <v>0</v>
      </c>
      <c r="AB7" s="800" t="b">
        <v>0</v>
      </c>
      <c r="AC7" s="800" t="b">
        <v>0</v>
      </c>
      <c r="AD7" s="800" t="b">
        <v>0</v>
      </c>
      <c r="AE7" s="800" t="b">
        <v>0</v>
      </c>
      <c r="AF7" s="800" t="b">
        <v>0</v>
      </c>
      <c r="AG7" s="800" t="b">
        <v>0</v>
      </c>
      <c r="AH7" s="800" t="b">
        <v>0</v>
      </c>
      <c r="AI7" s="965"/>
    </row>
    <row r="8" spans="1:35" hidden="1">
      <c r="A8" s="965"/>
      <c r="B8" s="965"/>
      <c r="C8" s="965"/>
      <c r="D8" s="965"/>
      <c r="E8" s="965"/>
      <c r="F8" s="965"/>
      <c r="G8" s="965"/>
      <c r="H8" s="965"/>
      <c r="I8" s="965"/>
      <c r="J8" s="965"/>
      <c r="K8" s="965"/>
      <c r="L8" s="965"/>
      <c r="M8" s="965"/>
      <c r="N8" s="965"/>
      <c r="O8" s="965"/>
      <c r="P8" s="965"/>
      <c r="Q8" s="965"/>
      <c r="R8" s="965"/>
      <c r="S8" s="965"/>
      <c r="T8" s="965"/>
      <c r="U8" s="965"/>
      <c r="V8" s="965"/>
      <c r="W8" s="965"/>
      <c r="X8" s="965"/>
      <c r="Y8" s="965"/>
      <c r="Z8" s="965"/>
      <c r="AA8" s="965"/>
      <c r="AB8" s="965"/>
      <c r="AC8" s="965"/>
      <c r="AD8" s="965"/>
      <c r="AE8" s="965"/>
      <c r="AF8" s="965"/>
      <c r="AG8" s="965"/>
      <c r="AH8" s="965"/>
      <c r="AI8" s="965"/>
    </row>
    <row r="9" spans="1:35" hidden="1">
      <c r="A9" s="965"/>
      <c r="B9" s="965"/>
      <c r="C9" s="965"/>
      <c r="D9" s="965"/>
      <c r="E9" s="965"/>
      <c r="F9" s="965"/>
      <c r="G9" s="965"/>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row>
    <row r="10" spans="1:35" hidden="1">
      <c r="A10" s="965"/>
      <c r="B10" s="965"/>
      <c r="C10" s="965"/>
      <c r="D10" s="965"/>
      <c r="E10" s="965"/>
      <c r="F10" s="965"/>
      <c r="G10" s="965"/>
      <c r="H10" s="965"/>
      <c r="I10" s="965"/>
      <c r="J10" s="965"/>
      <c r="K10" s="965"/>
      <c r="L10" s="965"/>
      <c r="M10" s="965"/>
      <c r="N10" s="965"/>
      <c r="O10" s="965"/>
      <c r="P10" s="965"/>
      <c r="Q10" s="965"/>
      <c r="R10" s="965"/>
      <c r="S10" s="965"/>
      <c r="T10" s="965"/>
      <c r="U10" s="965"/>
      <c r="V10" s="965"/>
      <c r="W10" s="965"/>
      <c r="X10" s="965"/>
      <c r="Y10" s="965"/>
      <c r="Z10" s="965"/>
      <c r="AA10" s="965"/>
      <c r="AB10" s="965"/>
      <c r="AC10" s="965"/>
      <c r="AD10" s="965"/>
      <c r="AE10" s="965"/>
      <c r="AF10" s="965"/>
      <c r="AG10" s="965"/>
      <c r="AH10" s="965"/>
      <c r="AI10" s="965"/>
    </row>
    <row r="11" spans="1:35" ht="15" hidden="1" customHeight="1">
      <c r="A11" s="965"/>
      <c r="B11" s="965"/>
      <c r="C11" s="965"/>
      <c r="D11" s="965"/>
      <c r="E11" s="965"/>
      <c r="F11" s="965"/>
      <c r="G11" s="965"/>
      <c r="H11" s="965"/>
      <c r="I11" s="965"/>
      <c r="J11" s="965"/>
      <c r="K11" s="965"/>
      <c r="L11" s="989"/>
      <c r="M11" s="990"/>
      <c r="N11" s="989"/>
      <c r="O11" s="989"/>
      <c r="P11" s="989"/>
      <c r="Q11" s="989"/>
      <c r="R11" s="989"/>
      <c r="S11" s="989"/>
      <c r="T11" s="989"/>
      <c r="U11" s="989"/>
      <c r="V11" s="989"/>
      <c r="W11" s="989"/>
      <c r="X11" s="989"/>
      <c r="Y11" s="989"/>
      <c r="Z11" s="989"/>
      <c r="AA11" s="989"/>
      <c r="AB11" s="989"/>
      <c r="AC11" s="989"/>
      <c r="AD11" s="989"/>
      <c r="AE11" s="989"/>
      <c r="AF11" s="989"/>
      <c r="AG11" s="989"/>
      <c r="AH11" s="989"/>
      <c r="AI11" s="965"/>
    </row>
    <row r="12" spans="1:35" ht="20.100000000000001" customHeight="1">
      <c r="A12" s="965"/>
      <c r="B12" s="965"/>
      <c r="C12" s="965"/>
      <c r="D12" s="965"/>
      <c r="E12" s="965"/>
      <c r="F12" s="965"/>
      <c r="G12" s="965"/>
      <c r="H12" s="965"/>
      <c r="I12" s="965"/>
      <c r="J12" s="965"/>
      <c r="K12" s="965"/>
      <c r="L12" s="484" t="s">
        <v>1286</v>
      </c>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row>
    <row r="13" spans="1:35" ht="11.25" customHeight="1">
      <c r="A13" s="965"/>
      <c r="B13" s="965"/>
      <c r="C13" s="965"/>
      <c r="D13" s="965"/>
      <c r="E13" s="965"/>
      <c r="F13" s="965"/>
      <c r="G13" s="965"/>
      <c r="H13" s="965"/>
      <c r="I13" s="965"/>
      <c r="J13" s="965"/>
      <c r="K13" s="965"/>
      <c r="L13" s="989"/>
      <c r="M13" s="989"/>
      <c r="N13" s="989"/>
      <c r="O13" s="989"/>
      <c r="P13" s="989"/>
      <c r="Q13" s="989"/>
      <c r="R13" s="989"/>
      <c r="S13" s="989"/>
      <c r="T13" s="989"/>
      <c r="U13" s="989"/>
      <c r="V13" s="989"/>
      <c r="W13" s="989"/>
      <c r="X13" s="989"/>
      <c r="Y13" s="989"/>
      <c r="Z13" s="989"/>
      <c r="AA13" s="989"/>
      <c r="AB13" s="989"/>
      <c r="AC13" s="989"/>
      <c r="AD13" s="989"/>
      <c r="AE13" s="989"/>
      <c r="AF13" s="989"/>
      <c r="AG13" s="989"/>
      <c r="AH13" s="989"/>
      <c r="AI13" s="965"/>
    </row>
    <row r="14" spans="1:35" ht="21.6" customHeight="1">
      <c r="A14" s="965"/>
      <c r="B14" s="965"/>
      <c r="C14" s="965"/>
      <c r="D14" s="965"/>
      <c r="E14" s="965"/>
      <c r="F14" s="965"/>
      <c r="G14" s="965"/>
      <c r="H14" s="965"/>
      <c r="I14" s="965"/>
      <c r="J14" s="965"/>
      <c r="K14" s="965"/>
      <c r="L14" s="815" t="s">
        <v>16</v>
      </c>
      <c r="M14" s="991" t="s">
        <v>142</v>
      </c>
      <c r="N14" s="991" t="s">
        <v>143</v>
      </c>
      <c r="O14" s="817" t="s">
        <v>2569</v>
      </c>
      <c r="P14" s="817" t="s">
        <v>2598</v>
      </c>
      <c r="Q14" s="817" t="s">
        <v>2599</v>
      </c>
      <c r="R14" s="817" t="s">
        <v>2600</v>
      </c>
      <c r="S14" s="817" t="s">
        <v>2601</v>
      </c>
      <c r="T14" s="817" t="s">
        <v>2602</v>
      </c>
      <c r="U14" s="817" t="s">
        <v>2603</v>
      </c>
      <c r="V14" s="817" t="s">
        <v>2604</v>
      </c>
      <c r="W14" s="817" t="s">
        <v>2605</v>
      </c>
      <c r="X14" s="817" t="s">
        <v>2606</v>
      </c>
      <c r="Y14" s="817" t="s">
        <v>2569</v>
      </c>
      <c r="Z14" s="817" t="s">
        <v>2598</v>
      </c>
      <c r="AA14" s="817" t="s">
        <v>2599</v>
      </c>
      <c r="AB14" s="817" t="s">
        <v>2600</v>
      </c>
      <c r="AC14" s="817" t="s">
        <v>2601</v>
      </c>
      <c r="AD14" s="817" t="s">
        <v>2602</v>
      </c>
      <c r="AE14" s="817" t="s">
        <v>2603</v>
      </c>
      <c r="AF14" s="817" t="s">
        <v>2604</v>
      </c>
      <c r="AG14" s="817" t="s">
        <v>2605</v>
      </c>
      <c r="AH14" s="817" t="s">
        <v>2606</v>
      </c>
      <c r="AI14" s="973" t="s">
        <v>323</v>
      </c>
    </row>
    <row r="15" spans="1:35" ht="57.75" customHeight="1">
      <c r="A15" s="965"/>
      <c r="B15" s="965"/>
      <c r="C15" s="965"/>
      <c r="D15" s="965"/>
      <c r="E15" s="965"/>
      <c r="F15" s="965"/>
      <c r="G15" s="965"/>
      <c r="H15" s="965"/>
      <c r="I15" s="965"/>
      <c r="J15" s="965"/>
      <c r="K15" s="965"/>
      <c r="L15" s="815"/>
      <c r="M15" s="991"/>
      <c r="N15" s="991"/>
      <c r="O15" s="971" t="s">
        <v>457</v>
      </c>
      <c r="P15" s="971" t="s">
        <v>457</v>
      </c>
      <c r="Q15" s="971" t="s">
        <v>457</v>
      </c>
      <c r="R15" s="971" t="s">
        <v>457</v>
      </c>
      <c r="S15" s="971" t="s">
        <v>457</v>
      </c>
      <c r="T15" s="971" t="s">
        <v>457</v>
      </c>
      <c r="U15" s="971" t="s">
        <v>457</v>
      </c>
      <c r="V15" s="971" t="s">
        <v>457</v>
      </c>
      <c r="W15" s="971" t="s">
        <v>457</v>
      </c>
      <c r="X15" s="971" t="s">
        <v>457</v>
      </c>
      <c r="Y15" s="971" t="s">
        <v>286</v>
      </c>
      <c r="Z15" s="971" t="s">
        <v>286</v>
      </c>
      <c r="AA15" s="971" t="s">
        <v>286</v>
      </c>
      <c r="AB15" s="971" t="s">
        <v>286</v>
      </c>
      <c r="AC15" s="971" t="s">
        <v>286</v>
      </c>
      <c r="AD15" s="971" t="s">
        <v>286</v>
      </c>
      <c r="AE15" s="971" t="s">
        <v>286</v>
      </c>
      <c r="AF15" s="971" t="s">
        <v>286</v>
      </c>
      <c r="AG15" s="971" t="s">
        <v>286</v>
      </c>
      <c r="AH15" s="971" t="s">
        <v>286</v>
      </c>
      <c r="AI15" s="973"/>
    </row>
    <row r="16" spans="1:35" s="82" customFormat="1">
      <c r="A16" s="861" t="s">
        <v>18</v>
      </c>
      <c r="B16" s="844"/>
      <c r="C16" s="844"/>
      <c r="D16" s="844"/>
      <c r="E16" s="844"/>
      <c r="F16" s="844"/>
      <c r="G16" s="844"/>
      <c r="H16" s="844"/>
      <c r="I16" s="844"/>
      <c r="J16" s="844"/>
      <c r="K16" s="844"/>
      <c r="L16" s="982" t="s">
        <v>2545</v>
      </c>
      <c r="M16" s="983"/>
      <c r="N16" s="983"/>
      <c r="O16" s="983"/>
      <c r="P16" s="983"/>
      <c r="Q16" s="983"/>
      <c r="R16" s="983"/>
      <c r="S16" s="983"/>
      <c r="T16" s="983"/>
      <c r="U16" s="983"/>
      <c r="V16" s="983"/>
      <c r="W16" s="983"/>
      <c r="X16" s="983"/>
      <c r="Y16" s="983"/>
      <c r="Z16" s="983"/>
      <c r="AA16" s="983"/>
      <c r="AB16" s="983"/>
      <c r="AC16" s="983"/>
      <c r="AD16" s="983"/>
      <c r="AE16" s="983"/>
      <c r="AF16" s="983"/>
      <c r="AG16" s="983"/>
      <c r="AH16" s="983"/>
      <c r="AI16" s="983"/>
    </row>
    <row r="17" spans="1:35" s="278" customFormat="1">
      <c r="A17" s="895">
        <v>1</v>
      </c>
      <c r="B17" s="978"/>
      <c r="C17" s="978"/>
      <c r="D17" s="978"/>
      <c r="E17" s="978"/>
      <c r="F17" s="978"/>
      <c r="G17" s="978"/>
      <c r="H17" s="978"/>
      <c r="I17" s="978"/>
      <c r="J17" s="978"/>
      <c r="K17" s="978"/>
      <c r="L17" s="992" t="s">
        <v>18</v>
      </c>
      <c r="M17" s="285" t="s">
        <v>458</v>
      </c>
      <c r="N17" s="286" t="s">
        <v>370</v>
      </c>
      <c r="O17" s="993">
        <v>0</v>
      </c>
      <c r="P17" s="994">
        <v>0</v>
      </c>
      <c r="Q17" s="994">
        <v>0</v>
      </c>
      <c r="R17" s="994">
        <v>0</v>
      </c>
      <c r="S17" s="994">
        <v>0</v>
      </c>
      <c r="T17" s="994">
        <v>0</v>
      </c>
      <c r="U17" s="994">
        <v>0</v>
      </c>
      <c r="V17" s="994">
        <v>0</v>
      </c>
      <c r="W17" s="994">
        <v>0</v>
      </c>
      <c r="X17" s="994">
        <v>0</v>
      </c>
      <c r="Y17" s="993">
        <v>0</v>
      </c>
      <c r="Z17" s="994">
        <v>0</v>
      </c>
      <c r="AA17" s="994">
        <v>0</v>
      </c>
      <c r="AB17" s="994">
        <v>0</v>
      </c>
      <c r="AC17" s="994">
        <v>0</v>
      </c>
      <c r="AD17" s="994">
        <v>0</v>
      </c>
      <c r="AE17" s="994">
        <v>0</v>
      </c>
      <c r="AF17" s="994">
        <v>0</v>
      </c>
      <c r="AG17" s="994">
        <v>0</v>
      </c>
      <c r="AH17" s="994">
        <v>0</v>
      </c>
      <c r="AI17" s="868"/>
    </row>
    <row r="18" spans="1:35">
      <c r="A18" s="895">
        <v>1</v>
      </c>
      <c r="B18" s="965"/>
      <c r="C18" s="965"/>
      <c r="D18" s="965"/>
      <c r="E18" s="965"/>
      <c r="F18" s="965"/>
      <c r="G18" s="965"/>
      <c r="H18" s="965"/>
      <c r="I18" s="965"/>
      <c r="J18" s="965"/>
      <c r="K18" s="965"/>
      <c r="L18" s="995" t="s">
        <v>165</v>
      </c>
      <c r="M18" s="289" t="s">
        <v>459</v>
      </c>
      <c r="N18" s="288" t="s">
        <v>370</v>
      </c>
      <c r="O18" s="996"/>
      <c r="P18" s="997"/>
      <c r="Q18" s="997"/>
      <c r="R18" s="997"/>
      <c r="S18" s="997"/>
      <c r="T18" s="997"/>
      <c r="U18" s="997"/>
      <c r="V18" s="997"/>
      <c r="W18" s="997"/>
      <c r="X18" s="997"/>
      <c r="Y18" s="996"/>
      <c r="Z18" s="997"/>
      <c r="AA18" s="997"/>
      <c r="AB18" s="997"/>
      <c r="AC18" s="997"/>
      <c r="AD18" s="997"/>
      <c r="AE18" s="997"/>
      <c r="AF18" s="997"/>
      <c r="AG18" s="997"/>
      <c r="AH18" s="997"/>
      <c r="AI18" s="868"/>
    </row>
    <row r="19" spans="1:35" ht="22.5">
      <c r="A19" s="895">
        <v>1</v>
      </c>
      <c r="B19" s="965"/>
      <c r="C19" s="965"/>
      <c r="D19" s="965"/>
      <c r="E19" s="965"/>
      <c r="F19" s="965"/>
      <c r="G19" s="965"/>
      <c r="H19" s="965"/>
      <c r="I19" s="965"/>
      <c r="J19" s="965"/>
      <c r="K19" s="965"/>
      <c r="L19" s="995" t="s">
        <v>166</v>
      </c>
      <c r="M19" s="289" t="s">
        <v>460</v>
      </c>
      <c r="N19" s="288" t="s">
        <v>370</v>
      </c>
      <c r="O19" s="996"/>
      <c r="P19" s="997"/>
      <c r="Q19" s="997"/>
      <c r="R19" s="997"/>
      <c r="S19" s="997"/>
      <c r="T19" s="997"/>
      <c r="U19" s="997"/>
      <c r="V19" s="997"/>
      <c r="W19" s="997"/>
      <c r="X19" s="997"/>
      <c r="Y19" s="996"/>
      <c r="Z19" s="997"/>
      <c r="AA19" s="997"/>
      <c r="AB19" s="997"/>
      <c r="AC19" s="997"/>
      <c r="AD19" s="997"/>
      <c r="AE19" s="997"/>
      <c r="AF19" s="997"/>
      <c r="AG19" s="997"/>
      <c r="AH19" s="997"/>
      <c r="AI19" s="868"/>
    </row>
    <row r="20" spans="1:35" ht="33.75">
      <c r="A20" s="895">
        <v>1</v>
      </c>
      <c r="B20" s="965"/>
      <c r="C20" s="965"/>
      <c r="D20" s="965"/>
      <c r="E20" s="965"/>
      <c r="F20" s="965"/>
      <c r="G20" s="965"/>
      <c r="H20" s="965"/>
      <c r="I20" s="965"/>
      <c r="J20" s="965"/>
      <c r="K20" s="965"/>
      <c r="L20" s="995" t="s">
        <v>378</v>
      </c>
      <c r="M20" s="289" t="s">
        <v>461</v>
      </c>
      <c r="N20" s="288" t="s">
        <v>370</v>
      </c>
      <c r="O20" s="996"/>
      <c r="P20" s="997"/>
      <c r="Q20" s="997"/>
      <c r="R20" s="997"/>
      <c r="S20" s="997"/>
      <c r="T20" s="997"/>
      <c r="U20" s="997"/>
      <c r="V20" s="997"/>
      <c r="W20" s="997"/>
      <c r="X20" s="997"/>
      <c r="Y20" s="996"/>
      <c r="Z20" s="997"/>
      <c r="AA20" s="997"/>
      <c r="AB20" s="997"/>
      <c r="AC20" s="997"/>
      <c r="AD20" s="997"/>
      <c r="AE20" s="997"/>
      <c r="AF20" s="997"/>
      <c r="AG20" s="997"/>
      <c r="AH20" s="997"/>
      <c r="AI20" s="868"/>
    </row>
    <row r="21" spans="1:35">
      <c r="A21" s="895">
        <v>1</v>
      </c>
      <c r="B21" s="965"/>
      <c r="C21" s="965"/>
      <c r="D21" s="965"/>
      <c r="E21" s="965"/>
      <c r="F21" s="965"/>
      <c r="G21" s="965"/>
      <c r="H21" s="965"/>
      <c r="I21" s="965"/>
      <c r="J21" s="965"/>
      <c r="K21" s="965"/>
      <c r="L21" s="995" t="s">
        <v>102</v>
      </c>
      <c r="M21" s="287" t="s">
        <v>462</v>
      </c>
      <c r="N21" s="288" t="s">
        <v>145</v>
      </c>
      <c r="O21" s="998">
        <v>4.7</v>
      </c>
      <c r="P21" s="998">
        <v>0</v>
      </c>
      <c r="Q21" s="998">
        <v>0</v>
      </c>
      <c r="R21" s="998">
        <v>0</v>
      </c>
      <c r="S21" s="998">
        <v>0</v>
      </c>
      <c r="T21" s="998">
        <v>0</v>
      </c>
      <c r="U21" s="998">
        <v>0</v>
      </c>
      <c r="V21" s="998">
        <v>0</v>
      </c>
      <c r="W21" s="998">
        <v>0</v>
      </c>
      <c r="X21" s="998">
        <v>0</v>
      </c>
      <c r="Y21" s="998">
        <v>7.2</v>
      </c>
      <c r="Z21" s="998">
        <v>0</v>
      </c>
      <c r="AA21" s="998">
        <v>0</v>
      </c>
      <c r="AB21" s="998">
        <v>0</v>
      </c>
      <c r="AC21" s="998">
        <v>0</v>
      </c>
      <c r="AD21" s="998">
        <v>0</v>
      </c>
      <c r="AE21" s="998">
        <v>0</v>
      </c>
      <c r="AF21" s="998">
        <v>0</v>
      </c>
      <c r="AG21" s="998">
        <v>0</v>
      </c>
      <c r="AH21" s="998">
        <v>0</v>
      </c>
      <c r="AI21" s="868"/>
    </row>
    <row r="22" spans="1:35">
      <c r="A22" s="895">
        <v>1</v>
      </c>
      <c r="B22" s="965"/>
      <c r="C22" s="965"/>
      <c r="D22" s="965"/>
      <c r="E22" s="965"/>
      <c r="F22" s="965"/>
      <c r="G22" s="965"/>
      <c r="H22" s="965"/>
      <c r="I22" s="965"/>
      <c r="J22" s="965"/>
      <c r="K22" s="965"/>
      <c r="L22" s="999">
        <v>3</v>
      </c>
      <c r="M22" s="287" t="s">
        <v>463</v>
      </c>
      <c r="N22" s="288" t="s">
        <v>145</v>
      </c>
      <c r="O22" s="1000">
        <v>4.7</v>
      </c>
      <c r="P22" s="1001">
        <v>0</v>
      </c>
      <c r="Q22" s="1001">
        <v>0</v>
      </c>
      <c r="R22" s="1001">
        <v>0</v>
      </c>
      <c r="S22" s="1001">
        <v>0</v>
      </c>
      <c r="T22" s="1001">
        <v>0</v>
      </c>
      <c r="U22" s="1001">
        <v>0</v>
      </c>
      <c r="V22" s="1001">
        <v>0</v>
      </c>
      <c r="W22" s="1001">
        <v>0</v>
      </c>
      <c r="X22" s="1001">
        <v>0</v>
      </c>
      <c r="Y22" s="1001">
        <v>7.2</v>
      </c>
      <c r="Z22" s="1001">
        <v>0</v>
      </c>
      <c r="AA22" s="1001">
        <v>0</v>
      </c>
      <c r="AB22" s="1001">
        <v>0</v>
      </c>
      <c r="AC22" s="1001">
        <v>0</v>
      </c>
      <c r="AD22" s="1001">
        <v>0</v>
      </c>
      <c r="AE22" s="1001">
        <v>0</v>
      </c>
      <c r="AF22" s="1001">
        <v>0</v>
      </c>
      <c r="AG22" s="1001">
        <v>0</v>
      </c>
      <c r="AH22" s="1001">
        <v>0</v>
      </c>
      <c r="AI22" s="868"/>
    </row>
    <row r="23" spans="1:35" s="278" customFormat="1">
      <c r="A23" s="895">
        <v>1</v>
      </c>
      <c r="B23" s="978"/>
      <c r="C23" s="978"/>
      <c r="D23" s="978"/>
      <c r="E23" s="978"/>
      <c r="F23" s="978"/>
      <c r="G23" s="978"/>
      <c r="H23" s="978"/>
      <c r="I23" s="978"/>
      <c r="J23" s="978"/>
      <c r="K23" s="978"/>
      <c r="L23" s="992" t="s">
        <v>104</v>
      </c>
      <c r="M23" s="285" t="s">
        <v>464</v>
      </c>
      <c r="N23" s="286" t="s">
        <v>370</v>
      </c>
      <c r="O23" s="993">
        <v>0</v>
      </c>
      <c r="P23" s="993">
        <v>0</v>
      </c>
      <c r="Q23" s="993">
        <v>0</v>
      </c>
      <c r="R23" s="993">
        <v>0</v>
      </c>
      <c r="S23" s="993">
        <v>0</v>
      </c>
      <c r="T23" s="993">
        <v>0</v>
      </c>
      <c r="U23" s="993">
        <v>0</v>
      </c>
      <c r="V23" s="993">
        <v>0</v>
      </c>
      <c r="W23" s="993">
        <v>0</v>
      </c>
      <c r="X23" s="993">
        <v>0</v>
      </c>
      <c r="Y23" s="993">
        <v>0</v>
      </c>
      <c r="Z23" s="993">
        <v>0</v>
      </c>
      <c r="AA23" s="993">
        <v>0</v>
      </c>
      <c r="AB23" s="993">
        <v>0</v>
      </c>
      <c r="AC23" s="993">
        <v>0</v>
      </c>
      <c r="AD23" s="993">
        <v>0</v>
      </c>
      <c r="AE23" s="993">
        <v>0</v>
      </c>
      <c r="AF23" s="993">
        <v>0</v>
      </c>
      <c r="AG23" s="993">
        <v>0</v>
      </c>
      <c r="AH23" s="993">
        <v>0</v>
      </c>
      <c r="AI23" s="868"/>
    </row>
    <row r="24" spans="1:35">
      <c r="A24" s="965"/>
      <c r="B24" s="965"/>
      <c r="C24" s="965"/>
      <c r="D24" s="965"/>
      <c r="E24" s="965"/>
      <c r="F24" s="965"/>
      <c r="G24" s="965"/>
      <c r="H24" s="965"/>
      <c r="I24" s="965"/>
      <c r="J24" s="965"/>
      <c r="K24" s="965"/>
      <c r="L24" s="965"/>
      <c r="M24" s="965"/>
      <c r="N24" s="965"/>
      <c r="O24" s="965"/>
      <c r="P24" s="965"/>
      <c r="Q24" s="965"/>
      <c r="R24" s="965"/>
      <c r="S24" s="965"/>
      <c r="T24" s="965"/>
      <c r="U24" s="965"/>
      <c r="V24" s="965"/>
      <c r="W24" s="965"/>
      <c r="X24" s="965"/>
      <c r="Y24" s="965"/>
      <c r="Z24" s="965"/>
      <c r="AA24" s="965"/>
      <c r="AB24" s="965"/>
      <c r="AC24" s="965"/>
      <c r="AD24" s="965"/>
      <c r="AE24" s="965"/>
      <c r="AF24" s="965"/>
      <c r="AG24" s="965"/>
      <c r="AH24" s="965"/>
      <c r="AI24" s="965"/>
    </row>
    <row r="25" spans="1:35" ht="15" customHeight="1">
      <c r="A25" s="965"/>
      <c r="B25" s="965"/>
      <c r="C25" s="965"/>
      <c r="D25" s="965"/>
      <c r="E25" s="965"/>
      <c r="F25" s="965"/>
      <c r="G25" s="965"/>
      <c r="H25" s="965"/>
      <c r="I25" s="965"/>
      <c r="J25" s="965"/>
      <c r="K25" s="965"/>
      <c r="L25" s="985" t="s">
        <v>1402</v>
      </c>
      <c r="M25" s="985"/>
      <c r="N25" s="985"/>
      <c r="O25" s="985"/>
      <c r="P25" s="985"/>
      <c r="Q25" s="985"/>
      <c r="R25" s="985"/>
      <c r="S25" s="985"/>
      <c r="T25" s="985"/>
      <c r="U25" s="985"/>
      <c r="V25" s="985"/>
      <c r="W25" s="985"/>
      <c r="X25" s="985"/>
      <c r="Y25" s="985"/>
      <c r="Z25" s="985"/>
      <c r="AA25" s="985"/>
      <c r="AB25" s="985"/>
      <c r="AC25" s="985"/>
      <c r="AD25" s="985"/>
      <c r="AE25" s="985"/>
      <c r="AF25" s="985"/>
      <c r="AG25" s="985"/>
      <c r="AH25" s="1002"/>
      <c r="AI25" s="1002"/>
    </row>
    <row r="26" spans="1:35" ht="15" customHeight="1">
      <c r="A26" s="965"/>
      <c r="B26" s="965"/>
      <c r="C26" s="965"/>
      <c r="D26" s="965"/>
      <c r="E26" s="965"/>
      <c r="F26" s="965"/>
      <c r="G26" s="965"/>
      <c r="H26" s="965"/>
      <c r="I26" s="965"/>
      <c r="J26" s="965"/>
      <c r="K26" s="724"/>
      <c r="L26" s="987"/>
      <c r="M26" s="1003"/>
      <c r="N26" s="1003"/>
      <c r="O26" s="1003"/>
      <c r="P26" s="1003"/>
      <c r="Q26" s="1003"/>
      <c r="R26" s="1003"/>
      <c r="S26" s="1003"/>
      <c r="T26" s="1003"/>
      <c r="U26" s="1003"/>
      <c r="V26" s="1003"/>
      <c r="W26" s="1003"/>
      <c r="X26" s="1003"/>
      <c r="Y26" s="1003"/>
      <c r="Z26" s="1003"/>
      <c r="AA26" s="1003"/>
      <c r="AB26" s="1003"/>
      <c r="AC26" s="1003"/>
      <c r="AD26" s="1003"/>
      <c r="AE26" s="1003"/>
      <c r="AF26" s="1003"/>
      <c r="AG26" s="1003"/>
      <c r="AH26" s="1004"/>
      <c r="AI26" s="1004"/>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topLeftCell="A4" zoomScaleNormal="100" workbookViewId="0">
      <selection activeCell="O117" sqref="O117"/>
    </sheetView>
  </sheetViews>
  <sheetFormatPr defaultRowHeight="14.25"/>
  <cols>
    <col min="1" max="1" width="3.28515625" style="16" customWidth="1"/>
    <col min="2" max="2" width="8.7109375" style="16" customWidth="1"/>
    <col min="3" max="3" width="22.28515625" style="16" customWidth="1"/>
    <col min="4" max="4" width="4.28515625" style="16" customWidth="1"/>
    <col min="5" max="6" width="4.42578125" style="16" customWidth="1"/>
    <col min="7" max="7" width="4.5703125" style="16" customWidth="1"/>
    <col min="8" max="24" width="4.42578125" style="16" customWidth="1"/>
    <col min="25" max="25" width="4.42578125" style="17" customWidth="1"/>
    <col min="26" max="26" width="9.140625" style="16"/>
    <col min="27" max="27" width="9.140625" style="18"/>
    <col min="28" max="16384" width="9.140625" style="16"/>
  </cols>
  <sheetData>
    <row r="1" spans="1:29" ht="10.5" customHeight="1">
      <c r="A1" s="15"/>
      <c r="AA1" s="18" t="s">
        <v>176</v>
      </c>
    </row>
    <row r="2" spans="1:29" ht="16.5" customHeight="1">
      <c r="B2" s="616" t="str">
        <f>"Код шаблона: " &amp; GetCode()</f>
        <v>Код шаблона: EXPERT.VSVO.INDEX.CORR</v>
      </c>
      <c r="C2" s="616"/>
      <c r="D2" s="616"/>
      <c r="E2" s="616"/>
      <c r="F2" s="616"/>
      <c r="G2" s="616"/>
      <c r="H2" s="19"/>
      <c r="I2" s="19"/>
      <c r="J2" s="19"/>
      <c r="K2" s="19"/>
      <c r="L2" s="19"/>
      <c r="M2" s="19"/>
      <c r="N2" s="19"/>
      <c r="O2" s="19"/>
      <c r="P2" s="19"/>
      <c r="Q2" s="19"/>
      <c r="R2" s="19"/>
      <c r="S2" s="19"/>
      <c r="T2" s="19"/>
      <c r="U2" s="19"/>
      <c r="V2" s="19"/>
      <c r="W2" s="17"/>
      <c r="Y2" s="18"/>
      <c r="AA2" s="16"/>
    </row>
    <row r="3" spans="1:29" ht="18" customHeight="1">
      <c r="B3" s="617" t="str">
        <f>"Версия " &amp; Getversion()</f>
        <v>Версия 3.1</v>
      </c>
      <c r="C3" s="617"/>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618" t="s">
        <v>1128</v>
      </c>
      <c r="C5" s="619"/>
      <c r="D5" s="619"/>
      <c r="E5" s="619"/>
      <c r="F5" s="619"/>
      <c r="G5" s="619"/>
      <c r="H5" s="619"/>
      <c r="I5" s="619"/>
      <c r="J5" s="619"/>
      <c r="K5" s="619"/>
      <c r="L5" s="619"/>
      <c r="M5" s="619"/>
      <c r="N5" s="619"/>
      <c r="O5" s="619"/>
      <c r="P5" s="619"/>
      <c r="Q5" s="619"/>
      <c r="R5" s="619"/>
      <c r="S5" s="619"/>
      <c r="T5" s="619"/>
      <c r="U5" s="619"/>
      <c r="V5" s="619"/>
      <c r="W5" s="619"/>
      <c r="X5" s="619"/>
      <c r="Y5" s="620"/>
      <c r="Z5" s="50"/>
      <c r="AB5" s="23"/>
      <c r="AC5" s="23"/>
    </row>
    <row r="6" spans="1:29" ht="13.9"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hidden="1" customHeight="1">
      <c r="A7" s="24"/>
      <c r="B7" s="24"/>
      <c r="C7" s="26"/>
      <c r="D7" s="25"/>
      <c r="E7" s="621" t="s">
        <v>1186</v>
      </c>
      <c r="F7" s="621"/>
      <c r="G7" s="621"/>
      <c r="H7" s="621"/>
      <c r="I7" s="621"/>
      <c r="J7" s="621"/>
      <c r="K7" s="621"/>
      <c r="L7" s="621"/>
      <c r="M7" s="621"/>
      <c r="N7" s="621"/>
      <c r="O7" s="621"/>
      <c r="P7" s="621"/>
      <c r="Q7" s="621"/>
      <c r="R7" s="621"/>
      <c r="S7" s="621"/>
      <c r="T7" s="621"/>
      <c r="U7" s="621"/>
      <c r="V7" s="621"/>
      <c r="W7" s="621"/>
      <c r="X7" s="621"/>
      <c r="Y7" s="48"/>
      <c r="Z7" s="24"/>
    </row>
    <row r="8" spans="1:29" ht="15" hidden="1" customHeight="1">
      <c r="A8" s="24"/>
      <c r="B8" s="24"/>
      <c r="C8" s="26"/>
      <c r="D8" s="25"/>
      <c r="E8" s="621"/>
      <c r="F8" s="621"/>
      <c r="G8" s="621"/>
      <c r="H8" s="621"/>
      <c r="I8" s="621"/>
      <c r="J8" s="621"/>
      <c r="K8" s="621"/>
      <c r="L8" s="621"/>
      <c r="M8" s="621"/>
      <c r="N8" s="621"/>
      <c r="O8" s="621"/>
      <c r="P8" s="621"/>
      <c r="Q8" s="621"/>
      <c r="R8" s="621"/>
      <c r="S8" s="621"/>
      <c r="T8" s="621"/>
      <c r="U8" s="621"/>
      <c r="V8" s="621"/>
      <c r="W8" s="621"/>
      <c r="X8" s="621"/>
      <c r="Y8" s="48"/>
      <c r="Z8" s="24"/>
    </row>
    <row r="9" spans="1:29" ht="15" hidden="1" customHeight="1">
      <c r="A9" s="24"/>
      <c r="B9" s="24"/>
      <c r="C9" s="26"/>
      <c r="D9" s="25"/>
      <c r="E9" s="621"/>
      <c r="F9" s="621"/>
      <c r="G9" s="621"/>
      <c r="H9" s="621"/>
      <c r="I9" s="621"/>
      <c r="J9" s="621"/>
      <c r="K9" s="621"/>
      <c r="L9" s="621"/>
      <c r="M9" s="621"/>
      <c r="N9" s="621"/>
      <c r="O9" s="621"/>
      <c r="P9" s="621"/>
      <c r="Q9" s="621"/>
      <c r="R9" s="621"/>
      <c r="S9" s="621"/>
      <c r="T9" s="621"/>
      <c r="U9" s="621"/>
      <c r="V9" s="621"/>
      <c r="W9" s="621"/>
      <c r="X9" s="621"/>
      <c r="Y9" s="48"/>
      <c r="Z9" s="24"/>
    </row>
    <row r="10" spans="1:29" ht="10.5" hidden="1" customHeight="1">
      <c r="A10" s="24"/>
      <c r="B10" s="24"/>
      <c r="C10" s="26"/>
      <c r="D10" s="25"/>
      <c r="E10" s="621"/>
      <c r="F10" s="621"/>
      <c r="G10" s="621"/>
      <c r="H10" s="621"/>
      <c r="I10" s="621"/>
      <c r="J10" s="621"/>
      <c r="K10" s="621"/>
      <c r="L10" s="621"/>
      <c r="M10" s="621"/>
      <c r="N10" s="621"/>
      <c r="O10" s="621"/>
      <c r="P10" s="621"/>
      <c r="Q10" s="621"/>
      <c r="R10" s="621"/>
      <c r="S10" s="621"/>
      <c r="T10" s="621"/>
      <c r="U10" s="621"/>
      <c r="V10" s="621"/>
      <c r="W10" s="621"/>
      <c r="X10" s="621"/>
      <c r="Y10" s="48"/>
      <c r="Z10" s="24"/>
    </row>
    <row r="11" spans="1:29" ht="27" hidden="1" customHeight="1">
      <c r="A11" s="24"/>
      <c r="B11" s="24"/>
      <c r="C11" s="26"/>
      <c r="D11" s="25"/>
      <c r="E11" s="621"/>
      <c r="F11" s="621"/>
      <c r="G11" s="621"/>
      <c r="H11" s="621"/>
      <c r="I11" s="621"/>
      <c r="J11" s="621"/>
      <c r="K11" s="621"/>
      <c r="L11" s="621"/>
      <c r="M11" s="621"/>
      <c r="N11" s="621"/>
      <c r="O11" s="621"/>
      <c r="P11" s="621"/>
      <c r="Q11" s="621"/>
      <c r="R11" s="621"/>
      <c r="S11" s="621"/>
      <c r="T11" s="621"/>
      <c r="U11" s="621"/>
      <c r="V11" s="621"/>
      <c r="W11" s="621"/>
      <c r="X11" s="621"/>
      <c r="Y11" s="48"/>
      <c r="Z11" s="24"/>
    </row>
    <row r="12" spans="1:29" ht="12" hidden="1" customHeight="1">
      <c r="A12" s="24"/>
      <c r="B12" s="24"/>
      <c r="C12" s="26"/>
      <c r="D12" s="25"/>
      <c r="E12" s="621"/>
      <c r="F12" s="621"/>
      <c r="G12" s="621"/>
      <c r="H12" s="621"/>
      <c r="I12" s="621"/>
      <c r="J12" s="621"/>
      <c r="K12" s="621"/>
      <c r="L12" s="621"/>
      <c r="M12" s="621"/>
      <c r="N12" s="621"/>
      <c r="O12" s="621"/>
      <c r="P12" s="621"/>
      <c r="Q12" s="621"/>
      <c r="R12" s="621"/>
      <c r="S12" s="621"/>
      <c r="T12" s="621"/>
      <c r="U12" s="621"/>
      <c r="V12" s="621"/>
      <c r="W12" s="621"/>
      <c r="X12" s="621"/>
      <c r="Y12" s="48"/>
      <c r="Z12" s="24"/>
    </row>
    <row r="13" spans="1:29" ht="38.25" hidden="1" customHeight="1">
      <c r="A13" s="24"/>
      <c r="B13" s="24"/>
      <c r="C13" s="26"/>
      <c r="D13" s="25"/>
      <c r="E13" s="621"/>
      <c r="F13" s="621"/>
      <c r="G13" s="621"/>
      <c r="H13" s="621"/>
      <c r="I13" s="621"/>
      <c r="J13" s="621"/>
      <c r="K13" s="621"/>
      <c r="L13" s="621"/>
      <c r="M13" s="621"/>
      <c r="N13" s="621"/>
      <c r="O13" s="621"/>
      <c r="P13" s="621"/>
      <c r="Q13" s="621"/>
      <c r="R13" s="621"/>
      <c r="S13" s="621"/>
      <c r="T13" s="621"/>
      <c r="U13" s="621"/>
      <c r="V13" s="621"/>
      <c r="W13" s="621"/>
      <c r="X13" s="621"/>
      <c r="Y13" s="49"/>
      <c r="Z13" s="24"/>
    </row>
    <row r="14" spans="1:29" ht="15" hidden="1" customHeight="1">
      <c r="A14" s="24"/>
      <c r="B14" s="24"/>
      <c r="C14" s="26"/>
      <c r="D14" s="25"/>
      <c r="E14" s="621" t="s">
        <v>191</v>
      </c>
      <c r="F14" s="621"/>
      <c r="G14" s="621"/>
      <c r="H14" s="621"/>
      <c r="I14" s="621"/>
      <c r="J14" s="621"/>
      <c r="K14" s="621"/>
      <c r="L14" s="621"/>
      <c r="M14" s="621"/>
      <c r="N14" s="621"/>
      <c r="O14" s="621"/>
      <c r="P14" s="621"/>
      <c r="Q14" s="621"/>
      <c r="R14" s="621"/>
      <c r="S14" s="621"/>
      <c r="T14" s="621"/>
      <c r="U14" s="621"/>
      <c r="V14" s="621"/>
      <c r="W14" s="621"/>
      <c r="X14" s="621"/>
      <c r="Y14" s="48"/>
      <c r="Z14" s="24"/>
    </row>
    <row r="15" spans="1:29" ht="15" hidden="1">
      <c r="A15" s="24"/>
      <c r="B15" s="24"/>
      <c r="C15" s="26"/>
      <c r="D15" s="25"/>
      <c r="E15" s="621"/>
      <c r="F15" s="621"/>
      <c r="G15" s="621"/>
      <c r="H15" s="621"/>
      <c r="I15" s="621"/>
      <c r="J15" s="621"/>
      <c r="K15" s="621"/>
      <c r="L15" s="621"/>
      <c r="M15" s="621"/>
      <c r="N15" s="621"/>
      <c r="O15" s="621"/>
      <c r="P15" s="621"/>
      <c r="Q15" s="621"/>
      <c r="R15" s="621"/>
      <c r="S15" s="621"/>
      <c r="T15" s="621"/>
      <c r="U15" s="621"/>
      <c r="V15" s="621"/>
      <c r="W15" s="621"/>
      <c r="X15" s="621"/>
      <c r="Y15" s="48"/>
      <c r="Z15" s="24"/>
    </row>
    <row r="16" spans="1:29" ht="15" hidden="1">
      <c r="A16" s="24"/>
      <c r="B16" s="24"/>
      <c r="C16" s="26"/>
      <c r="D16" s="25"/>
      <c r="E16" s="621"/>
      <c r="F16" s="621"/>
      <c r="G16" s="621"/>
      <c r="H16" s="621"/>
      <c r="I16" s="621"/>
      <c r="J16" s="621"/>
      <c r="K16" s="621"/>
      <c r="L16" s="621"/>
      <c r="M16" s="621"/>
      <c r="N16" s="621"/>
      <c r="O16" s="621"/>
      <c r="P16" s="621"/>
      <c r="Q16" s="621"/>
      <c r="R16" s="621"/>
      <c r="S16" s="621"/>
      <c r="T16" s="621"/>
      <c r="U16" s="621"/>
      <c r="V16" s="621"/>
      <c r="W16" s="621"/>
      <c r="X16" s="621"/>
      <c r="Y16" s="48"/>
      <c r="Z16" s="24"/>
    </row>
    <row r="17" spans="1:26" ht="15" hidden="1" customHeight="1">
      <c r="A17" s="24"/>
      <c r="B17" s="24"/>
      <c r="C17" s="26"/>
      <c r="D17" s="25"/>
      <c r="E17" s="621"/>
      <c r="F17" s="621"/>
      <c r="G17" s="621"/>
      <c r="H17" s="621"/>
      <c r="I17" s="621"/>
      <c r="J17" s="621"/>
      <c r="K17" s="621"/>
      <c r="L17" s="621"/>
      <c r="M17" s="621"/>
      <c r="N17" s="621"/>
      <c r="O17" s="621"/>
      <c r="P17" s="621"/>
      <c r="Q17" s="621"/>
      <c r="R17" s="621"/>
      <c r="S17" s="621"/>
      <c r="T17" s="621"/>
      <c r="U17" s="621"/>
      <c r="V17" s="621"/>
      <c r="W17" s="621"/>
      <c r="X17" s="621"/>
      <c r="Y17" s="48"/>
      <c r="Z17" s="24"/>
    </row>
    <row r="18" spans="1:26" ht="15" hidden="1">
      <c r="A18" s="24"/>
      <c r="B18" s="24"/>
      <c r="C18" s="26"/>
      <c r="D18" s="25"/>
      <c r="E18" s="621"/>
      <c r="F18" s="621"/>
      <c r="G18" s="621"/>
      <c r="H18" s="621"/>
      <c r="I18" s="621"/>
      <c r="J18" s="621"/>
      <c r="K18" s="621"/>
      <c r="L18" s="621"/>
      <c r="M18" s="621"/>
      <c r="N18" s="621"/>
      <c r="O18" s="621"/>
      <c r="P18" s="621"/>
      <c r="Q18" s="621"/>
      <c r="R18" s="621"/>
      <c r="S18" s="621"/>
      <c r="T18" s="621"/>
      <c r="U18" s="621"/>
      <c r="V18" s="621"/>
      <c r="W18" s="621"/>
      <c r="X18" s="621"/>
      <c r="Y18" s="48"/>
      <c r="Z18" s="24"/>
    </row>
    <row r="19" spans="1:26" ht="59.25" hidden="1" customHeight="1">
      <c r="A19" s="24"/>
      <c r="B19" s="24"/>
      <c r="C19" s="26"/>
      <c r="D19" s="26"/>
      <c r="E19" s="621"/>
      <c r="F19" s="621"/>
      <c r="G19" s="621"/>
      <c r="H19" s="621"/>
      <c r="I19" s="621"/>
      <c r="J19" s="621"/>
      <c r="K19" s="621"/>
      <c r="L19" s="621"/>
      <c r="M19" s="621"/>
      <c r="N19" s="621"/>
      <c r="O19" s="621"/>
      <c r="P19" s="621"/>
      <c r="Q19" s="621"/>
      <c r="R19" s="621"/>
      <c r="S19" s="621"/>
      <c r="T19" s="621"/>
      <c r="U19" s="621"/>
      <c r="V19" s="621"/>
      <c r="W19" s="621"/>
      <c r="X19" s="621"/>
      <c r="Y19" s="48"/>
      <c r="Z19" s="24"/>
    </row>
    <row r="20" spans="1:26" ht="15"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177</v>
      </c>
      <c r="F21" s="612" t="s">
        <v>178</v>
      </c>
      <c r="G21" s="613"/>
      <c r="H21" s="613"/>
      <c r="I21" s="613"/>
      <c r="J21" s="613"/>
      <c r="K21" s="613"/>
      <c r="L21" s="613"/>
      <c r="M21" s="613"/>
      <c r="N21" s="28"/>
      <c r="O21" s="29" t="s">
        <v>177</v>
      </c>
      <c r="P21" s="614" t="s">
        <v>179</v>
      </c>
      <c r="Q21" s="615"/>
      <c r="R21" s="615"/>
      <c r="S21" s="615"/>
      <c r="T21" s="615"/>
      <c r="U21" s="615"/>
      <c r="V21" s="615"/>
      <c r="W21" s="615"/>
      <c r="X21" s="615"/>
      <c r="Y21" s="48"/>
      <c r="Z21" s="24"/>
    </row>
    <row r="22" spans="1:26" ht="19.149999999999999" hidden="1" customHeight="1">
      <c r="A22" s="24"/>
      <c r="B22" s="24"/>
      <c r="C22" s="26"/>
      <c r="D22" s="25"/>
      <c r="E22" s="30" t="s">
        <v>177</v>
      </c>
      <c r="F22" s="612" t="s">
        <v>180</v>
      </c>
      <c r="G22" s="613"/>
      <c r="H22" s="613"/>
      <c r="I22" s="613"/>
      <c r="J22" s="613"/>
      <c r="K22" s="613"/>
      <c r="L22" s="613"/>
      <c r="M22" s="613"/>
      <c r="N22" s="28"/>
      <c r="O22" s="31" t="s">
        <v>177</v>
      </c>
      <c r="P22" s="614" t="s">
        <v>181</v>
      </c>
      <c r="Q22" s="615"/>
      <c r="R22" s="615"/>
      <c r="S22" s="615"/>
      <c r="T22" s="615"/>
      <c r="U22" s="615"/>
      <c r="V22" s="615"/>
      <c r="W22" s="615"/>
      <c r="X22" s="615"/>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t="15"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t="15"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t="15"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t="15"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t="15"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t="15"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622" t="s">
        <v>202</v>
      </c>
      <c r="F35" s="622"/>
      <c r="G35" s="622"/>
      <c r="H35" s="622"/>
      <c r="I35" s="622"/>
      <c r="J35" s="622"/>
      <c r="K35" s="622"/>
      <c r="L35" s="622"/>
      <c r="M35" s="622"/>
      <c r="N35" s="622"/>
      <c r="O35" s="622"/>
      <c r="P35" s="622"/>
      <c r="Q35" s="622"/>
      <c r="R35" s="622"/>
      <c r="S35" s="622"/>
      <c r="T35" s="622"/>
      <c r="U35" s="622"/>
      <c r="V35" s="622"/>
      <c r="W35" s="622"/>
      <c r="X35" s="622"/>
      <c r="Y35" s="48"/>
      <c r="Z35" s="24"/>
    </row>
    <row r="36" spans="1:26" ht="38.25" hidden="1" customHeight="1">
      <c r="A36" s="24"/>
      <c r="B36" s="24"/>
      <c r="C36" s="26"/>
      <c r="D36" s="25"/>
      <c r="E36" s="622"/>
      <c r="F36" s="622"/>
      <c r="G36" s="622"/>
      <c r="H36" s="622"/>
      <c r="I36" s="622"/>
      <c r="J36" s="622"/>
      <c r="K36" s="622"/>
      <c r="L36" s="622"/>
      <c r="M36" s="622"/>
      <c r="N36" s="622"/>
      <c r="O36" s="622"/>
      <c r="P36" s="622"/>
      <c r="Q36" s="622"/>
      <c r="R36" s="622"/>
      <c r="S36" s="622"/>
      <c r="T36" s="622"/>
      <c r="U36" s="622"/>
      <c r="V36" s="622"/>
      <c r="W36" s="622"/>
      <c r="X36" s="622"/>
      <c r="Y36" s="48"/>
      <c r="Z36" s="24"/>
    </row>
    <row r="37" spans="1:26" ht="9.75" hidden="1" customHeight="1">
      <c r="A37" s="24"/>
      <c r="B37" s="24"/>
      <c r="C37" s="26"/>
      <c r="D37" s="25"/>
      <c r="E37" s="622"/>
      <c r="F37" s="622"/>
      <c r="G37" s="622"/>
      <c r="H37" s="622"/>
      <c r="I37" s="622"/>
      <c r="J37" s="622"/>
      <c r="K37" s="622"/>
      <c r="L37" s="622"/>
      <c r="M37" s="622"/>
      <c r="N37" s="622"/>
      <c r="O37" s="622"/>
      <c r="P37" s="622"/>
      <c r="Q37" s="622"/>
      <c r="R37" s="622"/>
      <c r="S37" s="622"/>
      <c r="T37" s="622"/>
      <c r="U37" s="622"/>
      <c r="V37" s="622"/>
      <c r="W37" s="622"/>
      <c r="X37" s="622"/>
      <c r="Y37" s="48"/>
      <c r="Z37" s="24"/>
    </row>
    <row r="38" spans="1:26" ht="51" hidden="1" customHeight="1">
      <c r="A38" s="24"/>
      <c r="B38" s="24"/>
      <c r="C38" s="26"/>
      <c r="D38" s="25"/>
      <c r="E38" s="622"/>
      <c r="F38" s="622"/>
      <c r="G38" s="622"/>
      <c r="H38" s="622"/>
      <c r="I38" s="622"/>
      <c r="J38" s="622"/>
      <c r="K38" s="622"/>
      <c r="L38" s="622"/>
      <c r="M38" s="622"/>
      <c r="N38" s="622"/>
      <c r="O38" s="622"/>
      <c r="P38" s="622"/>
      <c r="Q38" s="622"/>
      <c r="R38" s="622"/>
      <c r="S38" s="622"/>
      <c r="T38" s="622"/>
      <c r="U38" s="622"/>
      <c r="V38" s="622"/>
      <c r="W38" s="622"/>
      <c r="X38" s="622"/>
      <c r="Y38" s="48"/>
      <c r="Z38" s="24"/>
    </row>
    <row r="39" spans="1:26" ht="15" hidden="1" customHeight="1">
      <c r="A39" s="24"/>
      <c r="B39" s="24"/>
      <c r="C39" s="26"/>
      <c r="D39" s="25"/>
      <c r="E39" s="622"/>
      <c r="F39" s="622"/>
      <c r="G39" s="622"/>
      <c r="H39" s="622"/>
      <c r="I39" s="622"/>
      <c r="J39" s="622"/>
      <c r="K39" s="622"/>
      <c r="L39" s="622"/>
      <c r="M39" s="622"/>
      <c r="N39" s="622"/>
      <c r="O39" s="622"/>
      <c r="P39" s="622"/>
      <c r="Q39" s="622"/>
      <c r="R39" s="622"/>
      <c r="S39" s="622"/>
      <c r="T39" s="622"/>
      <c r="U39" s="622"/>
      <c r="V39" s="622"/>
      <c r="W39" s="622"/>
      <c r="X39" s="622"/>
      <c r="Y39" s="48"/>
      <c r="Z39" s="24"/>
    </row>
    <row r="40" spans="1:26" ht="12" hidden="1" customHeight="1">
      <c r="A40" s="24"/>
      <c r="B40" s="24"/>
      <c r="C40" s="26"/>
      <c r="D40" s="25"/>
      <c r="E40" s="623"/>
      <c r="F40" s="623"/>
      <c r="G40" s="623"/>
      <c r="H40" s="623"/>
      <c r="I40" s="623"/>
      <c r="J40" s="623"/>
      <c r="K40" s="623"/>
      <c r="L40" s="623"/>
      <c r="M40" s="623"/>
      <c r="N40" s="623"/>
      <c r="O40" s="623"/>
      <c r="P40" s="623"/>
      <c r="Q40" s="623"/>
      <c r="R40" s="623"/>
      <c r="S40" s="623"/>
      <c r="T40" s="623"/>
      <c r="U40" s="623"/>
      <c r="V40" s="623"/>
      <c r="W40" s="623"/>
      <c r="X40" s="623"/>
      <c r="Y40" s="48"/>
      <c r="Z40" s="24"/>
    </row>
    <row r="41" spans="1:26" ht="38.25" hidden="1" customHeight="1">
      <c r="A41" s="24"/>
      <c r="B41" s="24"/>
      <c r="C41" s="26"/>
      <c r="D41" s="25"/>
      <c r="E41" s="622"/>
      <c r="F41" s="622"/>
      <c r="G41" s="622"/>
      <c r="H41" s="622"/>
      <c r="I41" s="622"/>
      <c r="J41" s="622"/>
      <c r="K41" s="622"/>
      <c r="L41" s="622"/>
      <c r="M41" s="622"/>
      <c r="N41" s="622"/>
      <c r="O41" s="622"/>
      <c r="P41" s="622"/>
      <c r="Q41" s="622"/>
      <c r="R41" s="622"/>
      <c r="S41" s="622"/>
      <c r="T41" s="622"/>
      <c r="U41" s="622"/>
      <c r="V41" s="622"/>
      <c r="W41" s="622"/>
      <c r="X41" s="622"/>
      <c r="Y41" s="48"/>
      <c r="Z41" s="24"/>
    </row>
    <row r="42" spans="1:26" ht="15" hidden="1">
      <c r="A42" s="24"/>
      <c r="B42" s="24"/>
      <c r="C42" s="26"/>
      <c r="D42" s="25"/>
      <c r="E42" s="622"/>
      <c r="F42" s="622"/>
      <c r="G42" s="622"/>
      <c r="H42" s="622"/>
      <c r="I42" s="622"/>
      <c r="J42" s="622"/>
      <c r="K42" s="622"/>
      <c r="L42" s="622"/>
      <c r="M42" s="622"/>
      <c r="N42" s="622"/>
      <c r="O42" s="622"/>
      <c r="P42" s="622"/>
      <c r="Q42" s="622"/>
      <c r="R42" s="622"/>
      <c r="S42" s="622"/>
      <c r="T42" s="622"/>
      <c r="U42" s="622"/>
      <c r="V42" s="622"/>
      <c r="W42" s="622"/>
      <c r="X42" s="622"/>
      <c r="Y42" s="48"/>
      <c r="Z42" s="24"/>
    </row>
    <row r="43" spans="1:26" ht="15" hidden="1">
      <c r="A43" s="24"/>
      <c r="B43" s="24"/>
      <c r="C43" s="26"/>
      <c r="D43" s="25"/>
      <c r="E43" s="622"/>
      <c r="F43" s="622"/>
      <c r="G43" s="622"/>
      <c r="H43" s="622"/>
      <c r="I43" s="622"/>
      <c r="J43" s="622"/>
      <c r="K43" s="622"/>
      <c r="L43" s="622"/>
      <c r="M43" s="622"/>
      <c r="N43" s="622"/>
      <c r="O43" s="622"/>
      <c r="P43" s="622"/>
      <c r="Q43" s="622"/>
      <c r="R43" s="622"/>
      <c r="S43" s="622"/>
      <c r="T43" s="622"/>
      <c r="U43" s="622"/>
      <c r="V43" s="622"/>
      <c r="W43" s="622"/>
      <c r="X43" s="622"/>
      <c r="Y43" s="48"/>
      <c r="Z43" s="24"/>
    </row>
    <row r="44" spans="1:26" ht="33.75" hidden="1" customHeight="1">
      <c r="A44" s="24"/>
      <c r="B44" s="24"/>
      <c r="C44" s="26"/>
      <c r="D44" s="26"/>
      <c r="E44" s="622"/>
      <c r="F44" s="622"/>
      <c r="G44" s="622"/>
      <c r="H44" s="622"/>
      <c r="I44" s="622"/>
      <c r="J44" s="622"/>
      <c r="K44" s="622"/>
      <c r="L44" s="622"/>
      <c r="M44" s="622"/>
      <c r="N44" s="622"/>
      <c r="O44" s="622"/>
      <c r="P44" s="622"/>
      <c r="Q44" s="622"/>
      <c r="R44" s="622"/>
      <c r="S44" s="622"/>
      <c r="T44" s="622"/>
      <c r="U44" s="622"/>
      <c r="V44" s="622"/>
      <c r="W44" s="622"/>
      <c r="X44" s="622"/>
      <c r="Y44" s="48"/>
      <c r="Z44" s="24"/>
    </row>
    <row r="45" spans="1:26" ht="15" hidden="1">
      <c r="A45" s="24"/>
      <c r="B45" s="24"/>
      <c r="C45" s="26"/>
      <c r="D45" s="26"/>
      <c r="E45" s="622"/>
      <c r="F45" s="622"/>
      <c r="G45" s="622"/>
      <c r="H45" s="622"/>
      <c r="I45" s="622"/>
      <c r="J45" s="622"/>
      <c r="K45" s="622"/>
      <c r="L45" s="622"/>
      <c r="M45" s="622"/>
      <c r="N45" s="622"/>
      <c r="O45" s="622"/>
      <c r="P45" s="622"/>
      <c r="Q45" s="622"/>
      <c r="R45" s="622"/>
      <c r="S45" s="622"/>
      <c r="T45" s="622"/>
      <c r="U45" s="622"/>
      <c r="V45" s="622"/>
      <c r="W45" s="622"/>
      <c r="X45" s="622"/>
      <c r="Y45" s="48"/>
      <c r="Z45" s="24"/>
    </row>
    <row r="46" spans="1:26" ht="24" hidden="1" customHeight="1">
      <c r="A46" s="24"/>
      <c r="B46" s="24"/>
      <c r="C46" s="26"/>
      <c r="D46" s="25"/>
      <c r="E46" s="624" t="s">
        <v>182</v>
      </c>
      <c r="F46" s="624"/>
      <c r="G46" s="624"/>
      <c r="H46" s="624"/>
      <c r="I46" s="624"/>
      <c r="J46" s="624"/>
      <c r="K46" s="624"/>
      <c r="L46" s="624"/>
      <c r="M46" s="624"/>
      <c r="N46" s="624"/>
      <c r="O46" s="624"/>
      <c r="P46" s="624"/>
      <c r="Q46" s="624"/>
      <c r="R46" s="624"/>
      <c r="S46" s="624"/>
      <c r="T46" s="624"/>
      <c r="U46" s="624"/>
      <c r="V46" s="624"/>
      <c r="W46" s="624"/>
      <c r="X46" s="624"/>
      <c r="Y46" s="48"/>
      <c r="Z46" s="24"/>
    </row>
    <row r="47" spans="1:26" ht="37.5" hidden="1" customHeight="1">
      <c r="A47" s="24"/>
      <c r="B47" s="24"/>
      <c r="C47" s="26"/>
      <c r="D47" s="25"/>
      <c r="E47" s="624"/>
      <c r="F47" s="624"/>
      <c r="G47" s="624"/>
      <c r="H47" s="624"/>
      <c r="I47" s="624"/>
      <c r="J47" s="624"/>
      <c r="K47" s="624"/>
      <c r="L47" s="624"/>
      <c r="M47" s="624"/>
      <c r="N47" s="624"/>
      <c r="O47" s="624"/>
      <c r="P47" s="624"/>
      <c r="Q47" s="624"/>
      <c r="R47" s="624"/>
      <c r="S47" s="624"/>
      <c r="T47" s="624"/>
      <c r="U47" s="624"/>
      <c r="V47" s="624"/>
      <c r="W47" s="624"/>
      <c r="X47" s="624"/>
      <c r="Y47" s="48"/>
      <c r="Z47" s="24"/>
    </row>
    <row r="48" spans="1:26" ht="28.15" hidden="1" customHeight="1">
      <c r="A48" s="24"/>
      <c r="B48" s="24"/>
      <c r="C48" s="26"/>
      <c r="D48" s="25"/>
      <c r="E48" s="624"/>
      <c r="F48" s="624"/>
      <c r="G48" s="624"/>
      <c r="H48" s="624"/>
      <c r="I48" s="624"/>
      <c r="J48" s="624"/>
      <c r="K48" s="624"/>
      <c r="L48" s="624"/>
      <c r="M48" s="624"/>
      <c r="N48" s="624"/>
      <c r="O48" s="624"/>
      <c r="P48" s="624"/>
      <c r="Q48" s="624"/>
      <c r="R48" s="624"/>
      <c r="S48" s="624"/>
      <c r="T48" s="624"/>
      <c r="U48" s="624"/>
      <c r="V48" s="624"/>
      <c r="W48" s="624"/>
      <c r="X48" s="624"/>
      <c r="Y48" s="48"/>
      <c r="Z48" s="24"/>
    </row>
    <row r="49" spans="1:26" ht="51" hidden="1" customHeight="1">
      <c r="A49" s="24"/>
      <c r="B49" s="24"/>
      <c r="C49" s="26"/>
      <c r="D49" s="25"/>
      <c r="E49" s="624"/>
      <c r="F49" s="624"/>
      <c r="G49" s="624"/>
      <c r="H49" s="624"/>
      <c r="I49" s="624"/>
      <c r="J49" s="624"/>
      <c r="K49" s="624"/>
      <c r="L49" s="624"/>
      <c r="M49" s="624"/>
      <c r="N49" s="624"/>
      <c r="O49" s="624"/>
      <c r="P49" s="624"/>
      <c r="Q49" s="624"/>
      <c r="R49" s="624"/>
      <c r="S49" s="624"/>
      <c r="T49" s="624"/>
      <c r="U49" s="624"/>
      <c r="V49" s="624"/>
      <c r="W49" s="624"/>
      <c r="X49" s="624"/>
      <c r="Y49" s="48"/>
      <c r="Z49" s="24"/>
    </row>
    <row r="50" spans="1:26" ht="15" hidden="1">
      <c r="A50" s="24"/>
      <c r="B50" s="24"/>
      <c r="C50" s="26"/>
      <c r="D50" s="25"/>
      <c r="E50" s="624"/>
      <c r="F50" s="624"/>
      <c r="G50" s="624"/>
      <c r="H50" s="624"/>
      <c r="I50" s="624"/>
      <c r="J50" s="624"/>
      <c r="K50" s="624"/>
      <c r="L50" s="624"/>
      <c r="M50" s="624"/>
      <c r="N50" s="624"/>
      <c r="O50" s="624"/>
      <c r="P50" s="624"/>
      <c r="Q50" s="624"/>
      <c r="R50" s="624"/>
      <c r="S50" s="624"/>
      <c r="T50" s="624"/>
      <c r="U50" s="624"/>
      <c r="V50" s="624"/>
      <c r="W50" s="624"/>
      <c r="X50" s="624"/>
      <c r="Y50" s="48"/>
      <c r="Z50" s="24"/>
    </row>
    <row r="51" spans="1:26" ht="15" hidden="1">
      <c r="A51" s="24"/>
      <c r="B51" s="24"/>
      <c r="C51" s="26"/>
      <c r="D51" s="25"/>
      <c r="E51" s="624"/>
      <c r="F51" s="624"/>
      <c r="G51" s="624"/>
      <c r="H51" s="624"/>
      <c r="I51" s="624"/>
      <c r="J51" s="624"/>
      <c r="K51" s="624"/>
      <c r="L51" s="624"/>
      <c r="M51" s="624"/>
      <c r="N51" s="624"/>
      <c r="O51" s="624"/>
      <c r="P51" s="624"/>
      <c r="Q51" s="624"/>
      <c r="R51" s="624"/>
      <c r="S51" s="624"/>
      <c r="T51" s="624"/>
      <c r="U51" s="624"/>
      <c r="V51" s="624"/>
      <c r="W51" s="624"/>
      <c r="X51" s="624"/>
      <c r="Y51" s="48"/>
      <c r="Z51" s="24"/>
    </row>
    <row r="52" spans="1:26" ht="15" hidden="1">
      <c r="A52" s="24"/>
      <c r="B52" s="24"/>
      <c r="C52" s="26"/>
      <c r="D52" s="25"/>
      <c r="E52" s="624"/>
      <c r="F52" s="624"/>
      <c r="G52" s="624"/>
      <c r="H52" s="624"/>
      <c r="I52" s="624"/>
      <c r="J52" s="624"/>
      <c r="K52" s="624"/>
      <c r="L52" s="624"/>
      <c r="M52" s="624"/>
      <c r="N52" s="624"/>
      <c r="O52" s="624"/>
      <c r="P52" s="624"/>
      <c r="Q52" s="624"/>
      <c r="R52" s="624"/>
      <c r="S52" s="624"/>
      <c r="T52" s="624"/>
      <c r="U52" s="624"/>
      <c r="V52" s="624"/>
      <c r="W52" s="624"/>
      <c r="X52" s="624"/>
      <c r="Y52" s="48"/>
      <c r="Z52" s="24"/>
    </row>
    <row r="53" spans="1:26" ht="15" hidden="1">
      <c r="A53" s="24"/>
      <c r="B53" s="24"/>
      <c r="C53" s="26"/>
      <c r="D53" s="25"/>
      <c r="E53" s="624"/>
      <c r="F53" s="624"/>
      <c r="G53" s="624"/>
      <c r="H53" s="624"/>
      <c r="I53" s="624"/>
      <c r="J53" s="624"/>
      <c r="K53" s="624"/>
      <c r="L53" s="624"/>
      <c r="M53" s="624"/>
      <c r="N53" s="624"/>
      <c r="O53" s="624"/>
      <c r="P53" s="624"/>
      <c r="Q53" s="624"/>
      <c r="R53" s="624"/>
      <c r="S53" s="624"/>
      <c r="T53" s="624"/>
      <c r="U53" s="624"/>
      <c r="V53" s="624"/>
      <c r="W53" s="624"/>
      <c r="X53" s="624"/>
      <c r="Y53" s="48"/>
      <c r="Z53" s="24"/>
    </row>
    <row r="54" spans="1:26" ht="15" hidden="1">
      <c r="A54" s="24"/>
      <c r="B54" s="24"/>
      <c r="C54" s="26"/>
      <c r="D54" s="25"/>
      <c r="E54" s="624"/>
      <c r="F54" s="624"/>
      <c r="G54" s="624"/>
      <c r="H54" s="624"/>
      <c r="I54" s="624"/>
      <c r="J54" s="624"/>
      <c r="K54" s="624"/>
      <c r="L54" s="624"/>
      <c r="M54" s="624"/>
      <c r="N54" s="624"/>
      <c r="O54" s="624"/>
      <c r="P54" s="624"/>
      <c r="Q54" s="624"/>
      <c r="R54" s="624"/>
      <c r="S54" s="624"/>
      <c r="T54" s="624"/>
      <c r="U54" s="624"/>
      <c r="V54" s="624"/>
      <c r="W54" s="624"/>
      <c r="X54" s="624"/>
      <c r="Y54" s="48"/>
      <c r="Z54" s="24"/>
    </row>
    <row r="55" spans="1:26" ht="15" hidden="1">
      <c r="A55" s="24"/>
      <c r="B55" s="24"/>
      <c r="C55" s="26"/>
      <c r="D55" s="25"/>
      <c r="E55" s="624"/>
      <c r="F55" s="624"/>
      <c r="G55" s="624"/>
      <c r="H55" s="624"/>
      <c r="I55" s="624"/>
      <c r="J55" s="624"/>
      <c r="K55" s="624"/>
      <c r="L55" s="624"/>
      <c r="M55" s="624"/>
      <c r="N55" s="624"/>
      <c r="O55" s="624"/>
      <c r="P55" s="624"/>
      <c r="Q55" s="624"/>
      <c r="R55" s="624"/>
      <c r="S55" s="624"/>
      <c r="T55" s="624"/>
      <c r="U55" s="624"/>
      <c r="V55" s="624"/>
      <c r="W55" s="624"/>
      <c r="X55" s="624"/>
      <c r="Y55" s="48"/>
      <c r="Z55" s="24"/>
    </row>
    <row r="56" spans="1:26" ht="25.5" hidden="1" customHeight="1">
      <c r="A56" s="24"/>
      <c r="B56" s="24"/>
      <c r="C56" s="26"/>
      <c r="D56" s="26"/>
      <c r="E56" s="624"/>
      <c r="F56" s="624"/>
      <c r="G56" s="624"/>
      <c r="H56" s="624"/>
      <c r="I56" s="624"/>
      <c r="J56" s="624"/>
      <c r="K56" s="624"/>
      <c r="L56" s="624"/>
      <c r="M56" s="624"/>
      <c r="N56" s="624"/>
      <c r="O56" s="624"/>
      <c r="P56" s="624"/>
      <c r="Q56" s="624"/>
      <c r="R56" s="624"/>
      <c r="S56" s="624"/>
      <c r="T56" s="624"/>
      <c r="U56" s="624"/>
      <c r="V56" s="624"/>
      <c r="W56" s="624"/>
      <c r="X56" s="624"/>
      <c r="Y56" s="48"/>
      <c r="Z56" s="24"/>
    </row>
    <row r="57" spans="1:26" ht="15" hidden="1">
      <c r="A57" s="24"/>
      <c r="B57" s="24"/>
      <c r="C57" s="26"/>
      <c r="D57" s="26"/>
      <c r="E57" s="624"/>
      <c r="F57" s="624"/>
      <c r="G57" s="624"/>
      <c r="H57" s="624"/>
      <c r="I57" s="624"/>
      <c r="J57" s="624"/>
      <c r="K57" s="624"/>
      <c r="L57" s="624"/>
      <c r="M57" s="624"/>
      <c r="N57" s="624"/>
      <c r="O57" s="624"/>
      <c r="P57" s="624"/>
      <c r="Q57" s="624"/>
      <c r="R57" s="624"/>
      <c r="S57" s="624"/>
      <c r="T57" s="624"/>
      <c r="U57" s="624"/>
      <c r="V57" s="624"/>
      <c r="W57" s="624"/>
      <c r="X57" s="624"/>
      <c r="Y57" s="48"/>
      <c r="Z57" s="24"/>
    </row>
    <row r="58" spans="1:26" ht="15" customHeight="1">
      <c r="A58" s="24"/>
      <c r="B58" s="24"/>
      <c r="C58" s="26"/>
      <c r="D58" s="25"/>
      <c r="E58" s="607"/>
      <c r="F58" s="607"/>
      <c r="G58" s="607"/>
      <c r="H58" s="609"/>
      <c r="I58" s="609"/>
      <c r="J58" s="609"/>
      <c r="K58" s="609"/>
      <c r="L58" s="609"/>
      <c r="M58" s="609"/>
      <c r="N58" s="609"/>
      <c r="O58" s="609"/>
      <c r="P58" s="609"/>
      <c r="Q58" s="609"/>
      <c r="R58" s="609"/>
      <c r="S58" s="609"/>
      <c r="T58" s="609"/>
      <c r="U58" s="609"/>
      <c r="V58" s="609"/>
      <c r="W58" s="609"/>
      <c r="X58" s="609"/>
      <c r="Y58" s="48"/>
      <c r="Z58" s="24"/>
    </row>
    <row r="59" spans="1:26" ht="15" customHeight="1">
      <c r="A59" s="24"/>
      <c r="B59" s="24"/>
      <c r="C59" s="26"/>
      <c r="D59" s="25"/>
      <c r="E59" s="602" t="s">
        <v>194</v>
      </c>
      <c r="F59" s="602"/>
      <c r="G59" s="602"/>
      <c r="H59" s="602"/>
      <c r="I59" s="602"/>
      <c r="J59" s="602"/>
      <c r="K59" s="602"/>
      <c r="L59" s="602"/>
      <c r="M59" s="602"/>
      <c r="N59" s="602"/>
      <c r="O59" s="602"/>
      <c r="P59" s="602"/>
      <c r="Q59" s="602"/>
      <c r="R59" s="602"/>
      <c r="S59" s="602"/>
      <c r="T59" s="602"/>
      <c r="U59" s="602"/>
      <c r="V59" s="602"/>
      <c r="W59" s="602"/>
      <c r="X59" s="602"/>
      <c r="Y59" s="48"/>
      <c r="Z59" s="24"/>
    </row>
    <row r="60" spans="1:26" ht="15" customHeight="1">
      <c r="A60" s="24"/>
      <c r="B60" s="24"/>
      <c r="C60" s="26"/>
      <c r="D60" s="25"/>
      <c r="E60" s="608"/>
      <c r="F60" s="608"/>
      <c r="G60" s="608"/>
      <c r="H60" s="609"/>
      <c r="I60" s="609"/>
      <c r="J60" s="609"/>
      <c r="K60" s="609"/>
      <c r="L60" s="609"/>
      <c r="M60" s="609"/>
      <c r="N60" s="609"/>
      <c r="O60" s="609"/>
      <c r="P60" s="609"/>
      <c r="Q60" s="609"/>
      <c r="R60" s="609"/>
      <c r="S60" s="609"/>
      <c r="T60" s="609"/>
      <c r="U60" s="609"/>
      <c r="V60" s="609"/>
      <c r="W60" s="609"/>
      <c r="X60" s="609"/>
      <c r="Y60" s="48"/>
      <c r="Z60" s="24"/>
    </row>
    <row r="61" spans="1:26" ht="15">
      <c r="A61" s="24"/>
      <c r="B61" s="24"/>
      <c r="C61" s="26"/>
      <c r="D61" s="25"/>
      <c r="E61" s="33"/>
      <c r="F61" s="32"/>
      <c r="G61" s="34"/>
      <c r="H61" s="607"/>
      <c r="I61" s="607"/>
      <c r="J61" s="607"/>
      <c r="K61" s="607"/>
      <c r="L61" s="607"/>
      <c r="M61" s="607"/>
      <c r="N61" s="607"/>
      <c r="O61" s="607"/>
      <c r="P61" s="607"/>
      <c r="Q61" s="607"/>
      <c r="R61" s="607"/>
      <c r="S61" s="607"/>
      <c r="T61" s="607"/>
      <c r="U61" s="607"/>
      <c r="V61" s="607"/>
      <c r="W61" s="607"/>
      <c r="X61" s="607"/>
      <c r="Y61" s="48"/>
      <c r="Z61" s="24"/>
    </row>
    <row r="62" spans="1:26" ht="27.75"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t="15">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t="15">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t="15">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t="15">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t="15">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611" t="s">
        <v>1204</v>
      </c>
      <c r="F70" s="611"/>
      <c r="G70" s="611"/>
      <c r="H70" s="611"/>
      <c r="I70" s="611"/>
      <c r="J70" s="611"/>
      <c r="K70" s="611"/>
      <c r="L70" s="611"/>
      <c r="M70" s="611"/>
      <c r="N70" s="611"/>
      <c r="O70" s="611"/>
      <c r="P70" s="611"/>
      <c r="Q70" s="611"/>
      <c r="R70" s="611"/>
      <c r="S70" s="611"/>
      <c r="T70" s="611"/>
      <c r="U70" s="611"/>
      <c r="V70" s="611"/>
      <c r="W70" s="611"/>
      <c r="X70" s="611"/>
      <c r="Y70" s="611"/>
      <c r="Z70" s="24"/>
    </row>
    <row r="71" spans="1:26" ht="29.25" hidden="1" customHeight="1">
      <c r="A71" s="24"/>
      <c r="B71" s="24"/>
      <c r="C71" s="26"/>
      <c r="D71" s="25"/>
      <c r="E71" s="611"/>
      <c r="F71" s="611"/>
      <c r="G71" s="611"/>
      <c r="H71" s="611"/>
      <c r="I71" s="611"/>
      <c r="J71" s="611"/>
      <c r="K71" s="611"/>
      <c r="L71" s="611"/>
      <c r="M71" s="611"/>
      <c r="N71" s="611"/>
      <c r="O71" s="611"/>
      <c r="P71" s="611"/>
      <c r="Q71" s="611"/>
      <c r="R71" s="611"/>
      <c r="S71" s="611"/>
      <c r="T71" s="611"/>
      <c r="U71" s="611"/>
      <c r="V71" s="611"/>
      <c r="W71" s="611"/>
      <c r="X71" s="611"/>
      <c r="Y71" s="611"/>
      <c r="Z71" s="24"/>
    </row>
    <row r="72" spans="1:26" ht="27" hidden="1" customHeight="1">
      <c r="A72" s="24"/>
      <c r="B72" s="24"/>
      <c r="C72" s="26"/>
      <c r="D72" s="25"/>
      <c r="E72" s="611"/>
      <c r="F72" s="611"/>
      <c r="G72" s="611"/>
      <c r="H72" s="611"/>
      <c r="I72" s="611"/>
      <c r="J72" s="611"/>
      <c r="K72" s="611"/>
      <c r="L72" s="611"/>
      <c r="M72" s="611"/>
      <c r="N72" s="611"/>
      <c r="O72" s="611"/>
      <c r="P72" s="611"/>
      <c r="Q72" s="611"/>
      <c r="R72" s="611"/>
      <c r="S72" s="611"/>
      <c r="T72" s="611"/>
      <c r="U72" s="611"/>
      <c r="V72" s="611"/>
      <c r="W72" s="611"/>
      <c r="X72" s="611"/>
      <c r="Y72" s="611"/>
      <c r="Z72" s="24"/>
    </row>
    <row r="73" spans="1:26" ht="36" hidden="1" customHeight="1">
      <c r="A73" s="24"/>
      <c r="B73" s="24"/>
      <c r="C73" s="26"/>
      <c r="D73" s="25"/>
      <c r="E73" s="611"/>
      <c r="F73" s="611"/>
      <c r="G73" s="611"/>
      <c r="H73" s="611"/>
      <c r="I73" s="611"/>
      <c r="J73" s="611"/>
      <c r="K73" s="611"/>
      <c r="L73" s="611"/>
      <c r="M73" s="611"/>
      <c r="N73" s="611"/>
      <c r="O73" s="611"/>
      <c r="P73" s="611"/>
      <c r="Q73" s="611"/>
      <c r="R73" s="611"/>
      <c r="S73" s="611"/>
      <c r="T73" s="611"/>
      <c r="U73" s="611"/>
      <c r="V73" s="611"/>
      <c r="W73" s="611"/>
      <c r="X73" s="611"/>
      <c r="Y73" s="611"/>
      <c r="Z73" s="24"/>
    </row>
    <row r="74" spans="1:26" ht="15" hidden="1" customHeight="1">
      <c r="A74" s="24"/>
      <c r="B74" s="24"/>
      <c r="C74" s="26"/>
      <c r="D74" s="25"/>
      <c r="E74" s="611"/>
      <c r="F74" s="611"/>
      <c r="G74" s="611"/>
      <c r="H74" s="611"/>
      <c r="I74" s="611"/>
      <c r="J74" s="611"/>
      <c r="K74" s="611"/>
      <c r="L74" s="611"/>
      <c r="M74" s="611"/>
      <c r="N74" s="611"/>
      <c r="O74" s="611"/>
      <c r="P74" s="611"/>
      <c r="Q74" s="611"/>
      <c r="R74" s="611"/>
      <c r="S74" s="611"/>
      <c r="T74" s="611"/>
      <c r="U74" s="611"/>
      <c r="V74" s="611"/>
      <c r="W74" s="611"/>
      <c r="X74" s="611"/>
      <c r="Y74" s="611"/>
      <c r="Z74" s="24"/>
    </row>
    <row r="75" spans="1:26" ht="131.25" hidden="1" customHeight="1">
      <c r="A75" s="24"/>
      <c r="B75" s="24"/>
      <c r="C75" s="26"/>
      <c r="D75" s="25"/>
      <c r="E75" s="611"/>
      <c r="F75" s="611"/>
      <c r="G75" s="611"/>
      <c r="H75" s="611"/>
      <c r="I75" s="611"/>
      <c r="J75" s="611"/>
      <c r="K75" s="611"/>
      <c r="L75" s="611"/>
      <c r="M75" s="611"/>
      <c r="N75" s="611"/>
      <c r="O75" s="611"/>
      <c r="P75" s="611"/>
      <c r="Q75" s="611"/>
      <c r="R75" s="611"/>
      <c r="S75" s="611"/>
      <c r="T75" s="611"/>
      <c r="U75" s="611"/>
      <c r="V75" s="611"/>
      <c r="W75" s="611"/>
      <c r="X75" s="611"/>
      <c r="Y75" s="611"/>
      <c r="Z75" s="24"/>
    </row>
    <row r="76" spans="1:26" ht="15" hidden="1" customHeight="1">
      <c r="A76" s="24"/>
      <c r="B76" s="24"/>
      <c r="C76" s="26"/>
      <c r="D76" s="25"/>
      <c r="E76" s="607"/>
      <c r="F76" s="607"/>
      <c r="G76" s="607"/>
      <c r="H76" s="610"/>
      <c r="I76" s="610"/>
      <c r="J76" s="610"/>
      <c r="K76" s="610"/>
      <c r="L76" s="610"/>
      <c r="M76" s="610"/>
      <c r="N76" s="610"/>
      <c r="O76" s="610"/>
      <c r="P76" s="610"/>
      <c r="Q76" s="610"/>
      <c r="R76" s="610"/>
      <c r="S76" s="610"/>
      <c r="T76" s="610"/>
      <c r="U76" s="610"/>
      <c r="V76" s="610"/>
      <c r="W76" s="610"/>
      <c r="X76" s="610"/>
      <c r="Y76" s="48"/>
      <c r="Z76" s="24"/>
    </row>
    <row r="77" spans="1:26" ht="15" hidden="1" customHeight="1">
      <c r="A77" s="24"/>
      <c r="B77" s="24"/>
      <c r="C77" s="26"/>
      <c r="D77" s="25"/>
      <c r="E77" s="605"/>
      <c r="F77" s="605"/>
      <c r="G77" s="605"/>
      <c r="H77" s="605"/>
      <c r="I77" s="605"/>
      <c r="J77" s="605"/>
      <c r="K77" s="605"/>
      <c r="L77" s="605"/>
      <c r="M77" s="605"/>
      <c r="N77" s="605"/>
      <c r="O77" s="605"/>
      <c r="P77" s="605"/>
      <c r="Q77" s="605"/>
      <c r="R77" s="605"/>
      <c r="S77" s="605"/>
      <c r="T77" s="605"/>
      <c r="U77" s="605"/>
      <c r="V77" s="605"/>
      <c r="W77" s="47"/>
      <c r="X77" s="355"/>
      <c r="Y77" s="48"/>
      <c r="Z77" s="24"/>
    </row>
    <row r="78" spans="1:26" ht="15" hidden="1" customHeight="1">
      <c r="A78" s="24"/>
      <c r="B78" s="24"/>
      <c r="C78" s="26"/>
      <c r="D78" s="25"/>
      <c r="E78" s="606"/>
      <c r="F78" s="606"/>
      <c r="G78" s="606"/>
      <c r="H78" s="606"/>
      <c r="I78" s="606"/>
      <c r="J78" s="606"/>
      <c r="K78" s="606"/>
      <c r="L78" s="601"/>
      <c r="M78" s="601"/>
      <c r="N78" s="601"/>
      <c r="O78" s="601"/>
      <c r="P78" s="601"/>
      <c r="Q78" s="601"/>
      <c r="R78" s="601"/>
      <c r="S78" s="601"/>
      <c r="T78" s="601"/>
      <c r="U78" s="601"/>
      <c r="V78" s="601"/>
      <c r="W78" s="601"/>
      <c r="X78" s="44"/>
      <c r="Y78" s="48"/>
      <c r="Z78" s="24"/>
    </row>
    <row r="79" spans="1:26" ht="15" hidden="1" customHeight="1">
      <c r="A79" s="24"/>
      <c r="B79" s="24"/>
      <c r="C79" s="26"/>
      <c r="D79" s="25"/>
      <c r="E79" s="606"/>
      <c r="F79" s="606"/>
      <c r="G79" s="606"/>
      <c r="H79" s="606"/>
      <c r="I79" s="606"/>
      <c r="J79" s="606"/>
      <c r="K79" s="606"/>
      <c r="L79" s="601"/>
      <c r="M79" s="601"/>
      <c r="N79" s="601"/>
      <c r="O79" s="601"/>
      <c r="P79" s="601"/>
      <c r="Q79" s="601"/>
      <c r="R79" s="601"/>
      <c r="S79" s="601"/>
      <c r="T79" s="601"/>
      <c r="U79" s="601"/>
      <c r="V79" s="601"/>
      <c r="W79" s="601"/>
      <c r="X79" s="45"/>
      <c r="Y79" s="48"/>
      <c r="Z79" s="24"/>
    </row>
    <row r="80" spans="1:26" ht="15" hidden="1" customHeight="1">
      <c r="A80" s="24"/>
      <c r="B80" s="24"/>
      <c r="C80" s="26"/>
      <c r="D80" s="25"/>
      <c r="X80" s="45"/>
      <c r="Y80" s="48"/>
      <c r="Z80" s="24"/>
    </row>
    <row r="81" spans="1:27" ht="15" hidden="1" customHeight="1">
      <c r="A81" s="24"/>
      <c r="B81" s="24"/>
      <c r="C81" s="26"/>
      <c r="D81" s="25"/>
      <c r="E81" s="601"/>
      <c r="F81" s="601"/>
      <c r="G81" s="601"/>
      <c r="H81" s="601"/>
      <c r="I81" s="601"/>
      <c r="J81" s="601"/>
      <c r="K81" s="601"/>
      <c r="L81" s="601"/>
      <c r="M81" s="601"/>
      <c r="N81" s="601"/>
      <c r="O81" s="601"/>
      <c r="P81" s="601"/>
      <c r="Q81" s="601"/>
      <c r="R81" s="601"/>
      <c r="S81" s="601"/>
      <c r="T81" s="601"/>
      <c r="U81" s="601"/>
      <c r="V81" s="601"/>
      <c r="W81" s="601"/>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5"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604" t="s">
        <v>183</v>
      </c>
      <c r="F93" s="604"/>
      <c r="G93" s="604"/>
      <c r="H93" s="604"/>
      <c r="I93" s="604"/>
      <c r="J93" s="604"/>
      <c r="K93" s="604"/>
      <c r="L93" s="604"/>
      <c r="M93" s="604"/>
      <c r="N93" s="604"/>
      <c r="O93" s="604"/>
      <c r="P93" s="604"/>
      <c r="Q93" s="604"/>
      <c r="R93" s="604"/>
      <c r="S93" s="604"/>
      <c r="T93" s="604"/>
      <c r="U93" s="604"/>
      <c r="V93" s="604"/>
      <c r="W93" s="604"/>
      <c r="X93" s="604"/>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603" t="s">
        <v>184</v>
      </c>
      <c r="G95" s="603"/>
      <c r="H95" s="603"/>
      <c r="I95" s="603"/>
      <c r="J95" s="603"/>
      <c r="K95" s="603"/>
      <c r="L95" s="603"/>
      <c r="M95" s="603"/>
      <c r="N95" s="603"/>
      <c r="O95" s="603"/>
      <c r="P95" s="603"/>
      <c r="Q95" s="603"/>
      <c r="R95" s="603"/>
      <c r="S95" s="603"/>
      <c r="T95" s="36"/>
      <c r="U95" s="25"/>
      <c r="V95" s="25"/>
      <c r="W95" s="25"/>
      <c r="X95" s="25"/>
      <c r="Y95" s="48"/>
      <c r="Z95" s="24"/>
      <c r="AA95" s="18" t="s">
        <v>185</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603" t="s">
        <v>186</v>
      </c>
      <c r="G97" s="603"/>
      <c r="H97" s="603"/>
      <c r="I97" s="603"/>
      <c r="J97" s="603"/>
      <c r="K97" s="603"/>
      <c r="L97" s="603"/>
      <c r="M97" s="603"/>
      <c r="N97" s="603"/>
      <c r="O97" s="603"/>
      <c r="P97" s="603"/>
      <c r="Q97" s="603"/>
      <c r="R97" s="603"/>
      <c r="S97" s="603"/>
      <c r="T97" s="603"/>
      <c r="U97" s="603"/>
      <c r="V97" s="603"/>
      <c r="W97" s="603"/>
      <c r="X97" s="603"/>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ink="1"/>
  <mergeCells count="32">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K11" zoomScale="60" zoomScaleNormal="100" workbookViewId="0"/>
  </sheetViews>
  <sheetFormatPr defaultColWidth="9.140625" defaultRowHeight="11.25"/>
  <cols>
    <col min="1" max="10" width="0" style="102" hidden="1" customWidth="1"/>
    <col min="11" max="11" width="3.7109375" style="102" hidden="1" customWidth="1"/>
    <col min="12" max="12" width="5.140625" style="102" customWidth="1"/>
    <col min="13" max="13" width="50.7109375" style="102" customWidth="1"/>
    <col min="14" max="14" width="10.7109375" style="102" customWidth="1"/>
    <col min="15" max="15" width="15.7109375" style="102" customWidth="1"/>
    <col min="16" max="16" width="17.28515625" style="102" customWidth="1"/>
    <col min="17" max="17" width="19.42578125" style="102" customWidth="1"/>
    <col min="18" max="18" width="26.5703125" style="102" customWidth="1"/>
    <col min="19" max="19" width="19.140625" style="102" customWidth="1"/>
    <col min="20" max="20" width="29.85546875" style="102" customWidth="1"/>
    <col min="21" max="21" width="19.140625" style="102" customWidth="1"/>
    <col min="22" max="22" width="15.7109375" style="102" customWidth="1"/>
    <col min="23" max="16384" width="9.140625" style="102"/>
  </cols>
  <sheetData>
    <row r="1" spans="11:23" hidden="1">
      <c r="K1" s="965"/>
      <c r="L1" s="965"/>
      <c r="M1" s="965"/>
      <c r="N1" s="965"/>
      <c r="O1" s="965"/>
      <c r="P1" s="965"/>
      <c r="Q1" s="965"/>
      <c r="R1" s="965"/>
      <c r="S1" s="965"/>
      <c r="T1" s="965"/>
      <c r="U1" s="965"/>
      <c r="V1" s="965"/>
      <c r="W1" s="965"/>
    </row>
    <row r="2" spans="11:23" hidden="1">
      <c r="K2" s="965"/>
      <c r="L2" s="965"/>
      <c r="M2" s="965"/>
      <c r="N2" s="965"/>
      <c r="O2" s="965"/>
      <c r="P2" s="965"/>
      <c r="Q2" s="965"/>
      <c r="R2" s="965"/>
      <c r="S2" s="965"/>
      <c r="T2" s="965"/>
      <c r="U2" s="965"/>
      <c r="V2" s="965"/>
      <c r="W2" s="965"/>
    </row>
    <row r="3" spans="11:23" hidden="1">
      <c r="K3" s="965"/>
      <c r="L3" s="965"/>
      <c r="M3" s="965"/>
      <c r="N3" s="965"/>
      <c r="O3" s="965"/>
      <c r="P3" s="965"/>
      <c r="Q3" s="965"/>
      <c r="R3" s="965"/>
      <c r="S3" s="965"/>
      <c r="T3" s="965"/>
      <c r="U3" s="965"/>
      <c r="V3" s="965"/>
      <c r="W3" s="965"/>
    </row>
    <row r="4" spans="11:23" hidden="1">
      <c r="K4" s="965"/>
      <c r="L4" s="965"/>
      <c r="M4" s="965"/>
      <c r="N4" s="965"/>
      <c r="O4" s="965"/>
      <c r="P4" s="965"/>
      <c r="Q4" s="965"/>
      <c r="R4" s="965"/>
      <c r="S4" s="965"/>
      <c r="T4" s="965"/>
      <c r="U4" s="965"/>
      <c r="V4" s="965"/>
      <c r="W4" s="965"/>
    </row>
    <row r="5" spans="11:23" hidden="1">
      <c r="K5" s="965"/>
      <c r="L5" s="965"/>
      <c r="M5" s="965"/>
      <c r="N5" s="965"/>
      <c r="O5" s="965"/>
      <c r="P5" s="965"/>
      <c r="Q5" s="965"/>
      <c r="R5" s="965"/>
      <c r="S5" s="965"/>
      <c r="T5" s="965"/>
      <c r="U5" s="965"/>
      <c r="V5" s="965"/>
      <c r="W5" s="965"/>
    </row>
    <row r="6" spans="11:23" hidden="1">
      <c r="K6" s="965"/>
      <c r="L6" s="965"/>
      <c r="M6" s="965"/>
      <c r="N6" s="965"/>
      <c r="O6" s="965"/>
      <c r="P6" s="965"/>
      <c r="Q6" s="965"/>
      <c r="R6" s="965"/>
      <c r="S6" s="965"/>
      <c r="T6" s="965"/>
      <c r="U6" s="965"/>
      <c r="V6" s="965"/>
      <c r="W6" s="965"/>
    </row>
    <row r="7" spans="11:23" hidden="1">
      <c r="K7" s="965"/>
      <c r="L7" s="965"/>
      <c r="M7" s="965"/>
      <c r="N7" s="965"/>
      <c r="O7" s="965"/>
      <c r="P7" s="965"/>
      <c r="Q7" s="965"/>
      <c r="R7" s="965"/>
      <c r="S7" s="965"/>
      <c r="T7" s="965"/>
      <c r="U7" s="965"/>
      <c r="V7" s="965"/>
      <c r="W7" s="965"/>
    </row>
    <row r="8" spans="11:23" hidden="1">
      <c r="K8" s="965"/>
      <c r="L8" s="965"/>
      <c r="M8" s="965"/>
      <c r="N8" s="965"/>
      <c r="O8" s="965"/>
      <c r="P8" s="965"/>
      <c r="Q8" s="965"/>
      <c r="R8" s="965"/>
      <c r="S8" s="965"/>
      <c r="T8" s="965"/>
      <c r="U8" s="965"/>
      <c r="V8" s="965"/>
      <c r="W8" s="965"/>
    </row>
    <row r="9" spans="11:23" hidden="1">
      <c r="K9" s="965"/>
      <c r="L9" s="965"/>
      <c r="M9" s="965"/>
      <c r="N9" s="965"/>
      <c r="O9" s="965"/>
      <c r="P9" s="965"/>
      <c r="Q9" s="965"/>
      <c r="R9" s="965"/>
      <c r="S9" s="965"/>
      <c r="T9" s="965"/>
      <c r="U9" s="965"/>
      <c r="V9" s="965"/>
      <c r="W9" s="965"/>
    </row>
    <row r="10" spans="11:23" hidden="1">
      <c r="K10" s="965"/>
      <c r="L10" s="965"/>
      <c r="M10" s="965"/>
      <c r="N10" s="965"/>
      <c r="O10" s="965"/>
      <c r="P10" s="965"/>
      <c r="Q10" s="965"/>
      <c r="R10" s="965"/>
      <c r="S10" s="965"/>
      <c r="T10" s="965"/>
      <c r="U10" s="965"/>
      <c r="V10" s="965"/>
      <c r="W10" s="965"/>
    </row>
    <row r="11" spans="11:23" ht="11.25" hidden="1" customHeight="1">
      <c r="K11" s="965"/>
      <c r="L11" s="989"/>
      <c r="M11" s="989"/>
      <c r="N11" s="989"/>
      <c r="O11" s="989"/>
      <c r="P11" s="989"/>
      <c r="Q11" s="989"/>
      <c r="R11" s="989"/>
      <c r="S11" s="989"/>
      <c r="T11" s="989"/>
      <c r="U11" s="989"/>
      <c r="V11" s="989"/>
      <c r="W11" s="965"/>
    </row>
    <row r="12" spans="11:23" ht="20.100000000000001" customHeight="1">
      <c r="K12" s="965"/>
      <c r="L12" s="484" t="s">
        <v>1358</v>
      </c>
      <c r="M12" s="295"/>
      <c r="N12" s="295"/>
      <c r="O12" s="295"/>
      <c r="P12" s="295"/>
      <c r="Q12" s="296"/>
      <c r="R12" s="296"/>
      <c r="S12" s="296"/>
      <c r="T12" s="296"/>
      <c r="U12" s="296"/>
      <c r="V12" s="296"/>
      <c r="W12" s="1005"/>
    </row>
    <row r="13" spans="11:23" ht="11.25" customHeight="1">
      <c r="K13" s="965"/>
      <c r="L13" s="989"/>
      <c r="M13" s="989"/>
      <c r="N13" s="989"/>
      <c r="O13" s="989"/>
      <c r="P13" s="989"/>
      <c r="Q13" s="989"/>
      <c r="R13" s="989"/>
      <c r="S13" s="989"/>
      <c r="T13" s="989"/>
      <c r="U13" s="989"/>
      <c r="V13" s="989"/>
      <c r="W13" s="965"/>
    </row>
    <row r="14" spans="11:23" ht="111.75" customHeight="1">
      <c r="K14" s="965"/>
      <c r="L14" s="999" t="s">
        <v>302</v>
      </c>
      <c r="M14" s="995" t="s">
        <v>142</v>
      </c>
      <c r="N14" s="995" t="s">
        <v>143</v>
      </c>
      <c r="O14" s="971" t="s">
        <v>1329</v>
      </c>
      <c r="P14" s="971" t="s">
        <v>465</v>
      </c>
      <c r="Q14" s="971" t="s">
        <v>466</v>
      </c>
      <c r="R14" s="971" t="s">
        <v>467</v>
      </c>
      <c r="S14" s="971" t="s">
        <v>468</v>
      </c>
      <c r="T14" s="971" t="s">
        <v>1330</v>
      </c>
      <c r="U14" s="971" t="s">
        <v>136</v>
      </c>
      <c r="V14" s="971" t="s">
        <v>469</v>
      </c>
      <c r="W14" s="965"/>
    </row>
    <row r="15" spans="11:23">
      <c r="K15" s="965"/>
      <c r="L15" s="965"/>
      <c r="M15" s="965"/>
      <c r="N15" s="965"/>
      <c r="O15" s="965"/>
      <c r="P15" s="965"/>
      <c r="Q15" s="965"/>
      <c r="R15" s="965"/>
      <c r="S15" s="965"/>
      <c r="T15" s="965"/>
      <c r="U15" s="965"/>
      <c r="V15" s="965"/>
      <c r="W15" s="965"/>
    </row>
    <row r="16" spans="11:23">
      <c r="K16" s="965"/>
      <c r="L16" s="965"/>
      <c r="M16" s="965"/>
      <c r="N16" s="965"/>
      <c r="O16" s="965"/>
      <c r="P16" s="965"/>
      <c r="Q16" s="965"/>
      <c r="R16" s="965"/>
      <c r="S16" s="965"/>
      <c r="T16" s="965"/>
      <c r="U16" s="965"/>
      <c r="V16" s="965"/>
      <c r="W16" s="965"/>
    </row>
    <row r="17" spans="11:23" ht="24" customHeight="1">
      <c r="K17" s="965"/>
      <c r="L17" s="985" t="s">
        <v>1402</v>
      </c>
      <c r="M17" s="985"/>
      <c r="N17" s="985"/>
      <c r="O17" s="985"/>
      <c r="P17" s="985"/>
      <c r="Q17" s="985"/>
      <c r="R17" s="985"/>
      <c r="S17" s="985"/>
      <c r="T17" s="985"/>
      <c r="U17" s="985"/>
      <c r="V17" s="1002"/>
      <c r="W17" s="965"/>
    </row>
    <row r="18" spans="11:23" ht="15">
      <c r="K18" s="724"/>
      <c r="L18" s="987"/>
      <c r="M18" s="987"/>
      <c r="N18" s="987"/>
      <c r="O18" s="987"/>
      <c r="P18" s="987"/>
      <c r="Q18" s="987"/>
      <c r="R18" s="987"/>
      <c r="S18" s="987"/>
      <c r="T18" s="987"/>
      <c r="U18" s="987"/>
      <c r="V18" s="1006"/>
      <c r="W18" s="965"/>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52"/>
  <sheetViews>
    <sheetView showGridLines="0" view="pageBreakPreview" topLeftCell="A11" zoomScale="60" zoomScaleNormal="100" workbookViewId="0">
      <pane xSplit="15" ySplit="5" topLeftCell="P43" activePane="bottomRight" state="frozen"/>
      <selection activeCell="M11" sqref="M11"/>
      <selection pane="topRight" activeCell="M11" sqref="M11"/>
      <selection pane="bottomLeft" activeCell="M11" sqref="M11"/>
      <selection pane="bottomRight" activeCell="Q36" sqref="Q36"/>
    </sheetView>
  </sheetViews>
  <sheetFormatPr defaultColWidth="9.140625" defaultRowHeight="11.25"/>
  <cols>
    <col min="1" max="10" width="0" style="102" hidden="1" customWidth="1"/>
    <col min="11" max="11" width="3.7109375" style="102" hidden="1" customWidth="1"/>
    <col min="12" max="12" width="8.7109375" style="305" customWidth="1"/>
    <col min="13" max="13" width="62.85546875" style="102" customWidth="1"/>
    <col min="14" max="15" width="12.7109375" style="102" customWidth="1"/>
    <col min="16" max="17" width="15.7109375" style="102" customWidth="1"/>
    <col min="18" max="18" width="20.7109375" style="102" customWidth="1"/>
    <col min="19" max="16384" width="9.140625" style="102"/>
  </cols>
  <sheetData>
    <row r="1" spans="1:18" hidden="1">
      <c r="A1" s="965"/>
      <c r="B1" s="965"/>
      <c r="C1" s="965"/>
      <c r="D1" s="965"/>
      <c r="E1" s="965"/>
      <c r="F1" s="965"/>
      <c r="G1" s="965"/>
      <c r="H1" s="965"/>
      <c r="I1" s="965"/>
      <c r="J1" s="965"/>
      <c r="K1" s="965"/>
      <c r="L1" s="984"/>
      <c r="M1" s="965"/>
      <c r="N1" s="965"/>
      <c r="O1" s="965"/>
      <c r="P1" s="965"/>
      <c r="Q1" s="965"/>
      <c r="R1" s="965"/>
    </row>
    <row r="2" spans="1:18" hidden="1">
      <c r="A2" s="965"/>
      <c r="B2" s="965"/>
      <c r="C2" s="965"/>
      <c r="D2" s="965"/>
      <c r="E2" s="965"/>
      <c r="F2" s="965"/>
      <c r="G2" s="965"/>
      <c r="H2" s="965"/>
      <c r="I2" s="965"/>
      <c r="J2" s="965"/>
      <c r="K2" s="965"/>
      <c r="L2" s="984"/>
      <c r="M2" s="965"/>
      <c r="N2" s="965"/>
      <c r="O2" s="965"/>
      <c r="P2" s="965"/>
      <c r="Q2" s="965"/>
      <c r="R2" s="965"/>
    </row>
    <row r="3" spans="1:18" hidden="1">
      <c r="A3" s="965"/>
      <c r="B3" s="965"/>
      <c r="C3" s="965"/>
      <c r="D3" s="965"/>
      <c r="E3" s="965"/>
      <c r="F3" s="965"/>
      <c r="G3" s="965"/>
      <c r="H3" s="965"/>
      <c r="I3" s="965"/>
      <c r="J3" s="965"/>
      <c r="K3" s="965"/>
      <c r="L3" s="984"/>
      <c r="M3" s="965"/>
      <c r="N3" s="965"/>
      <c r="O3" s="965"/>
      <c r="P3" s="965"/>
      <c r="Q3" s="965"/>
      <c r="R3" s="965"/>
    </row>
    <row r="4" spans="1:18" hidden="1">
      <c r="A4" s="965"/>
      <c r="B4" s="965"/>
      <c r="C4" s="965"/>
      <c r="D4" s="965"/>
      <c r="E4" s="965"/>
      <c r="F4" s="965"/>
      <c r="G4" s="965"/>
      <c r="H4" s="965"/>
      <c r="I4" s="965"/>
      <c r="J4" s="965"/>
      <c r="K4" s="965"/>
      <c r="L4" s="984"/>
      <c r="M4" s="965"/>
      <c r="N4" s="965"/>
      <c r="O4" s="965"/>
      <c r="P4" s="965"/>
      <c r="Q4" s="965"/>
      <c r="R4" s="965"/>
    </row>
    <row r="5" spans="1:18" hidden="1">
      <c r="A5" s="965"/>
      <c r="B5" s="965"/>
      <c r="C5" s="965"/>
      <c r="D5" s="965"/>
      <c r="E5" s="965"/>
      <c r="F5" s="965"/>
      <c r="G5" s="965"/>
      <c r="H5" s="965"/>
      <c r="I5" s="965"/>
      <c r="J5" s="965"/>
      <c r="K5" s="965"/>
      <c r="L5" s="984"/>
      <c r="M5" s="965"/>
      <c r="N5" s="965"/>
      <c r="O5" s="965"/>
      <c r="P5" s="965"/>
      <c r="Q5" s="965"/>
      <c r="R5" s="965"/>
    </row>
    <row r="6" spans="1:18" hidden="1">
      <c r="A6" s="965"/>
      <c r="B6" s="965"/>
      <c r="C6" s="965"/>
      <c r="D6" s="965"/>
      <c r="E6" s="965"/>
      <c r="F6" s="965"/>
      <c r="G6" s="965"/>
      <c r="H6" s="965"/>
      <c r="I6" s="965"/>
      <c r="J6" s="965"/>
      <c r="K6" s="965"/>
      <c r="L6" s="984"/>
      <c r="M6" s="965"/>
      <c r="N6" s="965"/>
      <c r="O6" s="965"/>
      <c r="P6" s="965"/>
      <c r="Q6" s="965"/>
      <c r="R6" s="965"/>
    </row>
    <row r="7" spans="1:18" hidden="1">
      <c r="A7" s="965"/>
      <c r="B7" s="965"/>
      <c r="C7" s="965"/>
      <c r="D7" s="965"/>
      <c r="E7" s="965"/>
      <c r="F7" s="965"/>
      <c r="G7" s="965"/>
      <c r="H7" s="965"/>
      <c r="I7" s="965"/>
      <c r="J7" s="965"/>
      <c r="K7" s="965"/>
      <c r="L7" s="984"/>
      <c r="M7" s="965"/>
      <c r="N7" s="965"/>
      <c r="O7" s="965"/>
      <c r="P7" s="965"/>
      <c r="Q7" s="965"/>
      <c r="R7" s="965"/>
    </row>
    <row r="8" spans="1:18" hidden="1">
      <c r="A8" s="965"/>
      <c r="B8" s="965"/>
      <c r="C8" s="965"/>
      <c r="D8" s="965"/>
      <c r="E8" s="965"/>
      <c r="F8" s="965"/>
      <c r="G8" s="965"/>
      <c r="H8" s="965"/>
      <c r="I8" s="965"/>
      <c r="J8" s="965"/>
      <c r="K8" s="965"/>
      <c r="L8" s="984"/>
      <c r="M8" s="965"/>
      <c r="N8" s="965"/>
      <c r="O8" s="965"/>
      <c r="P8" s="965"/>
      <c r="Q8" s="965"/>
      <c r="R8" s="965"/>
    </row>
    <row r="9" spans="1:18" hidden="1">
      <c r="A9" s="965"/>
      <c r="B9" s="965"/>
      <c r="C9" s="965"/>
      <c r="D9" s="965"/>
      <c r="E9" s="965"/>
      <c r="F9" s="965"/>
      <c r="G9" s="965"/>
      <c r="H9" s="965"/>
      <c r="I9" s="965"/>
      <c r="J9" s="965"/>
      <c r="K9" s="965"/>
      <c r="L9" s="984"/>
      <c r="M9" s="965"/>
      <c r="N9" s="965"/>
      <c r="O9" s="965"/>
      <c r="P9" s="965"/>
      <c r="Q9" s="965"/>
      <c r="R9" s="965"/>
    </row>
    <row r="10" spans="1:18" hidden="1">
      <c r="A10" s="965"/>
      <c r="B10" s="965"/>
      <c r="C10" s="965"/>
      <c r="D10" s="965"/>
      <c r="E10" s="965"/>
      <c r="F10" s="965"/>
      <c r="G10" s="965"/>
      <c r="H10" s="965"/>
      <c r="I10" s="965"/>
      <c r="J10" s="965"/>
      <c r="K10" s="965"/>
      <c r="L10" s="984"/>
      <c r="M10" s="965"/>
      <c r="N10" s="965"/>
      <c r="O10" s="965"/>
      <c r="P10" s="965"/>
      <c r="Q10" s="965"/>
      <c r="R10" s="965"/>
    </row>
    <row r="11" spans="1:18" ht="15" hidden="1" customHeight="1">
      <c r="A11" s="965"/>
      <c r="B11" s="965"/>
      <c r="C11" s="965"/>
      <c r="D11" s="965"/>
      <c r="E11" s="965"/>
      <c r="F11" s="965"/>
      <c r="G11" s="965"/>
      <c r="H11" s="965"/>
      <c r="I11" s="965"/>
      <c r="J11" s="965"/>
      <c r="K11" s="965"/>
      <c r="L11" s="1007"/>
      <c r="M11" s="990"/>
      <c r="N11" s="989"/>
      <c r="O11" s="989"/>
      <c r="P11" s="989"/>
      <c r="Q11" s="989"/>
      <c r="R11" s="965"/>
    </row>
    <row r="12" spans="1:18" ht="22.5" customHeight="1">
      <c r="A12" s="965"/>
      <c r="B12" s="965"/>
      <c r="C12" s="965"/>
      <c r="D12" s="965"/>
      <c r="E12" s="965"/>
      <c r="F12" s="965"/>
      <c r="G12" s="965"/>
      <c r="H12" s="965"/>
      <c r="I12" s="965"/>
      <c r="J12" s="965"/>
      <c r="K12" s="965"/>
      <c r="L12" s="484" t="s">
        <v>1288</v>
      </c>
      <c r="M12" s="298"/>
      <c r="N12" s="298"/>
      <c r="O12" s="298"/>
      <c r="P12" s="298"/>
      <c r="Q12" s="299"/>
      <c r="R12" s="299"/>
    </row>
    <row r="13" spans="1:18" ht="11.25" customHeight="1">
      <c r="A13" s="965"/>
      <c r="B13" s="965"/>
      <c r="C13" s="965"/>
      <c r="D13" s="965"/>
      <c r="E13" s="965"/>
      <c r="F13" s="965"/>
      <c r="G13" s="965"/>
      <c r="H13" s="965"/>
      <c r="I13" s="965"/>
      <c r="J13" s="965"/>
      <c r="K13" s="965"/>
      <c r="L13" s="1007"/>
      <c r="M13" s="989"/>
      <c r="N13" s="989"/>
      <c r="O13" s="989"/>
      <c r="P13" s="989"/>
      <c r="Q13" s="989"/>
      <c r="R13" s="965"/>
    </row>
    <row r="14" spans="1:18" ht="19.5" customHeight="1">
      <c r="A14" s="965"/>
      <c r="B14" s="965"/>
      <c r="C14" s="965"/>
      <c r="D14" s="965"/>
      <c r="E14" s="965"/>
      <c r="F14" s="965"/>
      <c r="G14" s="965"/>
      <c r="H14" s="965"/>
      <c r="I14" s="965"/>
      <c r="J14" s="965"/>
      <c r="K14" s="965"/>
      <c r="L14" s="815" t="s">
        <v>16</v>
      </c>
      <c r="M14" s="970" t="s">
        <v>121</v>
      </c>
      <c r="N14" s="1008" t="s">
        <v>1149</v>
      </c>
      <c r="O14" s="970" t="s">
        <v>285</v>
      </c>
      <c r="P14" s="985" t="s">
        <v>2567</v>
      </c>
      <c r="Q14" s="985"/>
      <c r="R14" s="970" t="s">
        <v>109</v>
      </c>
    </row>
    <row r="15" spans="1:18" ht="32.25" customHeight="1">
      <c r="A15" s="965"/>
      <c r="B15" s="965"/>
      <c r="C15" s="965"/>
      <c r="D15" s="965"/>
      <c r="E15" s="965"/>
      <c r="F15" s="965"/>
      <c r="G15" s="965"/>
      <c r="H15" s="965"/>
      <c r="I15" s="965"/>
      <c r="J15" s="965"/>
      <c r="K15" s="965"/>
      <c r="L15" s="815"/>
      <c r="M15" s="970"/>
      <c r="N15" s="1008"/>
      <c r="O15" s="970"/>
      <c r="P15" s="1009" t="s">
        <v>324</v>
      </c>
      <c r="Q15" s="1010" t="s">
        <v>286</v>
      </c>
      <c r="R15" s="970"/>
    </row>
    <row r="16" spans="1:18">
      <c r="A16" s="861" t="s">
        <v>18</v>
      </c>
      <c r="B16" s="965"/>
      <c r="C16" s="965"/>
      <c r="D16" s="965"/>
      <c r="E16" s="965"/>
      <c r="F16" s="965"/>
      <c r="G16" s="965"/>
      <c r="H16" s="965"/>
      <c r="I16" s="965"/>
      <c r="J16" s="965"/>
      <c r="K16" s="965"/>
      <c r="L16" s="982" t="s">
        <v>2545</v>
      </c>
      <c r="M16" s="983"/>
      <c r="N16" s="983"/>
      <c r="O16" s="983"/>
      <c r="P16" s="983"/>
      <c r="Q16" s="983"/>
      <c r="R16" s="983"/>
    </row>
    <row r="17" spans="1:18" s="278" customFormat="1" ht="56.25">
      <c r="A17" s="895">
        <v>1</v>
      </c>
      <c r="B17" s="978"/>
      <c r="C17" s="978"/>
      <c r="D17" s="978"/>
      <c r="E17" s="978"/>
      <c r="F17" s="978"/>
      <c r="G17" s="978"/>
      <c r="H17" s="978"/>
      <c r="I17" s="978"/>
      <c r="J17" s="978"/>
      <c r="K17" s="978"/>
      <c r="L17" s="1011" t="s">
        <v>471</v>
      </c>
      <c r="M17" s="1012" t="s">
        <v>472</v>
      </c>
      <c r="N17" s="1011" t="s">
        <v>2607</v>
      </c>
      <c r="O17" s="1013" t="s">
        <v>370</v>
      </c>
      <c r="P17" s="1014">
        <v>1356.5503990000034</v>
      </c>
      <c r="Q17" s="1015">
        <v>1356.5503990000034</v>
      </c>
      <c r="R17" s="1016"/>
    </row>
    <row r="18" spans="1:18" s="278" customFormat="1">
      <c r="A18" s="895">
        <v>1</v>
      </c>
      <c r="B18" s="978"/>
      <c r="C18" s="978"/>
      <c r="D18" s="978"/>
      <c r="E18" s="978"/>
      <c r="F18" s="978"/>
      <c r="G18" s="978"/>
      <c r="H18" s="978"/>
      <c r="I18" s="978"/>
      <c r="J18" s="978"/>
      <c r="K18" s="978"/>
      <c r="L18" s="1017" t="s">
        <v>18</v>
      </c>
      <c r="M18" s="1012" t="s">
        <v>473</v>
      </c>
      <c r="N18" s="1011" t="s">
        <v>2608</v>
      </c>
      <c r="O18" s="1013" t="s">
        <v>370</v>
      </c>
      <c r="P18" s="1018">
        <v>21819.919999999998</v>
      </c>
      <c r="Q18" s="1019">
        <v>21819.919999999998</v>
      </c>
      <c r="R18" s="1016"/>
    </row>
    <row r="19" spans="1:18" s="278" customFormat="1" ht="22.5">
      <c r="A19" s="895">
        <v>1</v>
      </c>
      <c r="B19" s="978"/>
      <c r="C19" s="978"/>
      <c r="D19" s="978"/>
      <c r="E19" s="978"/>
      <c r="F19" s="978"/>
      <c r="G19" s="978"/>
      <c r="H19" s="978"/>
      <c r="I19" s="978"/>
      <c r="J19" s="978"/>
      <c r="K19" s="978"/>
      <c r="L19" s="1017" t="s">
        <v>102</v>
      </c>
      <c r="M19" s="1020" t="s">
        <v>474</v>
      </c>
      <c r="N19" s="1011" t="s">
        <v>2609</v>
      </c>
      <c r="O19" s="1013" t="s">
        <v>370</v>
      </c>
      <c r="P19" s="1014">
        <v>23176.470399000002</v>
      </c>
      <c r="Q19" s="1014">
        <v>23176.470399000002</v>
      </c>
      <c r="R19" s="1016"/>
    </row>
    <row r="20" spans="1:18" ht="22.5">
      <c r="A20" s="895">
        <v>1</v>
      </c>
      <c r="B20" s="965"/>
      <c r="C20" s="965"/>
      <c r="D20" s="965"/>
      <c r="E20" s="965"/>
      <c r="F20" s="965"/>
      <c r="G20" s="965"/>
      <c r="H20" s="965"/>
      <c r="I20" s="965"/>
      <c r="J20" s="965"/>
      <c r="K20" s="965"/>
      <c r="L20" s="1021" t="s">
        <v>17</v>
      </c>
      <c r="M20" s="1022" t="s">
        <v>475</v>
      </c>
      <c r="N20" s="1023" t="s">
        <v>2610</v>
      </c>
      <c r="O20" s="1024" t="s">
        <v>370</v>
      </c>
      <c r="P20" s="1025">
        <v>13304.37</v>
      </c>
      <c r="Q20" s="1026">
        <v>13304.37</v>
      </c>
      <c r="R20" s="1027"/>
    </row>
    <row r="21" spans="1:18" ht="22.5">
      <c r="A21" s="895">
        <v>1</v>
      </c>
      <c r="B21" s="965"/>
      <c r="C21" s="965"/>
      <c r="D21" s="965"/>
      <c r="E21" s="965"/>
      <c r="F21" s="965"/>
      <c r="G21" s="965"/>
      <c r="H21" s="965"/>
      <c r="I21" s="965"/>
      <c r="J21" s="965"/>
      <c r="K21" s="965"/>
      <c r="L21" s="1021" t="s">
        <v>146</v>
      </c>
      <c r="M21" s="1022" t="s">
        <v>477</v>
      </c>
      <c r="N21" s="1023" t="s">
        <v>2611</v>
      </c>
      <c r="O21" s="1024" t="s">
        <v>370</v>
      </c>
      <c r="P21" s="1028">
        <v>1946.01</v>
      </c>
      <c r="Q21" s="1029">
        <v>1946.01</v>
      </c>
      <c r="R21" s="1027"/>
    </row>
    <row r="22" spans="1:18" ht="22.5">
      <c r="A22" s="895">
        <v>1</v>
      </c>
      <c r="B22" s="965"/>
      <c r="C22" s="965"/>
      <c r="D22" s="965"/>
      <c r="E22" s="965"/>
      <c r="F22" s="965"/>
      <c r="G22" s="965"/>
      <c r="H22" s="965"/>
      <c r="I22" s="965"/>
      <c r="J22" s="965"/>
      <c r="K22" s="965"/>
      <c r="L22" s="1030" t="s">
        <v>147</v>
      </c>
      <c r="M22" s="1031" t="s">
        <v>479</v>
      </c>
      <c r="N22" s="1032"/>
      <c r="O22" s="1024" t="s">
        <v>370</v>
      </c>
      <c r="P22" s="1025">
        <v>0</v>
      </c>
      <c r="Q22" s="1026">
        <v>0</v>
      </c>
      <c r="R22" s="1027"/>
    </row>
    <row r="23" spans="1:18">
      <c r="A23" s="895">
        <v>1</v>
      </c>
      <c r="B23" s="965"/>
      <c r="C23" s="965"/>
      <c r="D23" s="965"/>
      <c r="E23" s="965"/>
      <c r="F23" s="965"/>
      <c r="G23" s="965"/>
      <c r="H23" s="965"/>
      <c r="I23" s="965"/>
      <c r="J23" s="965"/>
      <c r="K23" s="965"/>
      <c r="L23" s="1030" t="s">
        <v>480</v>
      </c>
      <c r="M23" s="1031" t="s">
        <v>481</v>
      </c>
      <c r="N23" s="1032"/>
      <c r="O23" s="1024" t="s">
        <v>370</v>
      </c>
      <c r="P23" s="1025"/>
      <c r="Q23" s="1026">
        <v>0</v>
      </c>
      <c r="R23" s="1027"/>
    </row>
    <row r="24" spans="1:18" ht="22.5">
      <c r="A24" s="895">
        <v>1</v>
      </c>
      <c r="B24" s="965"/>
      <c r="C24" s="965"/>
      <c r="D24" s="965"/>
      <c r="E24" s="965"/>
      <c r="F24" s="965"/>
      <c r="G24" s="965"/>
      <c r="H24" s="965"/>
      <c r="I24" s="965"/>
      <c r="J24" s="965"/>
      <c r="K24" s="965"/>
      <c r="L24" s="1030" t="s">
        <v>482</v>
      </c>
      <c r="M24" s="1031" t="s">
        <v>483</v>
      </c>
      <c r="N24" s="1032"/>
      <c r="O24" s="1024" t="s">
        <v>370</v>
      </c>
      <c r="P24" s="1026">
        <v>1946.01</v>
      </c>
      <c r="Q24" s="1026">
        <v>1946.01</v>
      </c>
      <c r="R24" s="1027"/>
    </row>
    <row r="25" spans="1:18" ht="78.75">
      <c r="A25" s="895">
        <v>1</v>
      </c>
      <c r="B25" s="1033" t="s">
        <v>1396</v>
      </c>
      <c r="C25" s="965"/>
      <c r="D25" s="965"/>
      <c r="E25" s="965"/>
      <c r="F25" s="965"/>
      <c r="G25" s="965"/>
      <c r="H25" s="965"/>
      <c r="I25" s="965"/>
      <c r="J25" s="965"/>
      <c r="K25" s="965"/>
      <c r="L25" s="1030" t="s">
        <v>484</v>
      </c>
      <c r="M25" s="1031" t="s">
        <v>485</v>
      </c>
      <c r="N25" s="1032"/>
      <c r="O25" s="1024" t="s">
        <v>370</v>
      </c>
      <c r="P25" s="1025"/>
      <c r="Q25" s="1026">
        <v>0</v>
      </c>
      <c r="R25" s="1027"/>
    </row>
    <row r="26" spans="1:18">
      <c r="A26" s="895">
        <v>1</v>
      </c>
      <c r="B26" s="1033" t="s">
        <v>643</v>
      </c>
      <c r="C26" s="965"/>
      <c r="D26" s="965"/>
      <c r="E26" s="965"/>
      <c r="F26" s="965"/>
      <c r="G26" s="965"/>
      <c r="H26" s="965"/>
      <c r="I26" s="965"/>
      <c r="J26" s="965"/>
      <c r="K26" s="965"/>
      <c r="L26" s="1034" t="s">
        <v>486</v>
      </c>
      <c r="M26" s="1035" t="s">
        <v>487</v>
      </c>
      <c r="N26" s="1024"/>
      <c r="O26" s="1024" t="s">
        <v>370</v>
      </c>
      <c r="P26" s="1025">
        <v>0</v>
      </c>
      <c r="Q26" s="1026">
        <v>0</v>
      </c>
      <c r="R26" s="1027"/>
    </row>
    <row r="27" spans="1:18">
      <c r="A27" s="895">
        <v>1</v>
      </c>
      <c r="B27" s="1033" t="s">
        <v>646</v>
      </c>
      <c r="C27" s="965"/>
      <c r="D27" s="965"/>
      <c r="E27" s="965"/>
      <c r="F27" s="965"/>
      <c r="G27" s="965"/>
      <c r="H27" s="965"/>
      <c r="I27" s="965"/>
      <c r="J27" s="965"/>
      <c r="K27" s="965"/>
      <c r="L27" s="1021" t="s">
        <v>488</v>
      </c>
      <c r="M27" s="1036" t="s">
        <v>1193</v>
      </c>
      <c r="N27" s="1024"/>
      <c r="O27" s="1024" t="s">
        <v>370</v>
      </c>
      <c r="P27" s="1025">
        <v>0</v>
      </c>
      <c r="Q27" s="1026">
        <v>0</v>
      </c>
      <c r="R27" s="1027"/>
    </row>
    <row r="28" spans="1:18" ht="22.5">
      <c r="A28" s="895">
        <v>1</v>
      </c>
      <c r="B28" s="1033" t="s">
        <v>647</v>
      </c>
      <c r="C28" s="965"/>
      <c r="D28" s="965"/>
      <c r="E28" s="965"/>
      <c r="F28" s="965"/>
      <c r="G28" s="965"/>
      <c r="H28" s="965"/>
      <c r="I28" s="965"/>
      <c r="J28" s="965"/>
      <c r="K28" s="965"/>
      <c r="L28" s="1021" t="s">
        <v>489</v>
      </c>
      <c r="M28" s="1036" t="s">
        <v>1194</v>
      </c>
      <c r="N28" s="1024"/>
      <c r="O28" s="1024" t="s">
        <v>370</v>
      </c>
      <c r="P28" s="1025">
        <v>0</v>
      </c>
      <c r="Q28" s="1026">
        <v>0</v>
      </c>
      <c r="R28" s="1027"/>
    </row>
    <row r="29" spans="1:18" ht="22.5">
      <c r="A29" s="895">
        <v>1</v>
      </c>
      <c r="B29" s="1033" t="s">
        <v>648</v>
      </c>
      <c r="C29" s="965"/>
      <c r="D29" s="965"/>
      <c r="E29" s="965"/>
      <c r="F29" s="965"/>
      <c r="G29" s="965"/>
      <c r="H29" s="965"/>
      <c r="I29" s="965"/>
      <c r="J29" s="965"/>
      <c r="K29" s="965"/>
      <c r="L29" s="1021" t="s">
        <v>490</v>
      </c>
      <c r="M29" s="1036" t="s">
        <v>491</v>
      </c>
      <c r="N29" s="1037"/>
      <c r="O29" s="1024" t="s">
        <v>370</v>
      </c>
      <c r="P29" s="1025">
        <v>0</v>
      </c>
      <c r="Q29" s="1026">
        <v>0</v>
      </c>
      <c r="R29" s="1027"/>
    </row>
    <row r="30" spans="1:18" ht="22.5">
      <c r="A30" s="895">
        <v>1</v>
      </c>
      <c r="B30" s="1033" t="s">
        <v>649</v>
      </c>
      <c r="C30" s="965"/>
      <c r="D30" s="965"/>
      <c r="E30" s="965"/>
      <c r="F30" s="965"/>
      <c r="G30" s="965"/>
      <c r="H30" s="965"/>
      <c r="I30" s="965"/>
      <c r="J30" s="965"/>
      <c r="K30" s="965"/>
      <c r="L30" s="1021" t="s">
        <v>492</v>
      </c>
      <c r="M30" s="1036" t="s">
        <v>493</v>
      </c>
      <c r="N30" s="1037"/>
      <c r="O30" s="1024" t="s">
        <v>370</v>
      </c>
      <c r="P30" s="1025">
        <v>0</v>
      </c>
      <c r="Q30" s="1026">
        <v>0</v>
      </c>
      <c r="R30" s="1027"/>
    </row>
    <row r="31" spans="1:18">
      <c r="A31" s="895">
        <v>1</v>
      </c>
      <c r="B31" s="1033" t="s">
        <v>651</v>
      </c>
      <c r="C31" s="965"/>
      <c r="D31" s="965"/>
      <c r="E31" s="965"/>
      <c r="F31" s="965"/>
      <c r="G31" s="965"/>
      <c r="H31" s="965"/>
      <c r="I31" s="965"/>
      <c r="J31" s="965"/>
      <c r="K31" s="965"/>
      <c r="L31" s="1021" t="s">
        <v>494</v>
      </c>
      <c r="M31" s="1036" t="s">
        <v>495</v>
      </c>
      <c r="N31" s="1037"/>
      <c r="O31" s="1024" t="s">
        <v>370</v>
      </c>
      <c r="P31" s="1025">
        <v>0</v>
      </c>
      <c r="Q31" s="1026">
        <v>0</v>
      </c>
      <c r="R31" s="1027"/>
    </row>
    <row r="32" spans="1:18" ht="33.75">
      <c r="A32" s="895">
        <v>1</v>
      </c>
      <c r="B32" s="1033" t="s">
        <v>1397</v>
      </c>
      <c r="C32" s="965"/>
      <c r="D32" s="965"/>
      <c r="E32" s="965"/>
      <c r="F32" s="965"/>
      <c r="G32" s="965"/>
      <c r="H32" s="965"/>
      <c r="I32" s="965"/>
      <c r="J32" s="965"/>
      <c r="K32" s="965"/>
      <c r="L32" s="1021" t="s">
        <v>496</v>
      </c>
      <c r="M32" s="1036" t="s">
        <v>497</v>
      </c>
      <c r="N32" s="1037"/>
      <c r="O32" s="1024" t="s">
        <v>370</v>
      </c>
      <c r="P32" s="1025">
        <v>0</v>
      </c>
      <c r="Q32" s="1026">
        <v>0</v>
      </c>
      <c r="R32" s="1027"/>
    </row>
    <row r="33" spans="1:18">
      <c r="A33" s="895">
        <v>1</v>
      </c>
      <c r="B33" s="965"/>
      <c r="C33" s="965"/>
      <c r="D33" s="965"/>
      <c r="E33" s="965"/>
      <c r="F33" s="965"/>
      <c r="G33" s="965"/>
      <c r="H33" s="965"/>
      <c r="I33" s="965"/>
      <c r="J33" s="965"/>
      <c r="K33" s="965"/>
      <c r="L33" s="1021" t="s">
        <v>167</v>
      </c>
      <c r="M33" s="1038" t="s">
        <v>498</v>
      </c>
      <c r="N33" s="1023" t="s">
        <v>2612</v>
      </c>
      <c r="O33" s="1024" t="s">
        <v>370</v>
      </c>
      <c r="P33" s="1028">
        <v>3699.6903990000001</v>
      </c>
      <c r="Q33" s="1029">
        <v>3699.6903990000001</v>
      </c>
      <c r="R33" s="1027"/>
    </row>
    <row r="34" spans="1:18" ht="22.5">
      <c r="A34" s="895">
        <v>1</v>
      </c>
      <c r="B34" s="965"/>
      <c r="C34" s="965"/>
      <c r="D34" s="965"/>
      <c r="E34" s="965"/>
      <c r="F34" s="965"/>
      <c r="G34" s="965"/>
      <c r="H34" s="965"/>
      <c r="I34" s="965"/>
      <c r="J34" s="965"/>
      <c r="K34" s="965"/>
      <c r="L34" s="1021" t="s">
        <v>168</v>
      </c>
      <c r="M34" s="1036" t="s">
        <v>500</v>
      </c>
      <c r="N34" s="1023" t="s">
        <v>501</v>
      </c>
      <c r="O34" s="1024" t="s">
        <v>502</v>
      </c>
      <c r="P34" s="1025">
        <v>0.51</v>
      </c>
      <c r="Q34" s="1026">
        <v>0.51</v>
      </c>
      <c r="R34" s="1027"/>
    </row>
    <row r="35" spans="1:18">
      <c r="A35" s="895">
        <v>1</v>
      </c>
      <c r="B35" s="965"/>
      <c r="C35" s="965"/>
      <c r="D35" s="965"/>
      <c r="E35" s="965"/>
      <c r="F35" s="965"/>
      <c r="G35" s="965"/>
      <c r="H35" s="965"/>
      <c r="I35" s="965"/>
      <c r="J35" s="965"/>
      <c r="K35" s="965"/>
      <c r="L35" s="1021" t="s">
        <v>628</v>
      </c>
      <c r="M35" s="1036" t="s">
        <v>1182</v>
      </c>
      <c r="N35" s="1023" t="s">
        <v>503</v>
      </c>
      <c r="O35" s="1024" t="s">
        <v>504</v>
      </c>
      <c r="P35" s="1026">
        <v>2139.91</v>
      </c>
      <c r="Q35" s="1026">
        <v>2139.91</v>
      </c>
      <c r="R35" s="1027"/>
    </row>
    <row r="36" spans="1:18" ht="22.5">
      <c r="A36" s="895">
        <v>1</v>
      </c>
      <c r="B36" s="965"/>
      <c r="C36" s="965"/>
      <c r="D36" s="965"/>
      <c r="E36" s="965"/>
      <c r="F36" s="965"/>
      <c r="G36" s="965"/>
      <c r="H36" s="965"/>
      <c r="I36" s="965"/>
      <c r="J36" s="965"/>
      <c r="K36" s="965"/>
      <c r="L36" s="1021" t="s">
        <v>630</v>
      </c>
      <c r="M36" s="1036" t="s">
        <v>1122</v>
      </c>
      <c r="N36" s="1023" t="s">
        <v>505</v>
      </c>
      <c r="O36" s="1024" t="s">
        <v>506</v>
      </c>
      <c r="P36" s="1026">
        <v>3.39</v>
      </c>
      <c r="Q36" s="1026">
        <v>3.39</v>
      </c>
      <c r="R36" s="1027"/>
    </row>
    <row r="37" spans="1:18" ht="22.5">
      <c r="A37" s="895">
        <v>1</v>
      </c>
      <c r="B37" s="965" t="s">
        <v>1106</v>
      </c>
      <c r="C37" s="965"/>
      <c r="D37" s="965"/>
      <c r="E37" s="965"/>
      <c r="F37" s="965"/>
      <c r="G37" s="965"/>
      <c r="H37" s="965"/>
      <c r="I37" s="965"/>
      <c r="J37" s="965"/>
      <c r="K37" s="965"/>
      <c r="L37" s="1021" t="s">
        <v>169</v>
      </c>
      <c r="M37" s="1022" t="s">
        <v>507</v>
      </c>
      <c r="N37" s="1023" t="s">
        <v>2613</v>
      </c>
      <c r="O37" s="1024" t="s">
        <v>370</v>
      </c>
      <c r="P37" s="1025">
        <v>240.9</v>
      </c>
      <c r="Q37" s="1026">
        <v>240.9</v>
      </c>
      <c r="R37" s="1027"/>
    </row>
    <row r="38" spans="1:18">
      <c r="A38" s="895">
        <v>1</v>
      </c>
      <c r="B38" s="965"/>
      <c r="C38" s="965"/>
      <c r="D38" s="965"/>
      <c r="E38" s="965"/>
      <c r="F38" s="965"/>
      <c r="G38" s="965"/>
      <c r="H38" s="965"/>
      <c r="I38" s="965"/>
      <c r="J38" s="965"/>
      <c r="K38" s="965"/>
      <c r="L38" s="1021" t="s">
        <v>385</v>
      </c>
      <c r="M38" s="1039" t="s">
        <v>509</v>
      </c>
      <c r="N38" s="1023" t="s">
        <v>2614</v>
      </c>
      <c r="O38" s="1024" t="s">
        <v>370</v>
      </c>
      <c r="P38" s="1025">
        <v>575.73</v>
      </c>
      <c r="Q38" s="1026">
        <v>575.73</v>
      </c>
      <c r="R38" s="1027"/>
    </row>
    <row r="39" spans="1:18" ht="22.5">
      <c r="A39" s="895">
        <v>1</v>
      </c>
      <c r="B39" s="1033" t="s">
        <v>665</v>
      </c>
      <c r="C39" s="965"/>
      <c r="D39" s="965"/>
      <c r="E39" s="965"/>
      <c r="F39" s="965"/>
      <c r="G39" s="965"/>
      <c r="H39" s="965"/>
      <c r="I39" s="965"/>
      <c r="J39" s="965"/>
      <c r="K39" s="965"/>
      <c r="L39" s="1021" t="s">
        <v>511</v>
      </c>
      <c r="M39" s="1022" t="s">
        <v>1195</v>
      </c>
      <c r="N39" s="1023" t="s">
        <v>2615</v>
      </c>
      <c r="O39" s="1024" t="s">
        <v>370</v>
      </c>
      <c r="P39" s="1025"/>
      <c r="Q39" s="1026"/>
      <c r="R39" s="1027"/>
    </row>
    <row r="40" spans="1:18" ht="33.75">
      <c r="A40" s="895">
        <v>1</v>
      </c>
      <c r="B40" s="965"/>
      <c r="C40" s="965"/>
      <c r="D40" s="965"/>
      <c r="E40" s="965"/>
      <c r="F40" s="965"/>
      <c r="G40" s="965"/>
      <c r="H40" s="965"/>
      <c r="I40" s="965"/>
      <c r="J40" s="965"/>
      <c r="K40" s="965"/>
      <c r="L40" s="1021" t="s">
        <v>513</v>
      </c>
      <c r="M40" s="1038" t="s">
        <v>514</v>
      </c>
      <c r="N40" s="1023" t="s">
        <v>2616</v>
      </c>
      <c r="O40" s="1024" t="s">
        <v>370</v>
      </c>
      <c r="P40" s="1025"/>
      <c r="Q40" s="1026"/>
      <c r="R40" s="1027"/>
    </row>
    <row r="41" spans="1:18" ht="22.5">
      <c r="A41" s="895">
        <v>1</v>
      </c>
      <c r="B41" s="965"/>
      <c r="C41" s="965"/>
      <c r="D41" s="965"/>
      <c r="E41" s="965"/>
      <c r="F41" s="965"/>
      <c r="G41" s="965"/>
      <c r="H41" s="965"/>
      <c r="I41" s="965"/>
      <c r="J41" s="965"/>
      <c r="K41" s="965"/>
      <c r="L41" s="1021" t="s">
        <v>516</v>
      </c>
      <c r="M41" s="1038" t="s">
        <v>517</v>
      </c>
      <c r="N41" s="1023" t="s">
        <v>2617</v>
      </c>
      <c r="O41" s="1024" t="s">
        <v>370</v>
      </c>
      <c r="P41" s="1025"/>
      <c r="Q41" s="1026"/>
      <c r="R41" s="1027"/>
    </row>
    <row r="42" spans="1:18" ht="22.5">
      <c r="A42" s="895">
        <v>1</v>
      </c>
      <c r="B42" s="965"/>
      <c r="C42" s="965"/>
      <c r="D42" s="965"/>
      <c r="E42" s="965"/>
      <c r="F42" s="965"/>
      <c r="G42" s="965"/>
      <c r="H42" s="965"/>
      <c r="I42" s="965"/>
      <c r="J42" s="965"/>
      <c r="K42" s="965"/>
      <c r="L42" s="1021" t="s">
        <v>519</v>
      </c>
      <c r="M42" s="1038" t="s">
        <v>1247</v>
      </c>
      <c r="N42" s="1024" t="s">
        <v>1248</v>
      </c>
      <c r="O42" s="1024" t="s">
        <v>370</v>
      </c>
      <c r="P42" s="1025"/>
      <c r="Q42" s="1026"/>
      <c r="R42" s="1027"/>
    </row>
    <row r="43" spans="1:18" ht="56.25">
      <c r="A43" s="895">
        <v>1</v>
      </c>
      <c r="B43" s="965"/>
      <c r="C43" s="965"/>
      <c r="D43" s="965"/>
      <c r="E43" s="965"/>
      <c r="F43" s="965"/>
      <c r="G43" s="965"/>
      <c r="H43" s="965"/>
      <c r="I43" s="965"/>
      <c r="J43" s="965"/>
      <c r="K43" s="965"/>
      <c r="L43" s="1021" t="s">
        <v>650</v>
      </c>
      <c r="M43" s="1038" t="s">
        <v>1250</v>
      </c>
      <c r="N43" s="1024" t="s">
        <v>1249</v>
      </c>
      <c r="O43" s="1024" t="s">
        <v>370</v>
      </c>
      <c r="P43" s="1025">
        <v>3409.77</v>
      </c>
      <c r="Q43" s="1026">
        <v>3409.77</v>
      </c>
      <c r="R43" s="1027"/>
    </row>
    <row r="44" spans="1:18" s="278" customFormat="1" ht="33.75">
      <c r="A44" s="895">
        <v>1</v>
      </c>
      <c r="B44" s="978"/>
      <c r="C44" s="978"/>
      <c r="D44" s="978"/>
      <c r="E44" s="978"/>
      <c r="F44" s="978"/>
      <c r="G44" s="978"/>
      <c r="H44" s="978"/>
      <c r="I44" s="978"/>
      <c r="J44" s="978"/>
      <c r="K44" s="978"/>
      <c r="L44" s="1011" t="s">
        <v>520</v>
      </c>
      <c r="M44" s="1020" t="s">
        <v>521</v>
      </c>
      <c r="N44" s="1011" t="s">
        <v>2607</v>
      </c>
      <c r="O44" s="1013" t="s">
        <v>370</v>
      </c>
      <c r="P44" s="1014">
        <v>0</v>
      </c>
      <c r="Q44" s="1015">
        <v>0</v>
      </c>
      <c r="R44" s="1016"/>
    </row>
    <row r="45" spans="1:18" ht="33.75">
      <c r="A45" s="895">
        <v>1</v>
      </c>
      <c r="B45" s="965"/>
      <c r="C45" s="965"/>
      <c r="D45" s="965"/>
      <c r="E45" s="965"/>
      <c r="F45" s="965"/>
      <c r="G45" s="965"/>
      <c r="H45" s="965"/>
      <c r="I45" s="965"/>
      <c r="J45" s="965"/>
      <c r="K45" s="965"/>
      <c r="L45" s="1021" t="s">
        <v>18</v>
      </c>
      <c r="M45" s="1040" t="s">
        <v>522</v>
      </c>
      <c r="N45" s="1023" t="s">
        <v>2618</v>
      </c>
      <c r="O45" s="1024" t="s">
        <v>370</v>
      </c>
      <c r="P45" s="1028">
        <v>0</v>
      </c>
      <c r="Q45" s="1029">
        <v>0</v>
      </c>
      <c r="R45" s="1027"/>
    </row>
    <row r="46" spans="1:18" ht="56.25">
      <c r="A46" s="895">
        <v>1</v>
      </c>
      <c r="B46" s="965"/>
      <c r="C46" s="965"/>
      <c r="D46" s="965"/>
      <c r="E46" s="965"/>
      <c r="F46" s="965"/>
      <c r="G46" s="965"/>
      <c r="H46" s="965"/>
      <c r="I46" s="965"/>
      <c r="J46" s="965"/>
      <c r="K46" s="965"/>
      <c r="L46" s="1021" t="s">
        <v>165</v>
      </c>
      <c r="M46" s="1038" t="s">
        <v>524</v>
      </c>
      <c r="N46" s="1023" t="s">
        <v>2619</v>
      </c>
      <c r="O46" s="1024" t="s">
        <v>370</v>
      </c>
      <c r="P46" s="1025"/>
      <c r="Q46" s="1026"/>
      <c r="R46" s="1027"/>
    </row>
    <row r="47" spans="1:18" ht="45">
      <c r="A47" s="895">
        <v>1</v>
      </c>
      <c r="B47" s="965"/>
      <c r="C47" s="965"/>
      <c r="D47" s="965"/>
      <c r="E47" s="965"/>
      <c r="F47" s="965"/>
      <c r="G47" s="965"/>
      <c r="H47" s="965"/>
      <c r="I47" s="965"/>
      <c r="J47" s="965"/>
      <c r="K47" s="965"/>
      <c r="L47" s="1021" t="s">
        <v>166</v>
      </c>
      <c r="M47" s="1038" t="s">
        <v>526</v>
      </c>
      <c r="N47" s="1023" t="s">
        <v>2620</v>
      </c>
      <c r="O47" s="1024" t="s">
        <v>370</v>
      </c>
      <c r="P47" s="1025"/>
      <c r="Q47" s="1026"/>
      <c r="R47" s="1027"/>
    </row>
    <row r="48" spans="1:18" ht="33.75">
      <c r="A48" s="895">
        <v>1</v>
      </c>
      <c r="B48" s="965"/>
      <c r="C48" s="965"/>
      <c r="D48" s="965"/>
      <c r="E48" s="965"/>
      <c r="F48" s="965"/>
      <c r="G48" s="965"/>
      <c r="H48" s="965"/>
      <c r="I48" s="965"/>
      <c r="J48" s="965"/>
      <c r="K48" s="965"/>
      <c r="L48" s="1013" t="s">
        <v>1159</v>
      </c>
      <c r="M48" s="1020" t="s">
        <v>1227</v>
      </c>
      <c r="N48" s="1011" t="s">
        <v>2621</v>
      </c>
      <c r="O48" s="1013" t="s">
        <v>370</v>
      </c>
      <c r="P48" s="1041"/>
      <c r="Q48" s="1042"/>
      <c r="R48" s="1027"/>
    </row>
    <row r="49" spans="1:18" ht="146.25">
      <c r="A49" s="895">
        <v>1</v>
      </c>
      <c r="B49" s="965"/>
      <c r="C49" s="965"/>
      <c r="D49" s="965"/>
      <c r="E49" s="965"/>
      <c r="F49" s="965"/>
      <c r="G49" s="965"/>
      <c r="H49" s="965"/>
      <c r="I49" s="965"/>
      <c r="J49" s="965"/>
      <c r="K49" s="965"/>
      <c r="L49" s="1013" t="s">
        <v>1160</v>
      </c>
      <c r="M49" s="1020" t="s">
        <v>528</v>
      </c>
      <c r="N49" s="1011" t="s">
        <v>2622</v>
      </c>
      <c r="O49" s="1013" t="s">
        <v>370</v>
      </c>
      <c r="P49" s="1041"/>
      <c r="Q49" s="1042"/>
      <c r="R49" s="1027"/>
    </row>
    <row r="50" spans="1:18">
      <c r="A50" s="965"/>
      <c r="B50" s="965"/>
      <c r="C50" s="965"/>
      <c r="D50" s="965"/>
      <c r="E50" s="965"/>
      <c r="F50" s="965"/>
      <c r="G50" s="965"/>
      <c r="H50" s="965"/>
      <c r="I50" s="965"/>
      <c r="J50" s="965"/>
      <c r="K50" s="965"/>
      <c r="L50" s="984"/>
      <c r="M50" s="965"/>
      <c r="N50" s="965"/>
      <c r="O50" s="965"/>
      <c r="P50" s="965"/>
      <c r="Q50" s="965"/>
      <c r="R50" s="965"/>
    </row>
    <row r="51" spans="1:18" ht="15" customHeight="1">
      <c r="A51" s="965"/>
      <c r="B51" s="965"/>
      <c r="C51" s="965"/>
      <c r="D51" s="965"/>
      <c r="E51" s="965"/>
      <c r="F51" s="965"/>
      <c r="G51" s="965"/>
      <c r="H51" s="965"/>
      <c r="I51" s="965"/>
      <c r="J51" s="965"/>
      <c r="K51" s="965"/>
      <c r="L51" s="1043" t="s">
        <v>1402</v>
      </c>
      <c r="M51" s="1044"/>
      <c r="N51" s="1044"/>
      <c r="O51" s="1044"/>
      <c r="P51" s="1044"/>
      <c r="Q51" s="1045"/>
      <c r="R51" s="965"/>
    </row>
    <row r="52" spans="1:18" ht="42.75" customHeight="1">
      <c r="A52" s="965"/>
      <c r="B52" s="965"/>
      <c r="C52" s="965"/>
      <c r="D52" s="965"/>
      <c r="E52" s="965"/>
      <c r="F52" s="965"/>
      <c r="G52" s="965"/>
      <c r="H52" s="965"/>
      <c r="I52" s="965"/>
      <c r="J52" s="965"/>
      <c r="K52" s="724"/>
      <c r="L52" s="1046" t="s">
        <v>2530</v>
      </c>
      <c r="M52" s="1047"/>
      <c r="N52" s="1047"/>
      <c r="O52" s="1047"/>
      <c r="P52" s="1047"/>
      <c r="Q52" s="1048"/>
      <c r="R52" s="965"/>
    </row>
  </sheetData>
  <sheetProtection formatColumns="0" formatRows="0" autoFilter="0"/>
  <mergeCells count="8">
    <mergeCell ref="R14:R15"/>
    <mergeCell ref="L51:Q51"/>
    <mergeCell ref="L52:Q52"/>
    <mergeCell ref="L14:L15"/>
    <mergeCell ref="M14:M15"/>
    <mergeCell ref="N14:N15"/>
    <mergeCell ref="O14:O15"/>
    <mergeCell ref="P14:Q14"/>
  </mergeCells>
  <dataValidations count="1">
    <dataValidation type="decimal" allowBlank="1" showErrorMessage="1" errorTitle="Ошибка" error="Допускается ввод только действительных чисел!" sqref="P23:Q32 P46:Q49 P20:Q20 P18:Q18 P34:Q43">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141"/>
  <sheetViews>
    <sheetView showGridLines="0" view="pageBreakPreview" zoomScale="90" zoomScaleNormal="100" zoomScaleSheetLayoutView="90" workbookViewId="0">
      <pane xSplit="14" ySplit="15" topLeftCell="O121" activePane="bottomRight" state="frozen"/>
      <selection activeCell="M11" sqref="M11"/>
      <selection pane="topRight" activeCell="M11" sqref="M11"/>
      <selection pane="bottomLeft" activeCell="M11" sqref="M11"/>
      <selection pane="bottomRight" activeCell="T146" sqref="T146"/>
    </sheetView>
  </sheetViews>
  <sheetFormatPr defaultColWidth="9.140625" defaultRowHeight="10.5"/>
  <cols>
    <col min="1" max="10" width="2.7109375" style="111" hidden="1" customWidth="1"/>
    <col min="11" max="11" width="3.7109375" style="111" hidden="1" customWidth="1"/>
    <col min="12" max="12" width="8.7109375" style="109" customWidth="1"/>
    <col min="13" max="13" width="70.7109375" style="110" customWidth="1"/>
    <col min="14" max="14" width="12.7109375" style="109" customWidth="1"/>
    <col min="15" max="17" width="13.28515625" style="111" customWidth="1"/>
    <col min="18" max="18" width="19.7109375" style="111" customWidth="1"/>
    <col min="19" max="20" width="13.28515625" style="111" customWidth="1"/>
    <col min="21" max="29" width="13.28515625" style="111" hidden="1" customWidth="1"/>
    <col min="30" max="30" width="13.28515625" style="111" customWidth="1"/>
    <col min="31" max="39" width="13.28515625" style="111" hidden="1" customWidth="1"/>
    <col min="40" max="40" width="13.28515625" style="111" customWidth="1"/>
    <col min="41" max="49" width="13.28515625" style="111" hidden="1" customWidth="1"/>
    <col min="50" max="50" width="19.5703125" style="111" customWidth="1"/>
    <col min="51" max="51" width="17.85546875" style="111" customWidth="1"/>
    <col min="52" max="52" width="31.85546875" style="111" customWidth="1"/>
    <col min="53" max="53" width="17.85546875" style="111" customWidth="1"/>
    <col min="54" max="16384" width="9.140625" style="111"/>
  </cols>
  <sheetData>
    <row r="1" spans="1:53" ht="11.25" hidden="1">
      <c r="A1" s="1033"/>
      <c r="B1" s="1033"/>
      <c r="C1" s="1033"/>
      <c r="D1" s="1033"/>
      <c r="E1" s="1033"/>
      <c r="F1" s="1033"/>
      <c r="G1" s="1033"/>
      <c r="H1" s="1033"/>
      <c r="I1" s="1033"/>
      <c r="J1" s="1033"/>
      <c r="K1" s="1033"/>
      <c r="L1" s="1049"/>
      <c r="M1" s="1050"/>
      <c r="N1" s="1049"/>
      <c r="O1" s="1033">
        <v>2022</v>
      </c>
      <c r="P1" s="1033">
        <v>2022</v>
      </c>
      <c r="Q1" s="1033">
        <v>2022</v>
      </c>
      <c r="R1" s="1033">
        <v>2022</v>
      </c>
      <c r="S1" s="851">
        <v>2023</v>
      </c>
      <c r="T1" s="851">
        <v>2024</v>
      </c>
      <c r="U1" s="851">
        <v>2025</v>
      </c>
      <c r="V1" s="851">
        <v>2026</v>
      </c>
      <c r="W1" s="851">
        <v>2027</v>
      </c>
      <c r="X1" s="851">
        <v>2028</v>
      </c>
      <c r="Y1" s="851">
        <v>2029</v>
      </c>
      <c r="Z1" s="851">
        <v>2030</v>
      </c>
      <c r="AA1" s="851">
        <v>2031</v>
      </c>
      <c r="AB1" s="851">
        <v>2032</v>
      </c>
      <c r="AC1" s="851">
        <v>2033</v>
      </c>
      <c r="AD1" s="851">
        <v>2024</v>
      </c>
      <c r="AE1" s="851">
        <v>2025</v>
      </c>
      <c r="AF1" s="851">
        <v>2026</v>
      </c>
      <c r="AG1" s="851">
        <v>2027</v>
      </c>
      <c r="AH1" s="851">
        <v>2028</v>
      </c>
      <c r="AI1" s="851">
        <v>2029</v>
      </c>
      <c r="AJ1" s="851">
        <v>2030</v>
      </c>
      <c r="AK1" s="851">
        <v>2031</v>
      </c>
      <c r="AL1" s="851">
        <v>2032</v>
      </c>
      <c r="AM1" s="851">
        <v>2033</v>
      </c>
      <c r="AN1" s="851">
        <v>2024</v>
      </c>
      <c r="AO1" s="851">
        <v>2025</v>
      </c>
      <c r="AP1" s="851">
        <v>2026</v>
      </c>
      <c r="AQ1" s="851">
        <v>2027</v>
      </c>
      <c r="AR1" s="851">
        <v>2028</v>
      </c>
      <c r="AS1" s="851">
        <v>2029</v>
      </c>
      <c r="AT1" s="851">
        <v>2030</v>
      </c>
      <c r="AU1" s="851">
        <v>2031</v>
      </c>
      <c r="AV1" s="851">
        <v>2032</v>
      </c>
      <c r="AW1" s="851">
        <v>2033</v>
      </c>
      <c r="AX1" s="1033"/>
      <c r="AY1" s="1033"/>
      <c r="AZ1" s="1033"/>
      <c r="BA1" s="1033"/>
    </row>
    <row r="2" spans="1:53" ht="11.25" hidden="1">
      <c r="A2" s="1033"/>
      <c r="B2" s="1033"/>
      <c r="C2" s="1033"/>
      <c r="D2" s="1033"/>
      <c r="E2" s="1033"/>
      <c r="F2" s="1033"/>
      <c r="G2" s="1033"/>
      <c r="H2" s="1033"/>
      <c r="I2" s="1033"/>
      <c r="J2" s="1033"/>
      <c r="K2" s="1033"/>
      <c r="L2" s="1049"/>
      <c r="M2" s="1050"/>
      <c r="N2" s="1049"/>
      <c r="O2" s="851" t="s">
        <v>286</v>
      </c>
      <c r="P2" s="851" t="s">
        <v>324</v>
      </c>
      <c r="Q2" s="851" t="s">
        <v>304</v>
      </c>
      <c r="R2" s="851" t="s">
        <v>1198</v>
      </c>
      <c r="S2" s="851" t="s">
        <v>286</v>
      </c>
      <c r="T2" s="851" t="s">
        <v>287</v>
      </c>
      <c r="U2" s="851" t="s">
        <v>287</v>
      </c>
      <c r="V2" s="851" t="s">
        <v>287</v>
      </c>
      <c r="W2" s="851" t="s">
        <v>287</v>
      </c>
      <c r="X2" s="851" t="s">
        <v>287</v>
      </c>
      <c r="Y2" s="851" t="s">
        <v>287</v>
      </c>
      <c r="Z2" s="851" t="s">
        <v>287</v>
      </c>
      <c r="AA2" s="851" t="s">
        <v>287</v>
      </c>
      <c r="AB2" s="851" t="s">
        <v>287</v>
      </c>
      <c r="AC2" s="851" t="s">
        <v>287</v>
      </c>
      <c r="AD2" s="851" t="s">
        <v>286</v>
      </c>
      <c r="AE2" s="851" t="s">
        <v>286</v>
      </c>
      <c r="AF2" s="851" t="s">
        <v>286</v>
      </c>
      <c r="AG2" s="851" t="s">
        <v>286</v>
      </c>
      <c r="AH2" s="851" t="s">
        <v>286</v>
      </c>
      <c r="AI2" s="851" t="s">
        <v>286</v>
      </c>
      <c r="AJ2" s="851" t="s">
        <v>286</v>
      </c>
      <c r="AK2" s="851" t="s">
        <v>286</v>
      </c>
      <c r="AL2" s="851" t="s">
        <v>286</v>
      </c>
      <c r="AM2" s="851" t="s">
        <v>286</v>
      </c>
      <c r="AN2" s="851"/>
      <c r="AO2" s="851"/>
      <c r="AP2" s="851"/>
      <c r="AQ2" s="851"/>
      <c r="AR2" s="851"/>
      <c r="AS2" s="851"/>
      <c r="AT2" s="851"/>
      <c r="AU2" s="851"/>
      <c r="AV2" s="851"/>
      <c r="AW2" s="851"/>
      <c r="AX2" s="1033"/>
      <c r="AY2" s="1033"/>
      <c r="AZ2" s="1033"/>
      <c r="BA2" s="1033"/>
    </row>
    <row r="3" spans="1:53" ht="11.25" hidden="1">
      <c r="A3" s="1033"/>
      <c r="B3" s="1033"/>
      <c r="C3" s="1033"/>
      <c r="D3" s="1033"/>
      <c r="E3" s="1033"/>
      <c r="F3" s="1033"/>
      <c r="G3" s="1033"/>
      <c r="H3" s="1033"/>
      <c r="I3" s="1033"/>
      <c r="J3" s="1033"/>
      <c r="K3" s="1033"/>
      <c r="L3" s="1049"/>
      <c r="M3" s="1050"/>
      <c r="N3" s="1049"/>
      <c r="O3" s="851" t="s">
        <v>2570</v>
      </c>
      <c r="P3" s="851" t="s">
        <v>2571</v>
      </c>
      <c r="Q3" s="851" t="s">
        <v>2572</v>
      </c>
      <c r="R3" s="851" t="s">
        <v>2623</v>
      </c>
      <c r="S3" s="851" t="s">
        <v>2574</v>
      </c>
      <c r="T3" s="851" t="s">
        <v>2575</v>
      </c>
      <c r="U3" s="851" t="s">
        <v>2580</v>
      </c>
      <c r="V3" s="851" t="s">
        <v>2582</v>
      </c>
      <c r="W3" s="851" t="s">
        <v>2584</v>
      </c>
      <c r="X3" s="851" t="s">
        <v>2586</v>
      </c>
      <c r="Y3" s="851" t="s">
        <v>2588</v>
      </c>
      <c r="Z3" s="851" t="s">
        <v>2590</v>
      </c>
      <c r="AA3" s="851" t="s">
        <v>2592</v>
      </c>
      <c r="AB3" s="851" t="s">
        <v>2594</v>
      </c>
      <c r="AC3" s="851" t="s">
        <v>2596</v>
      </c>
      <c r="AD3" s="851" t="s">
        <v>2576</v>
      </c>
      <c r="AE3" s="851" t="s">
        <v>2581</v>
      </c>
      <c r="AF3" s="851" t="s">
        <v>2583</v>
      </c>
      <c r="AG3" s="851" t="s">
        <v>2585</v>
      </c>
      <c r="AH3" s="851" t="s">
        <v>2587</v>
      </c>
      <c r="AI3" s="851" t="s">
        <v>2589</v>
      </c>
      <c r="AJ3" s="851" t="s">
        <v>2591</v>
      </c>
      <c r="AK3" s="851" t="s">
        <v>2593</v>
      </c>
      <c r="AL3" s="851" t="s">
        <v>2595</v>
      </c>
      <c r="AM3" s="851" t="s">
        <v>2597</v>
      </c>
      <c r="AN3" s="851"/>
      <c r="AO3" s="851"/>
      <c r="AP3" s="851"/>
      <c r="AQ3" s="851"/>
      <c r="AR3" s="851"/>
      <c r="AS3" s="851"/>
      <c r="AT3" s="851"/>
      <c r="AU3" s="851"/>
      <c r="AV3" s="851"/>
      <c r="AW3" s="851"/>
      <c r="AX3" s="1033"/>
      <c r="AY3" s="1033"/>
      <c r="AZ3" s="1033"/>
      <c r="BA3" s="1033"/>
    </row>
    <row r="4" spans="1:53" ht="11.25" hidden="1">
      <c r="A4" s="1033"/>
      <c r="B4" s="1033"/>
      <c r="C4" s="1033"/>
      <c r="D4" s="1033"/>
      <c r="E4" s="1033"/>
      <c r="F4" s="1033"/>
      <c r="G4" s="1033"/>
      <c r="H4" s="1033"/>
      <c r="I4" s="1033"/>
      <c r="J4" s="1033"/>
      <c r="K4" s="1033"/>
      <c r="L4" s="1049"/>
      <c r="M4" s="1050"/>
      <c r="N4" s="1049"/>
      <c r="O4" s="1033"/>
      <c r="P4" s="1033"/>
      <c r="Q4" s="1033"/>
      <c r="R4" s="1033"/>
      <c r="S4" s="1033"/>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1"/>
      <c r="AT4" s="851"/>
      <c r="AU4" s="851"/>
      <c r="AV4" s="851"/>
      <c r="AW4" s="851"/>
      <c r="AX4" s="1033"/>
      <c r="AY4" s="1033"/>
      <c r="AZ4" s="1033"/>
      <c r="BA4" s="1033"/>
    </row>
    <row r="5" spans="1:53" ht="11.25" hidden="1">
      <c r="A5" s="1033"/>
      <c r="B5" s="1033"/>
      <c r="C5" s="1033"/>
      <c r="D5" s="1033"/>
      <c r="E5" s="1033"/>
      <c r="F5" s="1033"/>
      <c r="G5" s="1033"/>
      <c r="H5" s="1033"/>
      <c r="I5" s="1033"/>
      <c r="J5" s="1033"/>
      <c r="K5" s="1033"/>
      <c r="L5" s="1049"/>
      <c r="M5" s="1050"/>
      <c r="N5" s="1049"/>
      <c r="O5" s="1033"/>
      <c r="P5" s="1033"/>
      <c r="Q5" s="1033"/>
      <c r="R5" s="1033"/>
      <c r="S5" s="1033"/>
      <c r="T5" s="851"/>
      <c r="U5" s="851"/>
      <c r="V5" s="851"/>
      <c r="W5" s="851"/>
      <c r="X5" s="851"/>
      <c r="Y5" s="851"/>
      <c r="Z5" s="851"/>
      <c r="AA5" s="851"/>
      <c r="AB5" s="851"/>
      <c r="AC5" s="851"/>
      <c r="AD5" s="851"/>
      <c r="AE5" s="851"/>
      <c r="AF5" s="851"/>
      <c r="AG5" s="851"/>
      <c r="AH5" s="851"/>
      <c r="AI5" s="851"/>
      <c r="AJ5" s="851"/>
      <c r="AK5" s="851"/>
      <c r="AL5" s="851"/>
      <c r="AM5" s="851"/>
      <c r="AN5" s="851"/>
      <c r="AO5" s="851"/>
      <c r="AP5" s="851"/>
      <c r="AQ5" s="851"/>
      <c r="AR5" s="851"/>
      <c r="AS5" s="851"/>
      <c r="AT5" s="851"/>
      <c r="AU5" s="851"/>
      <c r="AV5" s="851"/>
      <c r="AW5" s="851"/>
      <c r="AX5" s="1033"/>
      <c r="AY5" s="1033"/>
      <c r="AZ5" s="1033"/>
      <c r="BA5" s="1033"/>
    </row>
    <row r="6" spans="1:53" ht="11.25" hidden="1">
      <c r="A6" s="1033"/>
      <c r="B6" s="1033"/>
      <c r="C6" s="1033"/>
      <c r="D6" s="1033"/>
      <c r="E6" s="1033"/>
      <c r="F6" s="1033"/>
      <c r="G6" s="1033"/>
      <c r="H6" s="1033"/>
      <c r="I6" s="1033"/>
      <c r="J6" s="1033"/>
      <c r="K6" s="1033"/>
      <c r="L6" s="1049"/>
      <c r="M6" s="1050"/>
      <c r="N6" s="1049"/>
      <c r="O6" s="1033"/>
      <c r="P6" s="1033"/>
      <c r="Q6" s="1033"/>
      <c r="R6" s="1033"/>
      <c r="S6" s="1033"/>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1033"/>
      <c r="AY6" s="1033"/>
      <c r="AZ6" s="1033"/>
      <c r="BA6" s="1033"/>
    </row>
    <row r="7" spans="1:53" ht="11.25" hidden="1">
      <c r="A7" s="1033"/>
      <c r="B7" s="1033"/>
      <c r="C7" s="1033"/>
      <c r="D7" s="1033"/>
      <c r="E7" s="1033"/>
      <c r="F7" s="1033"/>
      <c r="G7" s="1033"/>
      <c r="H7" s="1033"/>
      <c r="I7" s="1033"/>
      <c r="J7" s="1033"/>
      <c r="K7" s="1033"/>
      <c r="L7" s="1049"/>
      <c r="M7" s="1050"/>
      <c r="N7" s="1049"/>
      <c r="O7" s="1033"/>
      <c r="P7" s="1033"/>
      <c r="Q7" s="1033"/>
      <c r="R7" s="1033"/>
      <c r="S7" s="1033"/>
      <c r="T7" s="800" t="b">
        <v>1</v>
      </c>
      <c r="U7" s="800" t="b">
        <v>0</v>
      </c>
      <c r="V7" s="800" t="b">
        <v>0</v>
      </c>
      <c r="W7" s="800" t="b">
        <v>0</v>
      </c>
      <c r="X7" s="800" t="b">
        <v>0</v>
      </c>
      <c r="Y7" s="800" t="b">
        <v>0</v>
      </c>
      <c r="Z7" s="800" t="b">
        <v>0</v>
      </c>
      <c r="AA7" s="800" t="b">
        <v>0</v>
      </c>
      <c r="AB7" s="800" t="b">
        <v>0</v>
      </c>
      <c r="AC7" s="800" t="b">
        <v>0</v>
      </c>
      <c r="AD7" s="800" t="b">
        <v>1</v>
      </c>
      <c r="AE7" s="800" t="b">
        <v>0</v>
      </c>
      <c r="AF7" s="800" t="b">
        <v>0</v>
      </c>
      <c r="AG7" s="800" t="b">
        <v>0</v>
      </c>
      <c r="AH7" s="800" t="b">
        <v>0</v>
      </c>
      <c r="AI7" s="800" t="b">
        <v>0</v>
      </c>
      <c r="AJ7" s="800" t="b">
        <v>0</v>
      </c>
      <c r="AK7" s="800" t="b">
        <v>0</v>
      </c>
      <c r="AL7" s="800" t="b">
        <v>0</v>
      </c>
      <c r="AM7" s="800" t="b">
        <v>0</v>
      </c>
      <c r="AN7" s="800" t="b">
        <v>1</v>
      </c>
      <c r="AO7" s="800" t="b">
        <v>0</v>
      </c>
      <c r="AP7" s="800" t="b">
        <v>0</v>
      </c>
      <c r="AQ7" s="800" t="b">
        <v>0</v>
      </c>
      <c r="AR7" s="800" t="b">
        <v>0</v>
      </c>
      <c r="AS7" s="800" t="b">
        <v>0</v>
      </c>
      <c r="AT7" s="800" t="b">
        <v>0</v>
      </c>
      <c r="AU7" s="800" t="b">
        <v>0</v>
      </c>
      <c r="AV7" s="800" t="b">
        <v>0</v>
      </c>
      <c r="AW7" s="800" t="b">
        <v>0</v>
      </c>
      <c r="AX7" s="1033"/>
      <c r="AY7" s="1033"/>
      <c r="AZ7" s="1033"/>
      <c r="BA7" s="1033"/>
    </row>
    <row r="8" spans="1:53" hidden="1">
      <c r="A8" s="1033"/>
      <c r="B8" s="1033"/>
      <c r="C8" s="1033"/>
      <c r="D8" s="1033"/>
      <c r="E8" s="1033"/>
      <c r="F8" s="1033"/>
      <c r="G8" s="1033"/>
      <c r="H8" s="1033"/>
      <c r="I8" s="1033"/>
      <c r="J8" s="1033"/>
      <c r="K8" s="1033"/>
      <c r="L8" s="1049"/>
      <c r="M8" s="1050"/>
      <c r="N8" s="1049"/>
      <c r="O8" s="1033"/>
      <c r="P8" s="1033"/>
      <c r="Q8" s="1033"/>
      <c r="R8" s="1033"/>
      <c r="S8" s="1033"/>
      <c r="T8" s="1033"/>
      <c r="U8" s="1033"/>
      <c r="V8" s="1033"/>
      <c r="W8" s="1033"/>
      <c r="X8" s="1033"/>
      <c r="Y8" s="1033"/>
      <c r="Z8" s="1033"/>
      <c r="AA8" s="1033"/>
      <c r="AB8" s="1033"/>
      <c r="AC8" s="1033"/>
      <c r="AD8" s="1033"/>
      <c r="AE8" s="1033"/>
      <c r="AF8" s="1033"/>
      <c r="AG8" s="1033"/>
      <c r="AH8" s="1033"/>
      <c r="AI8" s="1033"/>
      <c r="AJ8" s="1033"/>
      <c r="AK8" s="1033"/>
      <c r="AL8" s="1033"/>
      <c r="AM8" s="1033"/>
      <c r="AN8" s="1033"/>
      <c r="AO8" s="1033"/>
      <c r="AP8" s="1033"/>
      <c r="AQ8" s="1033"/>
      <c r="AR8" s="1033"/>
      <c r="AS8" s="1033"/>
      <c r="AT8" s="1033"/>
      <c r="AU8" s="1033"/>
      <c r="AV8" s="1033"/>
      <c r="AW8" s="1033"/>
      <c r="AX8" s="1033"/>
      <c r="AY8" s="1033"/>
      <c r="AZ8" s="1033"/>
      <c r="BA8" s="1033"/>
    </row>
    <row r="9" spans="1:53" hidden="1">
      <c r="A9" s="1033"/>
      <c r="B9" s="1033"/>
      <c r="C9" s="1033"/>
      <c r="D9" s="1033"/>
      <c r="E9" s="1033"/>
      <c r="F9" s="1033"/>
      <c r="G9" s="1033"/>
      <c r="H9" s="1033"/>
      <c r="I9" s="1033"/>
      <c r="J9" s="1033"/>
      <c r="K9" s="1033"/>
      <c r="L9" s="1049"/>
      <c r="M9" s="1050"/>
      <c r="N9" s="1049"/>
      <c r="O9" s="1033"/>
      <c r="P9" s="1033"/>
      <c r="Q9" s="1033"/>
      <c r="R9" s="1033"/>
      <c r="S9" s="1033"/>
      <c r="T9" s="1033"/>
      <c r="U9" s="1033"/>
      <c r="V9" s="1033"/>
      <c r="W9" s="1033"/>
      <c r="X9" s="1033"/>
      <c r="Y9" s="1033"/>
      <c r="Z9" s="1033"/>
      <c r="AA9" s="1033"/>
      <c r="AB9" s="1033"/>
      <c r="AC9" s="1033"/>
      <c r="AD9" s="1033"/>
      <c r="AE9" s="1033"/>
      <c r="AF9" s="1033"/>
      <c r="AG9" s="1033"/>
      <c r="AH9" s="1033"/>
      <c r="AI9" s="1033"/>
      <c r="AJ9" s="1033"/>
      <c r="AK9" s="1033"/>
      <c r="AL9" s="1033"/>
      <c r="AM9" s="1033"/>
      <c r="AN9" s="1033"/>
      <c r="AO9" s="1033"/>
      <c r="AP9" s="1033"/>
      <c r="AQ9" s="1033"/>
      <c r="AR9" s="1033"/>
      <c r="AS9" s="1033"/>
      <c r="AT9" s="1033"/>
      <c r="AU9" s="1033"/>
      <c r="AV9" s="1033"/>
      <c r="AW9" s="1033"/>
      <c r="AX9" s="1033"/>
      <c r="AY9" s="1033"/>
      <c r="AZ9" s="1033"/>
      <c r="BA9" s="1033"/>
    </row>
    <row r="10" spans="1:53" hidden="1">
      <c r="A10" s="1033"/>
      <c r="B10" s="1033"/>
      <c r="C10" s="1033"/>
      <c r="D10" s="1033"/>
      <c r="E10" s="1033"/>
      <c r="F10" s="1033"/>
      <c r="G10" s="1033"/>
      <c r="H10" s="1033"/>
      <c r="I10" s="1033"/>
      <c r="J10" s="1033"/>
      <c r="K10" s="1033"/>
      <c r="L10" s="1049"/>
      <c r="M10" s="1050"/>
      <c r="N10" s="1049"/>
      <c r="O10" s="1033"/>
      <c r="P10" s="1033"/>
      <c r="Q10" s="1033"/>
      <c r="R10" s="1033"/>
      <c r="S10" s="1033"/>
      <c r="T10" s="1033"/>
      <c r="U10" s="1033"/>
      <c r="V10" s="1033"/>
      <c r="W10" s="1033"/>
      <c r="X10" s="1033"/>
      <c r="Y10" s="1033"/>
      <c r="Z10" s="1033"/>
      <c r="AA10" s="1033"/>
      <c r="AB10" s="1033"/>
      <c r="AC10" s="1033"/>
      <c r="AD10" s="1033"/>
      <c r="AE10" s="1033"/>
      <c r="AF10" s="1033"/>
      <c r="AG10" s="1033"/>
      <c r="AH10" s="1033"/>
      <c r="AI10" s="1033"/>
      <c r="AJ10" s="1033"/>
      <c r="AK10" s="1033"/>
      <c r="AL10" s="1033"/>
      <c r="AM10" s="1033"/>
      <c r="AN10" s="1033"/>
      <c r="AO10" s="1033"/>
      <c r="AP10" s="1033"/>
      <c r="AQ10" s="1033"/>
      <c r="AR10" s="1033"/>
      <c r="AS10" s="1033"/>
      <c r="AT10" s="1033"/>
      <c r="AU10" s="1033"/>
      <c r="AV10" s="1033"/>
      <c r="AW10" s="1033"/>
      <c r="AX10" s="1033"/>
      <c r="AY10" s="1033"/>
      <c r="AZ10" s="1033"/>
      <c r="BA10" s="1033"/>
    </row>
    <row r="11" spans="1:53" ht="15" hidden="1" customHeight="1">
      <c r="A11" s="1033"/>
      <c r="B11" s="1033"/>
      <c r="C11" s="1033"/>
      <c r="D11" s="1033"/>
      <c r="E11" s="1033"/>
      <c r="F11" s="1033"/>
      <c r="G11" s="1033"/>
      <c r="H11" s="1033"/>
      <c r="I11" s="1033"/>
      <c r="J11" s="1033"/>
      <c r="K11" s="1033"/>
      <c r="L11" s="1033"/>
      <c r="M11" s="967"/>
      <c r="N11" s="1033"/>
      <c r="O11" s="1033"/>
      <c r="P11" s="1033"/>
      <c r="Q11" s="1033"/>
      <c r="R11" s="1033"/>
      <c r="S11" s="1033"/>
      <c r="T11" s="1033"/>
      <c r="U11" s="1033"/>
      <c r="V11" s="1033"/>
      <c r="W11" s="1033"/>
      <c r="X11" s="1033"/>
      <c r="Y11" s="1033"/>
      <c r="Z11" s="1033"/>
      <c r="AA11" s="1033"/>
      <c r="AB11" s="1033"/>
      <c r="AC11" s="1033"/>
      <c r="AD11" s="1033"/>
      <c r="AE11" s="1033"/>
      <c r="AF11" s="1033"/>
      <c r="AG11" s="1033"/>
      <c r="AH11" s="1033"/>
      <c r="AI11" s="1033"/>
      <c r="AJ11" s="1033"/>
      <c r="AK11" s="1033"/>
      <c r="AL11" s="1033"/>
      <c r="AM11" s="1033"/>
      <c r="AN11" s="1033"/>
      <c r="AO11" s="1033"/>
      <c r="AP11" s="1033"/>
      <c r="AQ11" s="1033"/>
      <c r="AR11" s="1033"/>
      <c r="AS11" s="1033"/>
      <c r="AT11" s="1033"/>
      <c r="AU11" s="1033"/>
      <c r="AV11" s="1033"/>
      <c r="AW11" s="1033"/>
      <c r="AX11" s="1033"/>
      <c r="AY11" s="1033"/>
      <c r="AZ11" s="1033"/>
      <c r="BA11" s="1033"/>
    </row>
    <row r="12" spans="1:53" s="112" customFormat="1" ht="20.100000000000001" customHeight="1">
      <c r="A12" s="1051"/>
      <c r="B12" s="1051"/>
      <c r="C12" s="1051"/>
      <c r="D12" s="1051"/>
      <c r="E12" s="1051"/>
      <c r="F12" s="1051"/>
      <c r="G12" s="1051"/>
      <c r="H12" s="1051"/>
      <c r="I12" s="1051"/>
      <c r="J12" s="1051"/>
      <c r="K12" s="1051"/>
      <c r="L12" s="484" t="s">
        <v>1289</v>
      </c>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1051"/>
    </row>
    <row r="13" spans="1:53" s="112" customFormat="1">
      <c r="A13" s="1051"/>
      <c r="B13" s="1051"/>
      <c r="C13" s="1051"/>
      <c r="D13" s="1051"/>
      <c r="E13" s="1051"/>
      <c r="F13" s="1051"/>
      <c r="G13" s="1051"/>
      <c r="H13" s="1051"/>
      <c r="I13" s="1051"/>
      <c r="J13" s="1051"/>
      <c r="K13" s="1051"/>
      <c r="L13" s="1052"/>
      <c r="M13" s="1052"/>
      <c r="N13" s="1052"/>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52"/>
      <c r="AJ13" s="1052"/>
      <c r="AK13" s="1052"/>
      <c r="AL13" s="1052"/>
      <c r="AM13" s="1052"/>
      <c r="AN13" s="1052"/>
      <c r="AO13" s="1052"/>
      <c r="AP13" s="1052"/>
      <c r="AQ13" s="1052"/>
      <c r="AR13" s="1052"/>
      <c r="AS13" s="1052"/>
      <c r="AT13" s="1052"/>
      <c r="AU13" s="1052"/>
      <c r="AV13" s="1052"/>
      <c r="AW13" s="1052"/>
      <c r="AX13" s="1052"/>
      <c r="AY13" s="1052"/>
      <c r="AZ13" s="1052"/>
      <c r="BA13" s="1051"/>
    </row>
    <row r="14" spans="1:53" s="110" customFormat="1" ht="24.75" customHeight="1">
      <c r="A14" s="1050"/>
      <c r="B14" s="1050"/>
      <c r="C14" s="1050"/>
      <c r="D14" s="1050"/>
      <c r="E14" s="1050"/>
      <c r="F14" s="1050"/>
      <c r="G14" s="1050"/>
      <c r="H14" s="1050"/>
      <c r="I14" s="1050"/>
      <c r="J14" s="1050"/>
      <c r="K14" s="1050"/>
      <c r="L14" s="1053" t="s">
        <v>16</v>
      </c>
      <c r="M14" s="1053" t="s">
        <v>121</v>
      </c>
      <c r="N14" s="1053" t="s">
        <v>143</v>
      </c>
      <c r="O14" s="1054" t="s">
        <v>2567</v>
      </c>
      <c r="P14" s="1054" t="s">
        <v>2567</v>
      </c>
      <c r="Q14" s="1054" t="s">
        <v>2567</v>
      </c>
      <c r="R14" s="1054" t="s">
        <v>2567</v>
      </c>
      <c r="S14" s="818" t="s">
        <v>2568</v>
      </c>
      <c r="T14" s="817" t="s">
        <v>2569</v>
      </c>
      <c r="U14" s="817" t="s">
        <v>2598</v>
      </c>
      <c r="V14" s="817" t="s">
        <v>2599</v>
      </c>
      <c r="W14" s="817" t="s">
        <v>2600</v>
      </c>
      <c r="X14" s="817" t="s">
        <v>2601</v>
      </c>
      <c r="Y14" s="817" t="s">
        <v>2602</v>
      </c>
      <c r="Z14" s="817" t="s">
        <v>2603</v>
      </c>
      <c r="AA14" s="817" t="s">
        <v>2604</v>
      </c>
      <c r="AB14" s="817" t="s">
        <v>2605</v>
      </c>
      <c r="AC14" s="817" t="s">
        <v>2606</v>
      </c>
      <c r="AD14" s="817" t="s">
        <v>2569</v>
      </c>
      <c r="AE14" s="817" t="s">
        <v>2598</v>
      </c>
      <c r="AF14" s="817" t="s">
        <v>2599</v>
      </c>
      <c r="AG14" s="817" t="s">
        <v>2600</v>
      </c>
      <c r="AH14" s="817" t="s">
        <v>2601</v>
      </c>
      <c r="AI14" s="817" t="s">
        <v>2602</v>
      </c>
      <c r="AJ14" s="817" t="s">
        <v>2603</v>
      </c>
      <c r="AK14" s="817" t="s">
        <v>2604</v>
      </c>
      <c r="AL14" s="817" t="s">
        <v>2605</v>
      </c>
      <c r="AM14" s="817" t="s">
        <v>2606</v>
      </c>
      <c r="AN14" s="817" t="s">
        <v>2569</v>
      </c>
      <c r="AO14" s="817" t="s">
        <v>2598</v>
      </c>
      <c r="AP14" s="817" t="s">
        <v>2599</v>
      </c>
      <c r="AQ14" s="817" t="s">
        <v>2600</v>
      </c>
      <c r="AR14" s="817" t="s">
        <v>2601</v>
      </c>
      <c r="AS14" s="817" t="s">
        <v>2602</v>
      </c>
      <c r="AT14" s="817" t="s">
        <v>2603</v>
      </c>
      <c r="AU14" s="817" t="s">
        <v>2604</v>
      </c>
      <c r="AV14" s="817" t="s">
        <v>2605</v>
      </c>
      <c r="AW14" s="817" t="s">
        <v>2606</v>
      </c>
      <c r="AX14" s="1055" t="s">
        <v>1121</v>
      </c>
      <c r="AY14" s="1055" t="s">
        <v>323</v>
      </c>
      <c r="AZ14" s="1055" t="s">
        <v>1129</v>
      </c>
      <c r="BA14" s="1056"/>
    </row>
    <row r="15" spans="1:53" s="110" customFormat="1" ht="66.75" customHeight="1">
      <c r="A15" s="1050"/>
      <c r="B15" s="1050"/>
      <c r="C15" s="1050"/>
      <c r="D15" s="1050"/>
      <c r="E15" s="1050"/>
      <c r="F15" s="1050"/>
      <c r="G15" s="1050"/>
      <c r="H15" s="1050"/>
      <c r="I15" s="1050"/>
      <c r="J15" s="1050"/>
      <c r="K15" s="1050"/>
      <c r="L15" s="1053"/>
      <c r="M15" s="1053"/>
      <c r="N15" s="1053"/>
      <c r="O15" s="818" t="s">
        <v>286</v>
      </c>
      <c r="P15" s="818" t="s">
        <v>324</v>
      </c>
      <c r="Q15" s="818" t="s">
        <v>304</v>
      </c>
      <c r="R15" s="1054" t="s">
        <v>1198</v>
      </c>
      <c r="S15" s="818" t="s">
        <v>286</v>
      </c>
      <c r="T15" s="860" t="s">
        <v>287</v>
      </c>
      <c r="U15" s="860" t="s">
        <v>287</v>
      </c>
      <c r="V15" s="860" t="s">
        <v>287</v>
      </c>
      <c r="W15" s="860" t="s">
        <v>287</v>
      </c>
      <c r="X15" s="860" t="s">
        <v>287</v>
      </c>
      <c r="Y15" s="860" t="s">
        <v>287</v>
      </c>
      <c r="Z15" s="860" t="s">
        <v>287</v>
      </c>
      <c r="AA15" s="860" t="s">
        <v>287</v>
      </c>
      <c r="AB15" s="860" t="s">
        <v>287</v>
      </c>
      <c r="AC15" s="860" t="s">
        <v>287</v>
      </c>
      <c r="AD15" s="860" t="s">
        <v>286</v>
      </c>
      <c r="AE15" s="860" t="s">
        <v>286</v>
      </c>
      <c r="AF15" s="860" t="s">
        <v>286</v>
      </c>
      <c r="AG15" s="860" t="s">
        <v>286</v>
      </c>
      <c r="AH15" s="860" t="s">
        <v>286</v>
      </c>
      <c r="AI15" s="860" t="s">
        <v>286</v>
      </c>
      <c r="AJ15" s="860" t="s">
        <v>286</v>
      </c>
      <c r="AK15" s="860" t="s">
        <v>286</v>
      </c>
      <c r="AL15" s="860" t="s">
        <v>286</v>
      </c>
      <c r="AM15" s="860" t="s">
        <v>286</v>
      </c>
      <c r="AN15" s="1055" t="s">
        <v>1334</v>
      </c>
      <c r="AO15" s="1055"/>
      <c r="AP15" s="1055"/>
      <c r="AQ15" s="1055"/>
      <c r="AR15" s="1055"/>
      <c r="AS15" s="1055"/>
      <c r="AT15" s="1055"/>
      <c r="AU15" s="1055"/>
      <c r="AV15" s="1055"/>
      <c r="AW15" s="1055"/>
      <c r="AX15" s="1055"/>
      <c r="AY15" s="1055"/>
      <c r="AZ15" s="1055"/>
      <c r="BA15" s="1056"/>
    </row>
    <row r="16" spans="1:53" s="82" customFormat="1" ht="11.25">
      <c r="A16" s="861" t="s">
        <v>18</v>
      </c>
      <c r="B16" s="1057" t="s">
        <v>1026</v>
      </c>
      <c r="C16" s="844"/>
      <c r="D16" s="844"/>
      <c r="E16" s="844"/>
      <c r="F16" s="844"/>
      <c r="G16" s="844"/>
      <c r="H16" s="844"/>
      <c r="I16" s="844"/>
      <c r="J16" s="844"/>
      <c r="K16" s="844"/>
      <c r="L16" s="1058" t="s">
        <v>2545</v>
      </c>
      <c r="M16" s="1059"/>
      <c r="N16" s="1059"/>
      <c r="O16" s="1059"/>
      <c r="P16" s="1059"/>
      <c r="Q16" s="1059"/>
      <c r="R16" s="1059"/>
      <c r="S16" s="1059"/>
      <c r="T16" s="1059"/>
      <c r="U16" s="1059"/>
      <c r="V16" s="1059"/>
      <c r="W16" s="1059"/>
      <c r="X16" s="1059"/>
      <c r="Y16" s="1059"/>
      <c r="Z16" s="1059"/>
      <c r="AA16" s="1059"/>
      <c r="AB16" s="1059"/>
      <c r="AC16" s="1059"/>
      <c r="AD16" s="1059"/>
      <c r="AE16" s="1059"/>
      <c r="AF16" s="1059"/>
      <c r="AG16" s="1059"/>
      <c r="AH16" s="1059"/>
      <c r="AI16" s="1059"/>
      <c r="AJ16" s="1059"/>
      <c r="AK16" s="1059"/>
      <c r="AL16" s="1059"/>
      <c r="AM16" s="1059"/>
      <c r="AN16" s="1059"/>
      <c r="AO16" s="1059"/>
      <c r="AP16" s="1059"/>
      <c r="AQ16" s="1059"/>
      <c r="AR16" s="1059"/>
      <c r="AS16" s="1059"/>
      <c r="AT16" s="1059"/>
      <c r="AU16" s="1059"/>
      <c r="AV16" s="1059"/>
      <c r="AW16" s="1059"/>
      <c r="AX16" s="1059"/>
      <c r="AY16" s="1059"/>
      <c r="AZ16" s="1059"/>
      <c r="BA16" s="844"/>
    </row>
    <row r="17" spans="1:53" s="114" customFormat="1" ht="11.25">
      <c r="A17" s="895">
        <v>1</v>
      </c>
      <c r="B17" s="1060"/>
      <c r="C17" s="1060"/>
      <c r="D17" s="1060"/>
      <c r="E17" s="1060"/>
      <c r="F17" s="1060"/>
      <c r="G17" s="1060"/>
      <c r="H17" s="1060"/>
      <c r="I17" s="1060"/>
      <c r="J17" s="1060"/>
      <c r="K17" s="1060"/>
      <c r="L17" s="1061" t="s">
        <v>18</v>
      </c>
      <c r="M17" s="1062" t="s">
        <v>531</v>
      </c>
      <c r="N17" s="1063" t="s">
        <v>370</v>
      </c>
      <c r="O17" s="537">
        <v>0</v>
      </c>
      <c r="P17" s="1064">
        <v>16898.41</v>
      </c>
      <c r="Q17" s="1064">
        <v>13304.37</v>
      </c>
      <c r="R17" s="1064">
        <v>-3594.0399999999991</v>
      </c>
      <c r="S17" s="1065">
        <v>20290.060000000001</v>
      </c>
      <c r="T17" s="1065">
        <v>21031.25</v>
      </c>
      <c r="U17" s="1065">
        <v>21031.25</v>
      </c>
      <c r="V17" s="1065">
        <v>21031.25</v>
      </c>
      <c r="W17" s="1065">
        <v>21031.25</v>
      </c>
      <c r="X17" s="1065">
        <v>21031.25</v>
      </c>
      <c r="Y17" s="1065">
        <v>21031.25</v>
      </c>
      <c r="Z17" s="1065">
        <v>21031.25</v>
      </c>
      <c r="AA17" s="1065">
        <v>21031.25</v>
      </c>
      <c r="AB17" s="1065">
        <v>21031.25</v>
      </c>
      <c r="AC17" s="1065">
        <v>21031.25</v>
      </c>
      <c r="AD17" s="1065">
        <v>21533.43</v>
      </c>
      <c r="AE17" s="1065">
        <v>21533.43</v>
      </c>
      <c r="AF17" s="1065">
        <v>21533.43</v>
      </c>
      <c r="AG17" s="1065">
        <v>21533.43</v>
      </c>
      <c r="AH17" s="1065">
        <v>21533.43</v>
      </c>
      <c r="AI17" s="1065">
        <v>21533.43</v>
      </c>
      <c r="AJ17" s="1065">
        <v>21533.43</v>
      </c>
      <c r="AK17" s="1065">
        <v>21533.43</v>
      </c>
      <c r="AL17" s="1065">
        <v>21533.43</v>
      </c>
      <c r="AM17" s="1065">
        <v>21533.43</v>
      </c>
      <c r="AN17" s="1064">
        <v>6.1279759645856098</v>
      </c>
      <c r="AO17" s="1064">
        <v>0</v>
      </c>
      <c r="AP17" s="1064">
        <v>0</v>
      </c>
      <c r="AQ17" s="1064">
        <v>0</v>
      </c>
      <c r="AR17" s="1064">
        <v>0</v>
      </c>
      <c r="AS17" s="1064">
        <v>0</v>
      </c>
      <c r="AT17" s="1064">
        <v>0</v>
      </c>
      <c r="AU17" s="1064">
        <v>0</v>
      </c>
      <c r="AV17" s="1064">
        <v>0</v>
      </c>
      <c r="AW17" s="1064">
        <v>0</v>
      </c>
      <c r="AX17" s="868"/>
      <c r="AY17" s="868"/>
      <c r="AZ17" s="868"/>
      <c r="BA17" s="1066"/>
    </row>
    <row r="18" spans="1:53" ht="11.25">
      <c r="A18" s="895">
        <v>1</v>
      </c>
      <c r="B18" s="1033"/>
      <c r="C18" s="1033"/>
      <c r="D18" s="1033"/>
      <c r="E18" s="1033"/>
      <c r="F18" s="1033"/>
      <c r="G18" s="1033"/>
      <c r="H18" s="1033"/>
      <c r="I18" s="1033"/>
      <c r="J18" s="1033"/>
      <c r="K18" s="1033"/>
      <c r="L18" s="1067" t="s">
        <v>165</v>
      </c>
      <c r="M18" s="1068" t="s">
        <v>532</v>
      </c>
      <c r="N18" s="1069"/>
      <c r="O18" s="1070"/>
      <c r="P18" s="1070"/>
      <c r="Q18" s="1070"/>
      <c r="R18" s="1071">
        <v>0</v>
      </c>
      <c r="S18" s="1070">
        <v>0.99</v>
      </c>
      <c r="T18" s="1070">
        <v>1.03653</v>
      </c>
      <c r="U18" s="1070">
        <v>1</v>
      </c>
      <c r="V18" s="1070">
        <v>1</v>
      </c>
      <c r="W18" s="1070">
        <v>1</v>
      </c>
      <c r="X18" s="1070">
        <v>1</v>
      </c>
      <c r="Y18" s="1070">
        <v>1</v>
      </c>
      <c r="Z18" s="1070">
        <v>1</v>
      </c>
      <c r="AA18" s="1070">
        <v>1</v>
      </c>
      <c r="AB18" s="1070">
        <v>1</v>
      </c>
      <c r="AC18" s="1070">
        <v>1</v>
      </c>
      <c r="AD18" s="1070">
        <v>1.06128</v>
      </c>
      <c r="AE18" s="1070">
        <v>1</v>
      </c>
      <c r="AF18" s="1070">
        <v>1</v>
      </c>
      <c r="AG18" s="1070">
        <v>1</v>
      </c>
      <c r="AH18" s="1070">
        <v>1</v>
      </c>
      <c r="AI18" s="1070">
        <v>1</v>
      </c>
      <c r="AJ18" s="1070">
        <v>1</v>
      </c>
      <c r="AK18" s="1070">
        <v>1</v>
      </c>
      <c r="AL18" s="1070">
        <v>1</v>
      </c>
      <c r="AM18" s="1070">
        <v>1</v>
      </c>
      <c r="AN18" s="443"/>
      <c r="AO18" s="443"/>
      <c r="AP18" s="443"/>
      <c r="AQ18" s="443"/>
      <c r="AR18" s="443"/>
      <c r="AS18" s="443"/>
      <c r="AT18" s="443"/>
      <c r="AU18" s="443"/>
      <c r="AV18" s="443"/>
      <c r="AW18" s="443"/>
      <c r="AX18" s="868"/>
      <c r="AY18" s="868"/>
      <c r="AZ18" s="868"/>
      <c r="BA18" s="1033"/>
    </row>
    <row r="19" spans="1:53" s="113" customFormat="1" ht="11.25">
      <c r="A19" s="1072">
        <v>1</v>
      </c>
      <c r="B19" s="1066"/>
      <c r="C19" s="1066"/>
      <c r="D19" s="1066"/>
      <c r="E19" s="1066"/>
      <c r="F19" s="1066"/>
      <c r="G19" s="1066"/>
      <c r="H19" s="1066"/>
      <c r="I19" s="1066"/>
      <c r="J19" s="1066"/>
      <c r="K19" s="1066"/>
      <c r="L19" s="1061" t="s">
        <v>166</v>
      </c>
      <c r="M19" s="1073" t="s">
        <v>533</v>
      </c>
      <c r="N19" s="1063" t="s">
        <v>370</v>
      </c>
      <c r="O19" s="1064">
        <v>0</v>
      </c>
      <c r="P19" s="1064">
        <v>13525.33</v>
      </c>
      <c r="Q19" s="1064">
        <v>0</v>
      </c>
      <c r="R19" s="1064">
        <v>-13525.33</v>
      </c>
      <c r="S19" s="537"/>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1074"/>
      <c r="AY19" s="1074"/>
      <c r="AZ19" s="1074"/>
      <c r="BA19" s="1066"/>
    </row>
    <row r="20" spans="1:53" ht="11.25">
      <c r="A20" s="895">
        <v>1</v>
      </c>
      <c r="B20" s="1033"/>
      <c r="C20" s="1033"/>
      <c r="D20" s="1033"/>
      <c r="E20" s="1033"/>
      <c r="F20" s="1033"/>
      <c r="G20" s="1033"/>
      <c r="H20" s="1033"/>
      <c r="I20" s="1033"/>
      <c r="J20" s="1033"/>
      <c r="K20" s="1033"/>
      <c r="L20" s="1067" t="s">
        <v>534</v>
      </c>
      <c r="M20" s="1075" t="s">
        <v>535</v>
      </c>
      <c r="N20" s="975" t="s">
        <v>370</v>
      </c>
      <c r="O20" s="1076">
        <v>0</v>
      </c>
      <c r="P20" s="1076">
        <v>119.41</v>
      </c>
      <c r="Q20" s="1076">
        <v>0</v>
      </c>
      <c r="R20" s="1076">
        <v>-119.41</v>
      </c>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868"/>
      <c r="AY20" s="868"/>
      <c r="AZ20" s="868"/>
      <c r="BA20" s="1077"/>
    </row>
    <row r="21" spans="1:53" ht="11.25">
      <c r="A21" s="895">
        <v>1</v>
      </c>
      <c r="B21" s="1033"/>
      <c r="C21" s="1033"/>
      <c r="D21" s="1033"/>
      <c r="E21" s="1033"/>
      <c r="F21" s="1033"/>
      <c r="G21" s="1033"/>
      <c r="H21" s="1033"/>
      <c r="I21" s="1033"/>
      <c r="J21" s="1033"/>
      <c r="K21" s="1033"/>
      <c r="L21" s="1067" t="s">
        <v>536</v>
      </c>
      <c r="M21" s="1078" t="s">
        <v>537</v>
      </c>
      <c r="N21" s="1079" t="s">
        <v>370</v>
      </c>
      <c r="O21" s="896"/>
      <c r="P21" s="896">
        <v>0.16</v>
      </c>
      <c r="Q21" s="896"/>
      <c r="R21" s="1076">
        <v>-0.16</v>
      </c>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868"/>
      <c r="AY21" s="868"/>
      <c r="AZ21" s="868"/>
      <c r="BA21" s="1033"/>
    </row>
    <row r="22" spans="1:53" ht="11.25">
      <c r="A22" s="895">
        <v>1</v>
      </c>
      <c r="B22" s="1033"/>
      <c r="C22" s="1033"/>
      <c r="D22" s="1033"/>
      <c r="E22" s="1033"/>
      <c r="F22" s="1033"/>
      <c r="G22" s="1033"/>
      <c r="H22" s="1033"/>
      <c r="I22" s="1033"/>
      <c r="J22" s="1033"/>
      <c r="K22" s="1033"/>
      <c r="L22" s="1067" t="s">
        <v>538</v>
      </c>
      <c r="M22" s="1080" t="s">
        <v>539</v>
      </c>
      <c r="N22" s="1079" t="s">
        <v>370</v>
      </c>
      <c r="O22" s="896"/>
      <c r="P22" s="896">
        <v>119.25</v>
      </c>
      <c r="Q22" s="896"/>
      <c r="R22" s="1076">
        <v>-119.25</v>
      </c>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868"/>
      <c r="AY22" s="868"/>
      <c r="AZ22" s="868"/>
      <c r="BA22" s="1033"/>
    </row>
    <row r="23" spans="1:53" ht="22.5">
      <c r="A23" s="895">
        <v>1</v>
      </c>
      <c r="B23" s="1033"/>
      <c r="C23" s="1033"/>
      <c r="D23" s="1033"/>
      <c r="E23" s="1033"/>
      <c r="F23" s="1033"/>
      <c r="G23" s="1033"/>
      <c r="H23" s="1033"/>
      <c r="I23" s="1033"/>
      <c r="J23" s="1033"/>
      <c r="K23" s="1033"/>
      <c r="L23" s="1067" t="s">
        <v>540</v>
      </c>
      <c r="M23" s="1075" t="s">
        <v>541</v>
      </c>
      <c r="N23" s="975" t="s">
        <v>370</v>
      </c>
      <c r="O23" s="896"/>
      <c r="P23" s="896">
        <v>183.68</v>
      </c>
      <c r="Q23" s="896"/>
      <c r="R23" s="1076">
        <v>-183.68</v>
      </c>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868"/>
      <c r="AY23" s="868"/>
      <c r="AZ23" s="868"/>
      <c r="BA23" s="1033"/>
    </row>
    <row r="24" spans="1:53" ht="22.5">
      <c r="A24" s="895">
        <v>1</v>
      </c>
      <c r="B24" s="1033"/>
      <c r="C24" s="1033"/>
      <c r="D24" s="1033"/>
      <c r="E24" s="1033"/>
      <c r="F24" s="1033"/>
      <c r="G24" s="1033"/>
      <c r="H24" s="1033"/>
      <c r="I24" s="1033"/>
      <c r="J24" s="1033"/>
      <c r="K24" s="1033"/>
      <c r="L24" s="1067" t="s">
        <v>542</v>
      </c>
      <c r="M24" s="1075" t="s">
        <v>543</v>
      </c>
      <c r="N24" s="1079" t="s">
        <v>370</v>
      </c>
      <c r="O24" s="443">
        <v>0</v>
      </c>
      <c r="P24" s="443">
        <v>6059.67</v>
      </c>
      <c r="Q24" s="443">
        <v>0</v>
      </c>
      <c r="R24" s="1076">
        <v>-6059.67</v>
      </c>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868"/>
      <c r="AY24" s="868"/>
      <c r="AZ24" s="868"/>
      <c r="BA24" s="1033"/>
    </row>
    <row r="25" spans="1:53" ht="11.25">
      <c r="A25" s="895">
        <v>1</v>
      </c>
      <c r="B25" s="1033"/>
      <c r="C25" s="1033"/>
      <c r="D25" s="1033"/>
      <c r="E25" s="1033"/>
      <c r="F25" s="1033"/>
      <c r="G25" s="1033"/>
      <c r="H25" s="1033"/>
      <c r="I25" s="1033"/>
      <c r="J25" s="1033"/>
      <c r="K25" s="1033"/>
      <c r="L25" s="1067" t="s">
        <v>544</v>
      </c>
      <c r="M25" s="1078" t="s">
        <v>545</v>
      </c>
      <c r="N25" s="975" t="s">
        <v>370</v>
      </c>
      <c r="O25" s="896"/>
      <c r="P25" s="896">
        <v>4664.01</v>
      </c>
      <c r="Q25" s="896"/>
      <c r="R25" s="1076">
        <v>-4664.01</v>
      </c>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868"/>
      <c r="AY25" s="868"/>
      <c r="AZ25" s="868"/>
      <c r="BA25" s="1033"/>
    </row>
    <row r="26" spans="1:53" ht="22.5">
      <c r="A26" s="895">
        <v>1</v>
      </c>
      <c r="B26" s="1033"/>
      <c r="C26" s="1033"/>
      <c r="D26" s="1033"/>
      <c r="E26" s="1033"/>
      <c r="F26" s="1033"/>
      <c r="G26" s="1033"/>
      <c r="H26" s="1033"/>
      <c r="I26" s="1033"/>
      <c r="J26" s="1033"/>
      <c r="K26" s="1033"/>
      <c r="L26" s="1067" t="s">
        <v>546</v>
      </c>
      <c r="M26" s="1078" t="s">
        <v>1196</v>
      </c>
      <c r="N26" s="1079" t="s">
        <v>370</v>
      </c>
      <c r="O26" s="896">
        <v>0</v>
      </c>
      <c r="P26" s="896">
        <v>1395.66</v>
      </c>
      <c r="Q26" s="896">
        <v>0</v>
      </c>
      <c r="R26" s="1076">
        <v>-1395.66</v>
      </c>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868"/>
      <c r="AY26" s="868"/>
      <c r="AZ26" s="868"/>
      <c r="BA26" s="1033"/>
    </row>
    <row r="27" spans="1:53" ht="11.25">
      <c r="A27" s="895">
        <v>1</v>
      </c>
      <c r="B27" s="1033"/>
      <c r="C27" s="1033"/>
      <c r="D27" s="1033"/>
      <c r="E27" s="1033"/>
      <c r="F27" s="1033"/>
      <c r="G27" s="1033"/>
      <c r="H27" s="1033"/>
      <c r="I27" s="1033"/>
      <c r="J27" s="1033"/>
      <c r="K27" s="1033"/>
      <c r="L27" s="1067" t="s">
        <v>547</v>
      </c>
      <c r="M27" s="1075" t="s">
        <v>548</v>
      </c>
      <c r="N27" s="975" t="s">
        <v>370</v>
      </c>
      <c r="O27" s="896"/>
      <c r="P27" s="896">
        <v>5270.9</v>
      </c>
      <c r="Q27" s="896"/>
      <c r="R27" s="1076">
        <v>-5270.9</v>
      </c>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868"/>
      <c r="AY27" s="868"/>
      <c r="AZ27" s="868"/>
      <c r="BA27" s="1033"/>
    </row>
    <row r="28" spans="1:53" ht="11.25">
      <c r="A28" s="895">
        <v>1</v>
      </c>
      <c r="B28" s="1033"/>
      <c r="C28" s="1033"/>
      <c r="D28" s="1033"/>
      <c r="E28" s="1033"/>
      <c r="F28" s="1033"/>
      <c r="G28" s="1033"/>
      <c r="H28" s="1033"/>
      <c r="I28" s="1033"/>
      <c r="J28" s="1033"/>
      <c r="K28" s="1033"/>
      <c r="L28" s="1067" t="s">
        <v>549</v>
      </c>
      <c r="M28" s="1081" t="s">
        <v>550</v>
      </c>
      <c r="N28" s="1069" t="s">
        <v>370</v>
      </c>
      <c r="O28" s="1076">
        <v>0</v>
      </c>
      <c r="P28" s="1076">
        <v>1891.67</v>
      </c>
      <c r="Q28" s="1076">
        <v>0</v>
      </c>
      <c r="R28" s="1076">
        <v>-1891.67</v>
      </c>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868"/>
      <c r="AY28" s="868"/>
      <c r="AZ28" s="868"/>
      <c r="BA28" s="1033"/>
    </row>
    <row r="29" spans="1:53" ht="11.25">
      <c r="A29" s="895">
        <v>1</v>
      </c>
      <c r="B29" s="1033"/>
      <c r="C29" s="1033"/>
      <c r="D29" s="1033"/>
      <c r="E29" s="1033"/>
      <c r="F29" s="1033"/>
      <c r="G29" s="1033"/>
      <c r="H29" s="1033"/>
      <c r="I29" s="1033"/>
      <c r="J29" s="1033"/>
      <c r="K29" s="1033"/>
      <c r="L29" s="1067" t="s">
        <v>551</v>
      </c>
      <c r="M29" s="1080" t="s">
        <v>552</v>
      </c>
      <c r="N29" s="1069" t="s">
        <v>370</v>
      </c>
      <c r="O29" s="896"/>
      <c r="P29" s="896"/>
      <c r="Q29" s="896"/>
      <c r="R29" s="1076">
        <v>0</v>
      </c>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868"/>
      <c r="AY29" s="868"/>
      <c r="AZ29" s="868"/>
      <c r="BA29" s="1033"/>
    </row>
    <row r="30" spans="1:53" ht="22.5">
      <c r="A30" s="895">
        <v>1</v>
      </c>
      <c r="B30" s="1033"/>
      <c r="C30" s="1033"/>
      <c r="D30" s="1033"/>
      <c r="E30" s="1033"/>
      <c r="F30" s="1033"/>
      <c r="G30" s="1033"/>
      <c r="H30" s="1033"/>
      <c r="I30" s="1033"/>
      <c r="J30" s="1033"/>
      <c r="K30" s="1033"/>
      <c r="L30" s="1067" t="s">
        <v>553</v>
      </c>
      <c r="M30" s="1080" t="s">
        <v>554</v>
      </c>
      <c r="N30" s="1069" t="s">
        <v>370</v>
      </c>
      <c r="O30" s="896"/>
      <c r="P30" s="896"/>
      <c r="Q30" s="896"/>
      <c r="R30" s="1076">
        <v>0</v>
      </c>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868"/>
      <c r="AY30" s="868"/>
      <c r="AZ30" s="868"/>
      <c r="BA30" s="1033"/>
    </row>
    <row r="31" spans="1:53" ht="22.5">
      <c r="A31" s="895">
        <v>1</v>
      </c>
      <c r="B31" s="1033"/>
      <c r="C31" s="1033"/>
      <c r="D31" s="1033"/>
      <c r="E31" s="1033"/>
      <c r="F31" s="1033"/>
      <c r="G31" s="1033"/>
      <c r="H31" s="1033"/>
      <c r="I31" s="1033"/>
      <c r="J31" s="1033"/>
      <c r="K31" s="1033"/>
      <c r="L31" s="1067" t="s">
        <v>555</v>
      </c>
      <c r="M31" s="1080" t="s">
        <v>556</v>
      </c>
      <c r="N31" s="1069" t="s">
        <v>370</v>
      </c>
      <c r="O31" s="896"/>
      <c r="P31" s="896"/>
      <c r="Q31" s="896"/>
      <c r="R31" s="1076">
        <v>0</v>
      </c>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868"/>
      <c r="AY31" s="868"/>
      <c r="AZ31" s="868"/>
      <c r="BA31" s="1033"/>
    </row>
    <row r="32" spans="1:53" ht="22.5">
      <c r="A32" s="895">
        <v>1</v>
      </c>
      <c r="B32" s="1033"/>
      <c r="C32" s="1033"/>
      <c r="D32" s="1033"/>
      <c r="E32" s="1033"/>
      <c r="F32" s="1033"/>
      <c r="G32" s="1033"/>
      <c r="H32" s="1033"/>
      <c r="I32" s="1033"/>
      <c r="J32" s="1033"/>
      <c r="K32" s="1033"/>
      <c r="L32" s="1067" t="s">
        <v>557</v>
      </c>
      <c r="M32" s="1080" t="s">
        <v>558</v>
      </c>
      <c r="N32" s="1069" t="s">
        <v>370</v>
      </c>
      <c r="O32" s="896"/>
      <c r="P32" s="896">
        <v>1891.67</v>
      </c>
      <c r="Q32" s="896"/>
      <c r="R32" s="1076">
        <v>-1891.67</v>
      </c>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868"/>
      <c r="AY32" s="868"/>
      <c r="AZ32" s="868"/>
      <c r="BA32" s="1033"/>
    </row>
    <row r="33" spans="1:53" ht="45">
      <c r="A33" s="895">
        <v>1</v>
      </c>
      <c r="B33" s="1033"/>
      <c r="C33" s="1033"/>
      <c r="D33" s="1033"/>
      <c r="E33" s="1033"/>
      <c r="F33" s="1033"/>
      <c r="G33" s="1033"/>
      <c r="H33" s="1033"/>
      <c r="I33" s="1033"/>
      <c r="J33" s="1033"/>
      <c r="K33" s="1033"/>
      <c r="L33" s="1067" t="s">
        <v>559</v>
      </c>
      <c r="M33" s="1080" t="s">
        <v>560</v>
      </c>
      <c r="N33" s="1069" t="s">
        <v>370</v>
      </c>
      <c r="O33" s="896"/>
      <c r="P33" s="896"/>
      <c r="Q33" s="896"/>
      <c r="R33" s="1076">
        <v>0</v>
      </c>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868"/>
      <c r="AY33" s="868"/>
      <c r="AZ33" s="868"/>
      <c r="BA33" s="1033"/>
    </row>
    <row r="34" spans="1:53" ht="11.25">
      <c r="A34" s="895">
        <v>1</v>
      </c>
      <c r="B34" s="1033"/>
      <c r="C34" s="1033"/>
      <c r="D34" s="1033"/>
      <c r="E34" s="1033"/>
      <c r="F34" s="1033"/>
      <c r="G34" s="1033"/>
      <c r="H34" s="1033"/>
      <c r="I34" s="1033"/>
      <c r="J34" s="1033"/>
      <c r="K34" s="1033"/>
      <c r="L34" s="1067" t="s">
        <v>561</v>
      </c>
      <c r="M34" s="1080" t="s">
        <v>562</v>
      </c>
      <c r="N34" s="1069" t="s">
        <v>370</v>
      </c>
      <c r="O34" s="896"/>
      <c r="P34" s="896"/>
      <c r="Q34" s="896"/>
      <c r="R34" s="1076">
        <v>0</v>
      </c>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868"/>
      <c r="AY34" s="868"/>
      <c r="AZ34" s="868"/>
      <c r="BA34" s="1033"/>
    </row>
    <row r="35" spans="1:53" ht="11.25">
      <c r="A35" s="895">
        <v>1</v>
      </c>
      <c r="B35" s="1033"/>
      <c r="C35" s="1033"/>
      <c r="D35" s="1033"/>
      <c r="E35" s="1033"/>
      <c r="F35" s="1033"/>
      <c r="G35" s="1033"/>
      <c r="H35" s="1033"/>
      <c r="I35" s="1033"/>
      <c r="J35" s="1033"/>
      <c r="K35" s="1033"/>
      <c r="L35" s="1067" t="s">
        <v>1438</v>
      </c>
      <c r="M35" s="1080" t="s">
        <v>1439</v>
      </c>
      <c r="N35" s="1069" t="s">
        <v>370</v>
      </c>
      <c r="O35" s="896"/>
      <c r="P35" s="896"/>
      <c r="Q35" s="896"/>
      <c r="R35" s="1076">
        <v>0</v>
      </c>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868"/>
      <c r="AY35" s="868"/>
      <c r="AZ35" s="868"/>
      <c r="BA35" s="1033"/>
    </row>
    <row r="36" spans="1:53" s="116" customFormat="1" ht="11.25">
      <c r="A36" s="1072">
        <v>1</v>
      </c>
      <c r="B36" s="1082"/>
      <c r="C36" s="1082"/>
      <c r="D36" s="1082"/>
      <c r="E36" s="1082"/>
      <c r="F36" s="1082"/>
      <c r="G36" s="1082"/>
      <c r="H36" s="1082"/>
      <c r="I36" s="1082"/>
      <c r="J36" s="1082"/>
      <c r="K36" s="1082"/>
      <c r="L36" s="1083" t="s">
        <v>378</v>
      </c>
      <c r="M36" s="1084" t="s">
        <v>563</v>
      </c>
      <c r="N36" s="1085" t="s">
        <v>370</v>
      </c>
      <c r="O36" s="537">
        <v>0</v>
      </c>
      <c r="P36" s="537">
        <v>203.1</v>
      </c>
      <c r="Q36" s="537">
        <v>0</v>
      </c>
      <c r="R36" s="1064">
        <v>-203.1</v>
      </c>
      <c r="S36" s="537"/>
      <c r="T36" s="537"/>
      <c r="U36" s="537"/>
      <c r="V36" s="537"/>
      <c r="W36" s="537"/>
      <c r="X36" s="537"/>
      <c r="Y36" s="537"/>
      <c r="Z36" s="537"/>
      <c r="AA36" s="537"/>
      <c r="AB36" s="537"/>
      <c r="AC36" s="537"/>
      <c r="AD36" s="537"/>
      <c r="AE36" s="537"/>
      <c r="AF36" s="537"/>
      <c r="AG36" s="537"/>
      <c r="AH36" s="537"/>
      <c r="AI36" s="537"/>
      <c r="AJ36" s="537"/>
      <c r="AK36" s="537"/>
      <c r="AL36" s="537"/>
      <c r="AM36" s="537"/>
      <c r="AN36" s="537"/>
      <c r="AO36" s="537"/>
      <c r="AP36" s="537"/>
      <c r="AQ36" s="537"/>
      <c r="AR36" s="537"/>
      <c r="AS36" s="537"/>
      <c r="AT36" s="537"/>
      <c r="AU36" s="537"/>
      <c r="AV36" s="537"/>
      <c r="AW36" s="537"/>
      <c r="AX36" s="1074"/>
      <c r="AY36" s="1074"/>
      <c r="AZ36" s="1074"/>
      <c r="BA36" s="1082"/>
    </row>
    <row r="37" spans="1:53" ht="22.5">
      <c r="A37" s="895">
        <v>1</v>
      </c>
      <c r="B37" s="1033"/>
      <c r="C37" s="1033"/>
      <c r="D37" s="1033"/>
      <c r="E37" s="1033"/>
      <c r="F37" s="1033"/>
      <c r="G37" s="1033"/>
      <c r="H37" s="1033"/>
      <c r="I37" s="1033"/>
      <c r="J37" s="1033"/>
      <c r="K37" s="1033"/>
      <c r="L37" s="1067" t="s">
        <v>564</v>
      </c>
      <c r="M37" s="1075" t="s">
        <v>565</v>
      </c>
      <c r="N37" s="1069" t="s">
        <v>370</v>
      </c>
      <c r="O37" s="896"/>
      <c r="P37" s="896"/>
      <c r="Q37" s="896"/>
      <c r="R37" s="1076">
        <v>0</v>
      </c>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868"/>
      <c r="AY37" s="868"/>
      <c r="AZ37" s="868"/>
      <c r="BA37" s="1033"/>
    </row>
    <row r="38" spans="1:53" ht="22.5">
      <c r="A38" s="895">
        <v>1</v>
      </c>
      <c r="B38" s="1033"/>
      <c r="C38" s="1033"/>
      <c r="D38" s="1033"/>
      <c r="E38" s="1033"/>
      <c r="F38" s="1033"/>
      <c r="G38" s="1033"/>
      <c r="H38" s="1033"/>
      <c r="I38" s="1033"/>
      <c r="J38" s="1033"/>
      <c r="K38" s="1033"/>
      <c r="L38" s="1067" t="s">
        <v>566</v>
      </c>
      <c r="M38" s="1081" t="s">
        <v>567</v>
      </c>
      <c r="N38" s="1069" t="s">
        <v>370</v>
      </c>
      <c r="O38" s="896"/>
      <c r="P38" s="896">
        <v>203.1</v>
      </c>
      <c r="Q38" s="896"/>
      <c r="R38" s="1076">
        <v>-203.1</v>
      </c>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3"/>
      <c r="AX38" s="868"/>
      <c r="AY38" s="868"/>
      <c r="AZ38" s="868"/>
      <c r="BA38" s="1033"/>
    </row>
    <row r="39" spans="1:53" ht="22.5">
      <c r="A39" s="895">
        <v>1</v>
      </c>
      <c r="B39" s="1033"/>
      <c r="C39" s="1033"/>
      <c r="D39" s="1033"/>
      <c r="E39" s="1033"/>
      <c r="F39" s="1033"/>
      <c r="G39" s="1033"/>
      <c r="H39" s="1033"/>
      <c r="I39" s="1033"/>
      <c r="J39" s="1033"/>
      <c r="K39" s="1033"/>
      <c r="L39" s="1067" t="s">
        <v>568</v>
      </c>
      <c r="M39" s="1081" t="s">
        <v>569</v>
      </c>
      <c r="N39" s="1069" t="s">
        <v>370</v>
      </c>
      <c r="O39" s="896"/>
      <c r="P39" s="896"/>
      <c r="Q39" s="896"/>
      <c r="R39" s="1076">
        <v>0</v>
      </c>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868"/>
      <c r="AY39" s="868"/>
      <c r="AZ39" s="868"/>
      <c r="BA39" s="1033"/>
    </row>
    <row r="40" spans="1:53" ht="11.25">
      <c r="A40" s="895">
        <v>1</v>
      </c>
      <c r="B40" s="1033"/>
      <c r="C40" s="1033"/>
      <c r="D40" s="1033"/>
      <c r="E40" s="1033"/>
      <c r="F40" s="1033"/>
      <c r="G40" s="1033"/>
      <c r="H40" s="1033"/>
      <c r="I40" s="1033"/>
      <c r="J40" s="1033"/>
      <c r="K40" s="1033"/>
      <c r="L40" s="1067" t="s">
        <v>1184</v>
      </c>
      <c r="M40" s="1078" t="s">
        <v>570</v>
      </c>
      <c r="N40" s="1069" t="s">
        <v>370</v>
      </c>
      <c r="O40" s="896"/>
      <c r="P40" s="896"/>
      <c r="Q40" s="896"/>
      <c r="R40" s="1076">
        <v>0</v>
      </c>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868"/>
      <c r="AY40" s="868"/>
      <c r="AZ40" s="868"/>
      <c r="BA40" s="1033"/>
    </row>
    <row r="41" spans="1:53" ht="11.25">
      <c r="A41" s="895">
        <v>1</v>
      </c>
      <c r="B41" s="1033"/>
      <c r="C41" s="1033"/>
      <c r="D41" s="1033"/>
      <c r="E41" s="1033"/>
      <c r="F41" s="1033"/>
      <c r="G41" s="1033"/>
      <c r="H41" s="1033"/>
      <c r="I41" s="1033"/>
      <c r="J41" s="1033"/>
      <c r="K41" s="1033"/>
      <c r="L41" s="1067" t="s">
        <v>1185</v>
      </c>
      <c r="M41" s="1078" t="s">
        <v>571</v>
      </c>
      <c r="N41" s="1069" t="s">
        <v>370</v>
      </c>
      <c r="O41" s="896">
        <v>0</v>
      </c>
      <c r="P41" s="896">
        <v>0</v>
      </c>
      <c r="Q41" s="896">
        <v>0</v>
      </c>
      <c r="R41" s="1076">
        <v>0</v>
      </c>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43"/>
      <c r="AU41" s="443"/>
      <c r="AV41" s="443"/>
      <c r="AW41" s="443"/>
      <c r="AX41" s="868"/>
      <c r="AY41" s="868"/>
      <c r="AZ41" s="868"/>
      <c r="BA41" s="1033"/>
    </row>
    <row r="42" spans="1:53" s="116" customFormat="1" ht="11.25">
      <c r="A42" s="1072">
        <v>1</v>
      </c>
      <c r="B42" s="1082"/>
      <c r="C42" s="1082"/>
      <c r="D42" s="1082"/>
      <c r="E42" s="1082"/>
      <c r="F42" s="1082"/>
      <c r="G42" s="1082"/>
      <c r="H42" s="1082"/>
      <c r="I42" s="1082"/>
      <c r="J42" s="1082"/>
      <c r="K42" s="1082"/>
      <c r="L42" s="1083" t="s">
        <v>380</v>
      </c>
      <c r="M42" s="1084" t="s">
        <v>572</v>
      </c>
      <c r="N42" s="1085" t="s">
        <v>370</v>
      </c>
      <c r="O42" s="537">
        <v>0</v>
      </c>
      <c r="P42" s="537">
        <v>3169.98</v>
      </c>
      <c r="Q42" s="537">
        <v>13304.37</v>
      </c>
      <c r="R42" s="1064">
        <v>10134.390000000001</v>
      </c>
      <c r="S42" s="537"/>
      <c r="T42" s="537"/>
      <c r="U42" s="537"/>
      <c r="V42" s="537"/>
      <c r="W42" s="537"/>
      <c r="X42" s="537"/>
      <c r="Y42" s="537"/>
      <c r="Z42" s="537"/>
      <c r="AA42" s="537"/>
      <c r="AB42" s="537"/>
      <c r="AC42" s="537"/>
      <c r="AD42" s="537"/>
      <c r="AE42" s="537"/>
      <c r="AF42" s="537"/>
      <c r="AG42" s="537"/>
      <c r="AH42" s="537"/>
      <c r="AI42" s="537"/>
      <c r="AJ42" s="537"/>
      <c r="AK42" s="537"/>
      <c r="AL42" s="537"/>
      <c r="AM42" s="537"/>
      <c r="AN42" s="537"/>
      <c r="AO42" s="537"/>
      <c r="AP42" s="537"/>
      <c r="AQ42" s="537"/>
      <c r="AR42" s="537"/>
      <c r="AS42" s="537"/>
      <c r="AT42" s="537"/>
      <c r="AU42" s="537"/>
      <c r="AV42" s="537"/>
      <c r="AW42" s="537"/>
      <c r="AX42" s="1074"/>
      <c r="AY42" s="1074"/>
      <c r="AZ42" s="1074"/>
      <c r="BA42" s="1082"/>
    </row>
    <row r="43" spans="1:53" ht="22.5">
      <c r="A43" s="895">
        <v>1</v>
      </c>
      <c r="B43" s="1033"/>
      <c r="C43" s="1033"/>
      <c r="D43" s="1033"/>
      <c r="E43" s="1033"/>
      <c r="F43" s="1033"/>
      <c r="G43" s="1033"/>
      <c r="H43" s="1033"/>
      <c r="I43" s="1033"/>
      <c r="J43" s="1033"/>
      <c r="K43" s="1033"/>
      <c r="L43" s="1067" t="s">
        <v>573</v>
      </c>
      <c r="M43" s="1075" t="s">
        <v>574</v>
      </c>
      <c r="N43" s="1069" t="s">
        <v>370</v>
      </c>
      <c r="O43" s="443">
        <v>0</v>
      </c>
      <c r="P43" s="443">
        <v>0</v>
      </c>
      <c r="Q43" s="443">
        <v>0</v>
      </c>
      <c r="R43" s="1076">
        <v>0</v>
      </c>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43"/>
      <c r="AU43" s="443"/>
      <c r="AV43" s="443"/>
      <c r="AW43" s="443"/>
      <c r="AX43" s="868"/>
      <c r="AY43" s="868"/>
      <c r="AZ43" s="868"/>
      <c r="BA43" s="1033"/>
    </row>
    <row r="44" spans="1:53" ht="11.25">
      <c r="A44" s="895">
        <v>1</v>
      </c>
      <c r="B44" s="1033"/>
      <c r="C44" s="1033"/>
      <c r="D44" s="1033"/>
      <c r="E44" s="1033"/>
      <c r="F44" s="1033"/>
      <c r="G44" s="1033"/>
      <c r="H44" s="1033"/>
      <c r="I44" s="1033"/>
      <c r="J44" s="1033"/>
      <c r="K44" s="1033"/>
      <c r="L44" s="1067" t="s">
        <v>575</v>
      </c>
      <c r="M44" s="1078" t="s">
        <v>576</v>
      </c>
      <c r="N44" s="1069" t="s">
        <v>370</v>
      </c>
      <c r="O44" s="896"/>
      <c r="P44" s="896"/>
      <c r="Q44" s="896"/>
      <c r="R44" s="1076">
        <v>0</v>
      </c>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c r="AR44" s="443"/>
      <c r="AS44" s="443"/>
      <c r="AT44" s="443"/>
      <c r="AU44" s="443"/>
      <c r="AV44" s="443"/>
      <c r="AW44" s="443"/>
      <c r="AX44" s="868"/>
      <c r="AY44" s="868"/>
      <c r="AZ44" s="868"/>
      <c r="BA44" s="1033"/>
    </row>
    <row r="45" spans="1:53" ht="11.25">
      <c r="A45" s="895">
        <v>1</v>
      </c>
      <c r="B45" s="1033"/>
      <c r="C45" s="1033"/>
      <c r="D45" s="1033"/>
      <c r="E45" s="1033"/>
      <c r="F45" s="1033"/>
      <c r="G45" s="1033"/>
      <c r="H45" s="1033"/>
      <c r="I45" s="1033"/>
      <c r="J45" s="1033"/>
      <c r="K45" s="1033"/>
      <c r="L45" s="1067" t="s">
        <v>577</v>
      </c>
      <c r="M45" s="1078" t="s">
        <v>578</v>
      </c>
      <c r="N45" s="1069" t="s">
        <v>370</v>
      </c>
      <c r="O45" s="896"/>
      <c r="P45" s="896"/>
      <c r="Q45" s="896"/>
      <c r="R45" s="1076">
        <v>0</v>
      </c>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868"/>
      <c r="AY45" s="868"/>
      <c r="AZ45" s="868"/>
      <c r="BA45" s="1033"/>
    </row>
    <row r="46" spans="1:53" ht="11.25">
      <c r="A46" s="895">
        <v>1</v>
      </c>
      <c r="B46" s="1033"/>
      <c r="C46" s="1033"/>
      <c r="D46" s="1033"/>
      <c r="E46" s="1033"/>
      <c r="F46" s="1033"/>
      <c r="G46" s="1033"/>
      <c r="H46" s="1033"/>
      <c r="I46" s="1033"/>
      <c r="J46" s="1033"/>
      <c r="K46" s="1033"/>
      <c r="L46" s="1067" t="s">
        <v>579</v>
      </c>
      <c r="M46" s="1078" t="s">
        <v>580</v>
      </c>
      <c r="N46" s="1069" t="s">
        <v>370</v>
      </c>
      <c r="O46" s="896"/>
      <c r="P46" s="896"/>
      <c r="Q46" s="896"/>
      <c r="R46" s="1076">
        <v>0</v>
      </c>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c r="AQ46" s="443"/>
      <c r="AR46" s="443"/>
      <c r="AS46" s="443"/>
      <c r="AT46" s="443"/>
      <c r="AU46" s="443"/>
      <c r="AV46" s="443"/>
      <c r="AW46" s="443"/>
      <c r="AX46" s="868"/>
      <c r="AY46" s="868"/>
      <c r="AZ46" s="868"/>
      <c r="BA46" s="1033"/>
    </row>
    <row r="47" spans="1:53" ht="11.25">
      <c r="A47" s="895">
        <v>1</v>
      </c>
      <c r="B47" s="1033"/>
      <c r="C47" s="1033"/>
      <c r="D47" s="1033"/>
      <c r="E47" s="1033"/>
      <c r="F47" s="1033"/>
      <c r="G47" s="1033"/>
      <c r="H47" s="1033"/>
      <c r="I47" s="1033"/>
      <c r="J47" s="1033"/>
      <c r="K47" s="1033"/>
      <c r="L47" s="1067" t="s">
        <v>581</v>
      </c>
      <c r="M47" s="1078" t="s">
        <v>582</v>
      </c>
      <c r="N47" s="1069" t="s">
        <v>370</v>
      </c>
      <c r="O47" s="896"/>
      <c r="P47" s="896"/>
      <c r="Q47" s="896"/>
      <c r="R47" s="1076">
        <v>0</v>
      </c>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43"/>
      <c r="AU47" s="443"/>
      <c r="AV47" s="443"/>
      <c r="AW47" s="443"/>
      <c r="AX47" s="868"/>
      <c r="AY47" s="868"/>
      <c r="AZ47" s="868"/>
      <c r="BA47" s="1033"/>
    </row>
    <row r="48" spans="1:53" ht="11.25">
      <c r="A48" s="895">
        <v>1</v>
      </c>
      <c r="B48" s="1033"/>
      <c r="C48" s="1033"/>
      <c r="D48" s="1033"/>
      <c r="E48" s="1033"/>
      <c r="F48" s="1033"/>
      <c r="G48" s="1033"/>
      <c r="H48" s="1033"/>
      <c r="I48" s="1033"/>
      <c r="J48" s="1033"/>
      <c r="K48" s="1033"/>
      <c r="L48" s="1067" t="s">
        <v>583</v>
      </c>
      <c r="M48" s="1078" t="s">
        <v>584</v>
      </c>
      <c r="N48" s="1069" t="s">
        <v>370</v>
      </c>
      <c r="O48" s="896"/>
      <c r="P48" s="896"/>
      <c r="Q48" s="896"/>
      <c r="R48" s="1076">
        <v>0</v>
      </c>
      <c r="S48" s="443"/>
      <c r="T48" s="443"/>
      <c r="U48" s="443"/>
      <c r="V48" s="443"/>
      <c r="W48" s="443"/>
      <c r="X48" s="443"/>
      <c r="Y48" s="443"/>
      <c r="Z48" s="443"/>
      <c r="AA48" s="443"/>
      <c r="AB48" s="443"/>
      <c r="AC48" s="443"/>
      <c r="AD48" s="443"/>
      <c r="AE48" s="443"/>
      <c r="AF48" s="443"/>
      <c r="AG48" s="443"/>
      <c r="AH48" s="443"/>
      <c r="AI48" s="443"/>
      <c r="AJ48" s="443"/>
      <c r="AK48" s="443"/>
      <c r="AL48" s="443"/>
      <c r="AM48" s="443"/>
      <c r="AN48" s="443"/>
      <c r="AO48" s="443"/>
      <c r="AP48" s="443"/>
      <c r="AQ48" s="443"/>
      <c r="AR48" s="443"/>
      <c r="AS48" s="443"/>
      <c r="AT48" s="443"/>
      <c r="AU48" s="443"/>
      <c r="AV48" s="443"/>
      <c r="AW48" s="443"/>
      <c r="AX48" s="868"/>
      <c r="AY48" s="868"/>
      <c r="AZ48" s="868"/>
      <c r="BA48" s="1033"/>
    </row>
    <row r="49" spans="1:53" ht="11.25">
      <c r="A49" s="895">
        <v>1</v>
      </c>
      <c r="B49" s="1033"/>
      <c r="C49" s="1033"/>
      <c r="D49" s="1033"/>
      <c r="E49" s="1033"/>
      <c r="F49" s="1033"/>
      <c r="G49" s="1033"/>
      <c r="H49" s="1033"/>
      <c r="I49" s="1033"/>
      <c r="J49" s="1033"/>
      <c r="K49" s="1033"/>
      <c r="L49" s="1067" t="s">
        <v>585</v>
      </c>
      <c r="M49" s="1078" t="s">
        <v>586</v>
      </c>
      <c r="N49" s="1069" t="s">
        <v>370</v>
      </c>
      <c r="O49" s="896"/>
      <c r="P49" s="896"/>
      <c r="Q49" s="896"/>
      <c r="R49" s="1076">
        <v>0</v>
      </c>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868"/>
      <c r="AY49" s="868"/>
      <c r="AZ49" s="868"/>
      <c r="BA49" s="1033"/>
    </row>
    <row r="50" spans="1:53" ht="11.25">
      <c r="A50" s="895">
        <v>1</v>
      </c>
      <c r="B50" s="1033"/>
      <c r="C50" s="1033"/>
      <c r="D50" s="1033"/>
      <c r="E50" s="1033"/>
      <c r="F50" s="1033"/>
      <c r="G50" s="1033"/>
      <c r="H50" s="1033"/>
      <c r="I50" s="1033"/>
      <c r="J50" s="1033"/>
      <c r="K50" s="1033"/>
      <c r="L50" s="1067" t="s">
        <v>1436</v>
      </c>
      <c r="M50" s="1078" t="s">
        <v>1437</v>
      </c>
      <c r="N50" s="1069" t="s">
        <v>370</v>
      </c>
      <c r="O50" s="896"/>
      <c r="P50" s="896"/>
      <c r="Q50" s="896"/>
      <c r="R50" s="1076">
        <v>0</v>
      </c>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3"/>
      <c r="AT50" s="443"/>
      <c r="AU50" s="443"/>
      <c r="AV50" s="443"/>
      <c r="AW50" s="443"/>
      <c r="AX50" s="868"/>
      <c r="AY50" s="868"/>
      <c r="AZ50" s="868"/>
      <c r="BA50" s="1033"/>
    </row>
    <row r="51" spans="1:53" ht="22.5">
      <c r="A51" s="895">
        <v>1</v>
      </c>
      <c r="B51" s="1033"/>
      <c r="C51" s="1033"/>
      <c r="D51" s="1033"/>
      <c r="E51" s="1033"/>
      <c r="F51" s="1033"/>
      <c r="G51" s="1033"/>
      <c r="H51" s="1033"/>
      <c r="I51" s="1033"/>
      <c r="J51" s="1033"/>
      <c r="K51" s="1033"/>
      <c r="L51" s="1067" t="s">
        <v>587</v>
      </c>
      <c r="M51" s="1075" t="s">
        <v>588</v>
      </c>
      <c r="N51" s="1069" t="s">
        <v>370</v>
      </c>
      <c r="O51" s="443">
        <v>0</v>
      </c>
      <c r="P51" s="443">
        <v>0</v>
      </c>
      <c r="Q51" s="443">
        <v>0</v>
      </c>
      <c r="R51" s="1076">
        <v>0</v>
      </c>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868"/>
      <c r="AY51" s="868"/>
      <c r="AZ51" s="868"/>
      <c r="BA51" s="1033"/>
    </row>
    <row r="52" spans="1:53" ht="11.25">
      <c r="A52" s="895">
        <v>1</v>
      </c>
      <c r="B52" s="1033"/>
      <c r="C52" s="1033"/>
      <c r="D52" s="1033"/>
      <c r="E52" s="1033"/>
      <c r="F52" s="1033"/>
      <c r="G52" s="1033"/>
      <c r="H52" s="1033"/>
      <c r="I52" s="1033"/>
      <c r="J52" s="1033"/>
      <c r="K52" s="1033"/>
      <c r="L52" s="1067" t="s">
        <v>589</v>
      </c>
      <c r="M52" s="1078" t="s">
        <v>590</v>
      </c>
      <c r="N52" s="1069" t="s">
        <v>370</v>
      </c>
      <c r="O52" s="896"/>
      <c r="P52" s="896"/>
      <c r="Q52" s="896"/>
      <c r="R52" s="1076">
        <v>0</v>
      </c>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868"/>
      <c r="AY52" s="868"/>
      <c r="AZ52" s="868"/>
      <c r="BA52" s="1033"/>
    </row>
    <row r="53" spans="1:53" ht="22.5">
      <c r="A53" s="895">
        <v>1</v>
      </c>
      <c r="B53" s="1033"/>
      <c r="C53" s="1033"/>
      <c r="D53" s="1033"/>
      <c r="E53" s="1033"/>
      <c r="F53" s="1033"/>
      <c r="G53" s="1033"/>
      <c r="H53" s="1033"/>
      <c r="I53" s="1033"/>
      <c r="J53" s="1033"/>
      <c r="K53" s="1033"/>
      <c r="L53" s="1067" t="s">
        <v>591</v>
      </c>
      <c r="M53" s="1078" t="s">
        <v>592</v>
      </c>
      <c r="N53" s="1069" t="s">
        <v>370</v>
      </c>
      <c r="O53" s="896">
        <v>0</v>
      </c>
      <c r="P53" s="896">
        <v>0</v>
      </c>
      <c r="Q53" s="896">
        <v>0</v>
      </c>
      <c r="R53" s="1076">
        <v>0</v>
      </c>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43"/>
      <c r="AU53" s="443"/>
      <c r="AV53" s="443"/>
      <c r="AW53" s="443"/>
      <c r="AX53" s="868"/>
      <c r="AY53" s="868"/>
      <c r="AZ53" s="868"/>
      <c r="BA53" s="1033"/>
    </row>
    <row r="54" spans="1:53" ht="33.75">
      <c r="A54" s="895">
        <v>1</v>
      </c>
      <c r="B54" s="1033"/>
      <c r="C54" s="1033"/>
      <c r="D54" s="1033"/>
      <c r="E54" s="1033"/>
      <c r="F54" s="1033"/>
      <c r="G54" s="1033"/>
      <c r="H54" s="1033"/>
      <c r="I54" s="1033"/>
      <c r="J54" s="1033"/>
      <c r="K54" s="1033"/>
      <c r="L54" s="1067" t="s">
        <v>593</v>
      </c>
      <c r="M54" s="1075" t="s">
        <v>594</v>
      </c>
      <c r="N54" s="1069" t="s">
        <v>370</v>
      </c>
      <c r="O54" s="896"/>
      <c r="P54" s="896"/>
      <c r="Q54" s="896"/>
      <c r="R54" s="1076">
        <v>0</v>
      </c>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c r="AX54" s="868"/>
      <c r="AY54" s="868"/>
      <c r="AZ54" s="868"/>
      <c r="BA54" s="1033"/>
    </row>
    <row r="55" spans="1:53" ht="11.25">
      <c r="A55" s="895">
        <v>1</v>
      </c>
      <c r="B55" s="1033"/>
      <c r="C55" s="1033"/>
      <c r="D55" s="1033"/>
      <c r="E55" s="1033"/>
      <c r="F55" s="1033"/>
      <c r="G55" s="1033"/>
      <c r="H55" s="1033"/>
      <c r="I55" s="1033"/>
      <c r="J55" s="1033"/>
      <c r="K55" s="1033"/>
      <c r="L55" s="1067" t="s">
        <v>595</v>
      </c>
      <c r="M55" s="1075" t="s">
        <v>596</v>
      </c>
      <c r="N55" s="1069" t="s">
        <v>370</v>
      </c>
      <c r="O55" s="896"/>
      <c r="P55" s="896"/>
      <c r="Q55" s="896"/>
      <c r="R55" s="1076">
        <v>0</v>
      </c>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43"/>
      <c r="AU55" s="443"/>
      <c r="AV55" s="443"/>
      <c r="AW55" s="443"/>
      <c r="AX55" s="868"/>
      <c r="AY55" s="868"/>
      <c r="AZ55" s="868"/>
      <c r="BA55" s="1033"/>
    </row>
    <row r="56" spans="1:53" ht="11.25">
      <c r="A56" s="895">
        <v>1</v>
      </c>
      <c r="B56" s="1033"/>
      <c r="C56" s="1033"/>
      <c r="D56" s="1033"/>
      <c r="E56" s="1033"/>
      <c r="F56" s="1033"/>
      <c r="G56" s="1033"/>
      <c r="H56" s="1033"/>
      <c r="I56" s="1033"/>
      <c r="J56" s="1033"/>
      <c r="K56" s="1033"/>
      <c r="L56" s="1067" t="s">
        <v>597</v>
      </c>
      <c r="M56" s="1075" t="s">
        <v>598</v>
      </c>
      <c r="N56" s="1069" t="s">
        <v>370</v>
      </c>
      <c r="O56" s="896"/>
      <c r="P56" s="896"/>
      <c r="Q56" s="896"/>
      <c r="R56" s="1076">
        <v>0</v>
      </c>
      <c r="S56" s="443"/>
      <c r="T56" s="443"/>
      <c r="U56" s="443"/>
      <c r="V56" s="443"/>
      <c r="W56" s="443"/>
      <c r="X56" s="443"/>
      <c r="Y56" s="443"/>
      <c r="Z56" s="443"/>
      <c r="AA56" s="443"/>
      <c r="AB56" s="443"/>
      <c r="AC56" s="443"/>
      <c r="AD56" s="443"/>
      <c r="AE56" s="443"/>
      <c r="AF56" s="443"/>
      <c r="AG56" s="443"/>
      <c r="AH56" s="443"/>
      <c r="AI56" s="443"/>
      <c r="AJ56" s="443"/>
      <c r="AK56" s="443"/>
      <c r="AL56" s="443"/>
      <c r="AM56" s="443"/>
      <c r="AN56" s="443"/>
      <c r="AO56" s="443"/>
      <c r="AP56" s="443"/>
      <c r="AQ56" s="443"/>
      <c r="AR56" s="443"/>
      <c r="AS56" s="443"/>
      <c r="AT56" s="443"/>
      <c r="AU56" s="443"/>
      <c r="AV56" s="443"/>
      <c r="AW56" s="443"/>
      <c r="AX56" s="868"/>
      <c r="AY56" s="868"/>
      <c r="AZ56" s="868"/>
      <c r="BA56" s="1033"/>
    </row>
    <row r="57" spans="1:53" ht="11.25">
      <c r="A57" s="895">
        <v>1</v>
      </c>
      <c r="B57" s="1033"/>
      <c r="C57" s="1033"/>
      <c r="D57" s="1033"/>
      <c r="E57" s="1033"/>
      <c r="F57" s="1033"/>
      <c r="G57" s="1033"/>
      <c r="H57" s="1033"/>
      <c r="I57" s="1033"/>
      <c r="J57" s="1033"/>
      <c r="K57" s="1033"/>
      <c r="L57" s="1067" t="s">
        <v>599</v>
      </c>
      <c r="M57" s="1075" t="s">
        <v>600</v>
      </c>
      <c r="N57" s="1069" t="s">
        <v>370</v>
      </c>
      <c r="O57" s="896"/>
      <c r="P57" s="896"/>
      <c r="Q57" s="896"/>
      <c r="R57" s="1076">
        <v>0</v>
      </c>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868"/>
      <c r="AY57" s="868"/>
      <c r="AZ57" s="868"/>
      <c r="BA57" s="1033"/>
    </row>
    <row r="58" spans="1:53" ht="11.25">
      <c r="A58" s="895">
        <v>1</v>
      </c>
      <c r="B58" s="1033"/>
      <c r="C58" s="1033"/>
      <c r="D58" s="1033"/>
      <c r="E58" s="1033"/>
      <c r="F58" s="1033"/>
      <c r="G58" s="1033"/>
      <c r="H58" s="1033"/>
      <c r="I58" s="1033"/>
      <c r="J58" s="1033"/>
      <c r="K58" s="1033"/>
      <c r="L58" s="1067" t="s">
        <v>601</v>
      </c>
      <c r="M58" s="1075" t="s">
        <v>602</v>
      </c>
      <c r="N58" s="1069" t="s">
        <v>370</v>
      </c>
      <c r="O58" s="443">
        <v>0</v>
      </c>
      <c r="P58" s="443">
        <v>3169.98</v>
      </c>
      <c r="Q58" s="443">
        <v>13304.37</v>
      </c>
      <c r="R58" s="1076">
        <v>10134.390000000001</v>
      </c>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868"/>
      <c r="AY58" s="868"/>
      <c r="AZ58" s="868"/>
      <c r="BA58" s="1033"/>
    </row>
    <row r="59" spans="1:53" ht="11.25">
      <c r="A59" s="895">
        <v>1</v>
      </c>
      <c r="B59" s="1033"/>
      <c r="C59" s="1033"/>
      <c r="D59" s="1033"/>
      <c r="E59" s="1033"/>
      <c r="F59" s="1033"/>
      <c r="G59" s="1033"/>
      <c r="H59" s="1033"/>
      <c r="I59" s="1033"/>
      <c r="J59" s="1033"/>
      <c r="K59" s="1033"/>
      <c r="L59" s="1067" t="s">
        <v>1343</v>
      </c>
      <c r="M59" s="1080" t="s">
        <v>603</v>
      </c>
      <c r="N59" s="1069" t="s">
        <v>370</v>
      </c>
      <c r="O59" s="896"/>
      <c r="P59" s="896"/>
      <c r="Q59" s="896"/>
      <c r="R59" s="1076">
        <v>0</v>
      </c>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868"/>
      <c r="AY59" s="868"/>
      <c r="AZ59" s="868"/>
      <c r="BA59" s="1033"/>
    </row>
    <row r="60" spans="1:53" ht="11.25">
      <c r="A60" s="895">
        <v>1</v>
      </c>
      <c r="B60" s="1033"/>
      <c r="C60" s="1033"/>
      <c r="D60" s="1033"/>
      <c r="E60" s="1033"/>
      <c r="F60" s="1033"/>
      <c r="G60" s="1033"/>
      <c r="H60" s="1033"/>
      <c r="I60" s="1033"/>
      <c r="J60" s="1033"/>
      <c r="K60" s="1033"/>
      <c r="L60" s="1067" t="s">
        <v>1344</v>
      </c>
      <c r="M60" s="1080" t="s">
        <v>604</v>
      </c>
      <c r="N60" s="1069" t="s">
        <v>370</v>
      </c>
      <c r="O60" s="896"/>
      <c r="P60" s="896"/>
      <c r="Q60" s="896"/>
      <c r="R60" s="1076">
        <v>0</v>
      </c>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868"/>
      <c r="AY60" s="868"/>
      <c r="AZ60" s="868"/>
      <c r="BA60" s="1033"/>
    </row>
    <row r="61" spans="1:53" ht="11.25">
      <c r="A61" s="895">
        <v>1</v>
      </c>
      <c r="B61" s="1033"/>
      <c r="C61" s="1033"/>
      <c r="D61" s="1033"/>
      <c r="E61" s="1033"/>
      <c r="F61" s="1033"/>
      <c r="G61" s="1033"/>
      <c r="H61" s="1033"/>
      <c r="I61" s="1033"/>
      <c r="J61" s="1033"/>
      <c r="K61" s="1033"/>
      <c r="L61" s="1067" t="s">
        <v>1434</v>
      </c>
      <c r="M61" s="1078" t="s">
        <v>1435</v>
      </c>
      <c r="N61" s="1069" t="s">
        <v>370</v>
      </c>
      <c r="O61" s="896"/>
      <c r="P61" s="896">
        <v>3169.98</v>
      </c>
      <c r="Q61" s="896">
        <v>13304.37</v>
      </c>
      <c r="R61" s="1076">
        <v>10134.390000000001</v>
      </c>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868"/>
      <c r="AY61" s="868"/>
      <c r="AZ61" s="868"/>
      <c r="BA61" s="1033"/>
    </row>
    <row r="62" spans="1:53" ht="22.5">
      <c r="A62" s="895">
        <v>1</v>
      </c>
      <c r="B62" s="1033"/>
      <c r="C62" s="1033"/>
      <c r="D62" s="1033"/>
      <c r="E62" s="1033"/>
      <c r="F62" s="1033"/>
      <c r="G62" s="1033"/>
      <c r="H62" s="1033"/>
      <c r="I62" s="1033"/>
      <c r="J62" s="1033"/>
      <c r="K62" s="1033"/>
      <c r="L62" s="1067" t="s">
        <v>382</v>
      </c>
      <c r="M62" s="1068" t="s">
        <v>605</v>
      </c>
      <c r="N62" s="1069" t="s">
        <v>370</v>
      </c>
      <c r="O62" s="896"/>
      <c r="P62" s="896"/>
      <c r="Q62" s="896"/>
      <c r="R62" s="1076">
        <v>0</v>
      </c>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868"/>
      <c r="AY62" s="868"/>
      <c r="AZ62" s="868"/>
      <c r="BA62" s="1033"/>
    </row>
    <row r="63" spans="1:53" ht="11.25">
      <c r="A63" s="895">
        <v>1</v>
      </c>
      <c r="B63" s="1033"/>
      <c r="C63" s="1033"/>
      <c r="D63" s="1033"/>
      <c r="E63" s="1033"/>
      <c r="F63" s="1033"/>
      <c r="G63" s="1033"/>
      <c r="H63" s="1033"/>
      <c r="I63" s="1033"/>
      <c r="J63" s="1033"/>
      <c r="K63" s="1033"/>
      <c r="L63" s="1067" t="s">
        <v>1242</v>
      </c>
      <c r="M63" s="1068" t="s">
        <v>1243</v>
      </c>
      <c r="N63" s="1069" t="s">
        <v>370</v>
      </c>
      <c r="O63" s="896"/>
      <c r="P63" s="896"/>
      <c r="Q63" s="896"/>
      <c r="R63" s="1076">
        <v>0</v>
      </c>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43"/>
      <c r="AX63" s="868"/>
      <c r="AY63" s="868"/>
      <c r="AZ63" s="868"/>
      <c r="BA63" s="1033"/>
    </row>
    <row r="64" spans="1:53" s="116" customFormat="1" ht="11.25">
      <c r="A64" s="895">
        <v>1</v>
      </c>
      <c r="B64" s="1082"/>
      <c r="C64" s="1082"/>
      <c r="D64" s="1082"/>
      <c r="E64" s="1082"/>
      <c r="F64" s="1082"/>
      <c r="G64" s="1082"/>
      <c r="H64" s="1082"/>
      <c r="I64" s="1082"/>
      <c r="J64" s="1082"/>
      <c r="K64" s="1082"/>
      <c r="L64" s="1083" t="s">
        <v>1359</v>
      </c>
      <c r="M64" s="1084" t="s">
        <v>1360</v>
      </c>
      <c r="N64" s="1085" t="s">
        <v>370</v>
      </c>
      <c r="O64" s="1064">
        <v>0</v>
      </c>
      <c r="P64" s="1064">
        <v>0</v>
      </c>
      <c r="Q64" s="1064">
        <v>0</v>
      </c>
      <c r="R64" s="1064">
        <v>0</v>
      </c>
      <c r="S64" s="443"/>
      <c r="T64" s="443"/>
      <c r="U64" s="1064"/>
      <c r="V64" s="1064"/>
      <c r="W64" s="1064"/>
      <c r="X64" s="1064"/>
      <c r="Y64" s="1064"/>
      <c r="Z64" s="1064"/>
      <c r="AA64" s="1064"/>
      <c r="AB64" s="1064"/>
      <c r="AC64" s="1064"/>
      <c r="AD64" s="443"/>
      <c r="AE64" s="443"/>
      <c r="AF64" s="1064"/>
      <c r="AG64" s="1064"/>
      <c r="AH64" s="1064"/>
      <c r="AI64" s="1064"/>
      <c r="AJ64" s="1064"/>
      <c r="AK64" s="1064"/>
      <c r="AL64" s="1064"/>
      <c r="AM64" s="1064"/>
      <c r="AN64" s="1064"/>
      <c r="AO64" s="1064"/>
      <c r="AP64" s="1064"/>
      <c r="AQ64" s="1064"/>
      <c r="AR64" s="1064"/>
      <c r="AS64" s="1064"/>
      <c r="AT64" s="1064"/>
      <c r="AU64" s="1064"/>
      <c r="AV64" s="1064"/>
      <c r="AW64" s="1064"/>
      <c r="AX64" s="1074"/>
      <c r="AY64" s="1074"/>
      <c r="AZ64" s="1074"/>
      <c r="BA64" s="1082"/>
    </row>
    <row r="65" spans="1:53" ht="11.25">
      <c r="A65" s="895">
        <v>1</v>
      </c>
      <c r="B65" s="1033"/>
      <c r="C65" s="1033"/>
      <c r="D65" s="1033"/>
      <c r="E65" s="1033"/>
      <c r="F65" s="1033"/>
      <c r="G65" s="1033"/>
      <c r="H65" s="1033"/>
      <c r="I65" s="1033"/>
      <c r="J65" s="1033"/>
      <c r="K65" s="1033"/>
      <c r="L65" s="1067" t="s">
        <v>1361</v>
      </c>
      <c r="M65" s="1068"/>
      <c r="N65" s="1069"/>
      <c r="O65" s="1076"/>
      <c r="P65" s="1076"/>
      <c r="Q65" s="1076"/>
      <c r="R65" s="1076"/>
      <c r="S65" s="1076"/>
      <c r="T65" s="1076"/>
      <c r="U65" s="1076"/>
      <c r="V65" s="1076"/>
      <c r="W65" s="1076"/>
      <c r="X65" s="1076"/>
      <c r="Y65" s="1076"/>
      <c r="Z65" s="1076"/>
      <c r="AA65" s="1076"/>
      <c r="AB65" s="1076"/>
      <c r="AC65" s="1076"/>
      <c r="AD65" s="1076"/>
      <c r="AE65" s="1076"/>
      <c r="AF65" s="1076"/>
      <c r="AG65" s="1076"/>
      <c r="AH65" s="1076"/>
      <c r="AI65" s="1076"/>
      <c r="AJ65" s="1076"/>
      <c r="AK65" s="1076"/>
      <c r="AL65" s="1076"/>
      <c r="AM65" s="1076"/>
      <c r="AN65" s="1076"/>
      <c r="AO65" s="1076"/>
      <c r="AP65" s="1076"/>
      <c r="AQ65" s="1076"/>
      <c r="AR65" s="1076"/>
      <c r="AS65" s="1076"/>
      <c r="AT65" s="1076"/>
      <c r="AU65" s="1076"/>
      <c r="AV65" s="1076"/>
      <c r="AW65" s="1076"/>
      <c r="AX65" s="1086"/>
      <c r="AY65" s="1086"/>
      <c r="AZ65" s="1086"/>
      <c r="BA65" s="1033"/>
    </row>
    <row r="66" spans="1:53" s="116" customFormat="1" ht="11.25">
      <c r="A66" s="895">
        <v>1</v>
      </c>
      <c r="B66" s="1082"/>
      <c r="C66" s="1082"/>
      <c r="D66" s="1082"/>
      <c r="E66" s="1082"/>
      <c r="F66" s="1082"/>
      <c r="G66" s="1082"/>
      <c r="H66" s="1082"/>
      <c r="I66" s="1082"/>
      <c r="J66" s="1082"/>
      <c r="K66" s="1082"/>
      <c r="L66" s="1061" t="s">
        <v>102</v>
      </c>
      <c r="M66" s="1062" t="s">
        <v>606</v>
      </c>
      <c r="N66" s="1063" t="s">
        <v>370</v>
      </c>
      <c r="O66" s="1064">
        <v>0</v>
      </c>
      <c r="P66" s="1064">
        <v>2262.0700000000002</v>
      </c>
      <c r="Q66" s="1064">
        <v>1613.5700000000002</v>
      </c>
      <c r="R66" s="1064">
        <v>-648.5</v>
      </c>
      <c r="S66" s="1064">
        <v>2647.12</v>
      </c>
      <c r="T66" s="1064">
        <v>2781.78</v>
      </c>
      <c r="U66" s="1064">
        <v>0</v>
      </c>
      <c r="V66" s="1064">
        <v>0</v>
      </c>
      <c r="W66" s="1064">
        <v>0</v>
      </c>
      <c r="X66" s="1064">
        <v>0</v>
      </c>
      <c r="Y66" s="1064">
        <v>0</v>
      </c>
      <c r="Z66" s="1064">
        <v>0</v>
      </c>
      <c r="AA66" s="1064">
        <v>0</v>
      </c>
      <c r="AB66" s="1064">
        <v>0</v>
      </c>
      <c r="AC66" s="1064">
        <v>0</v>
      </c>
      <c r="AD66" s="1064">
        <v>2766.5800000000004</v>
      </c>
      <c r="AE66" s="1064">
        <v>0</v>
      </c>
      <c r="AF66" s="1064">
        <v>0</v>
      </c>
      <c r="AG66" s="1064">
        <v>0</v>
      </c>
      <c r="AH66" s="1064">
        <v>0</v>
      </c>
      <c r="AI66" s="1064">
        <v>0</v>
      </c>
      <c r="AJ66" s="1064">
        <v>0</v>
      </c>
      <c r="AK66" s="1064">
        <v>0</v>
      </c>
      <c r="AL66" s="1064">
        <v>0</v>
      </c>
      <c r="AM66" s="1064">
        <v>0</v>
      </c>
      <c r="AN66" s="1064">
        <v>4.5128290368400563</v>
      </c>
      <c r="AO66" s="1064">
        <v>-100</v>
      </c>
      <c r="AP66" s="1064">
        <v>0</v>
      </c>
      <c r="AQ66" s="1064">
        <v>0</v>
      </c>
      <c r="AR66" s="1064">
        <v>0</v>
      </c>
      <c r="AS66" s="1064">
        <v>0</v>
      </c>
      <c r="AT66" s="1064">
        <v>0</v>
      </c>
      <c r="AU66" s="1064">
        <v>0</v>
      </c>
      <c r="AV66" s="1064">
        <v>0</v>
      </c>
      <c r="AW66" s="1064">
        <v>0</v>
      </c>
      <c r="AX66" s="868"/>
      <c r="AY66" s="868"/>
      <c r="AZ66" s="868"/>
      <c r="BA66" s="1066"/>
    </row>
    <row r="67" spans="1:53" s="116" customFormat="1" ht="22.5">
      <c r="A67" s="1072">
        <v>1</v>
      </c>
      <c r="B67" s="1082"/>
      <c r="C67" s="1082"/>
      <c r="D67" s="1082"/>
      <c r="E67" s="1082"/>
      <c r="F67" s="1082"/>
      <c r="G67" s="1082"/>
      <c r="H67" s="1082"/>
      <c r="I67" s="1082"/>
      <c r="J67" s="1082"/>
      <c r="K67" s="1082"/>
      <c r="L67" s="1083" t="s">
        <v>17</v>
      </c>
      <c r="M67" s="1084" t="s">
        <v>607</v>
      </c>
      <c r="N67" s="1085" t="s">
        <v>370</v>
      </c>
      <c r="O67" s="1064">
        <v>0</v>
      </c>
      <c r="P67" s="1064">
        <v>0</v>
      </c>
      <c r="Q67" s="1064">
        <v>0</v>
      </c>
      <c r="R67" s="1064">
        <v>0</v>
      </c>
      <c r="S67" s="1064">
        <v>0</v>
      </c>
      <c r="T67" s="1064">
        <v>0</v>
      </c>
      <c r="U67" s="1064">
        <v>0</v>
      </c>
      <c r="V67" s="1064">
        <v>0</v>
      </c>
      <c r="W67" s="1064">
        <v>0</v>
      </c>
      <c r="X67" s="1064">
        <v>0</v>
      </c>
      <c r="Y67" s="1064">
        <v>0</v>
      </c>
      <c r="Z67" s="1064">
        <v>0</v>
      </c>
      <c r="AA67" s="1064">
        <v>0</v>
      </c>
      <c r="AB67" s="1064">
        <v>0</v>
      </c>
      <c r="AC67" s="1064">
        <v>0</v>
      </c>
      <c r="AD67" s="1064">
        <v>0</v>
      </c>
      <c r="AE67" s="1064">
        <v>0</v>
      </c>
      <c r="AF67" s="1064">
        <v>0</v>
      </c>
      <c r="AG67" s="1064">
        <v>0</v>
      </c>
      <c r="AH67" s="1064">
        <v>0</v>
      </c>
      <c r="AI67" s="1064">
        <v>0</v>
      </c>
      <c r="AJ67" s="1064">
        <v>0</v>
      </c>
      <c r="AK67" s="1064">
        <v>0</v>
      </c>
      <c r="AL67" s="1064">
        <v>0</v>
      </c>
      <c r="AM67" s="1064">
        <v>0</v>
      </c>
      <c r="AN67" s="1064">
        <v>0</v>
      </c>
      <c r="AO67" s="1064">
        <v>0</v>
      </c>
      <c r="AP67" s="1064">
        <v>0</v>
      </c>
      <c r="AQ67" s="1064">
        <v>0</v>
      </c>
      <c r="AR67" s="1064">
        <v>0</v>
      </c>
      <c r="AS67" s="1064">
        <v>0</v>
      </c>
      <c r="AT67" s="1064">
        <v>0</v>
      </c>
      <c r="AU67" s="1064">
        <v>0</v>
      </c>
      <c r="AV67" s="1064">
        <v>0</v>
      </c>
      <c r="AW67" s="1064">
        <v>0</v>
      </c>
      <c r="AX67" s="1074"/>
      <c r="AY67" s="1074"/>
      <c r="AZ67" s="1074"/>
      <c r="BA67" s="1082"/>
    </row>
    <row r="68" spans="1:53" ht="11.25">
      <c r="A68" s="895">
        <v>1</v>
      </c>
      <c r="B68" s="1033" t="s">
        <v>426</v>
      </c>
      <c r="C68" s="1033"/>
      <c r="D68" s="1033"/>
      <c r="E68" s="1033"/>
      <c r="F68" s="1033"/>
      <c r="G68" s="1033"/>
      <c r="H68" s="1033"/>
      <c r="I68" s="1033"/>
      <c r="J68" s="1033"/>
      <c r="K68" s="1033"/>
      <c r="L68" s="1067" t="s">
        <v>144</v>
      </c>
      <c r="M68" s="1075" t="s">
        <v>608</v>
      </c>
      <c r="N68" s="1069" t="s">
        <v>370</v>
      </c>
      <c r="O68" s="443">
        <v>0</v>
      </c>
      <c r="P68" s="443">
        <v>0</v>
      </c>
      <c r="Q68" s="443">
        <v>0</v>
      </c>
      <c r="R68" s="1076">
        <v>0</v>
      </c>
      <c r="S68" s="443">
        <v>0</v>
      </c>
      <c r="T68" s="443">
        <v>0</v>
      </c>
      <c r="U68" s="443">
        <v>0</v>
      </c>
      <c r="V68" s="443">
        <v>0</v>
      </c>
      <c r="W68" s="443">
        <v>0</v>
      </c>
      <c r="X68" s="443">
        <v>0</v>
      </c>
      <c r="Y68" s="443">
        <v>0</v>
      </c>
      <c r="Z68" s="443">
        <v>0</v>
      </c>
      <c r="AA68" s="443">
        <v>0</v>
      </c>
      <c r="AB68" s="443">
        <v>0</v>
      </c>
      <c r="AC68" s="443">
        <v>0</v>
      </c>
      <c r="AD68" s="443">
        <v>0</v>
      </c>
      <c r="AE68" s="443">
        <v>0</v>
      </c>
      <c r="AF68" s="443">
        <v>0</v>
      </c>
      <c r="AG68" s="443">
        <v>0</v>
      </c>
      <c r="AH68" s="443">
        <v>0</v>
      </c>
      <c r="AI68" s="443">
        <v>0</v>
      </c>
      <c r="AJ68" s="443">
        <v>0</v>
      </c>
      <c r="AK68" s="443">
        <v>0</v>
      </c>
      <c r="AL68" s="443">
        <v>0</v>
      </c>
      <c r="AM68" s="443">
        <v>0</v>
      </c>
      <c r="AN68" s="1076">
        <v>0</v>
      </c>
      <c r="AO68" s="1076">
        <v>0</v>
      </c>
      <c r="AP68" s="1076">
        <v>0</v>
      </c>
      <c r="AQ68" s="1076">
        <v>0</v>
      </c>
      <c r="AR68" s="1076">
        <v>0</v>
      </c>
      <c r="AS68" s="1076">
        <v>0</v>
      </c>
      <c r="AT68" s="1076">
        <v>0</v>
      </c>
      <c r="AU68" s="1076">
        <v>0</v>
      </c>
      <c r="AV68" s="1076">
        <v>0</v>
      </c>
      <c r="AW68" s="1076">
        <v>0</v>
      </c>
      <c r="AX68" s="868"/>
      <c r="AY68" s="868"/>
      <c r="AZ68" s="868"/>
      <c r="BA68" s="1033"/>
    </row>
    <row r="69" spans="1:53" ht="11.25">
      <c r="A69" s="895">
        <v>1</v>
      </c>
      <c r="B69" s="1033" t="s">
        <v>427</v>
      </c>
      <c r="C69" s="1033"/>
      <c r="D69" s="1033"/>
      <c r="E69" s="1033"/>
      <c r="F69" s="1033"/>
      <c r="G69" s="1033"/>
      <c r="H69" s="1033"/>
      <c r="I69" s="1033"/>
      <c r="J69" s="1033"/>
      <c r="K69" s="1033"/>
      <c r="L69" s="1067" t="s">
        <v>609</v>
      </c>
      <c r="M69" s="1075" t="s">
        <v>610</v>
      </c>
      <c r="N69" s="1069" t="s">
        <v>370</v>
      </c>
      <c r="O69" s="443">
        <v>0</v>
      </c>
      <c r="P69" s="443">
        <v>0</v>
      </c>
      <c r="Q69" s="443">
        <v>0</v>
      </c>
      <c r="R69" s="1076">
        <v>0</v>
      </c>
      <c r="S69" s="443">
        <v>0</v>
      </c>
      <c r="T69" s="443">
        <v>0</v>
      </c>
      <c r="U69" s="443">
        <v>0</v>
      </c>
      <c r="V69" s="443">
        <v>0</v>
      </c>
      <c r="W69" s="443">
        <v>0</v>
      </c>
      <c r="X69" s="443">
        <v>0</v>
      </c>
      <c r="Y69" s="443">
        <v>0</v>
      </c>
      <c r="Z69" s="443">
        <v>0</v>
      </c>
      <c r="AA69" s="443">
        <v>0</v>
      </c>
      <c r="AB69" s="443">
        <v>0</v>
      </c>
      <c r="AC69" s="443">
        <v>0</v>
      </c>
      <c r="AD69" s="443">
        <v>0</v>
      </c>
      <c r="AE69" s="443">
        <v>0</v>
      </c>
      <c r="AF69" s="443">
        <v>0</v>
      </c>
      <c r="AG69" s="443">
        <v>0</v>
      </c>
      <c r="AH69" s="443">
        <v>0</v>
      </c>
      <c r="AI69" s="443">
        <v>0</v>
      </c>
      <c r="AJ69" s="443">
        <v>0</v>
      </c>
      <c r="AK69" s="443">
        <v>0</v>
      </c>
      <c r="AL69" s="443">
        <v>0</v>
      </c>
      <c r="AM69" s="443">
        <v>0</v>
      </c>
      <c r="AN69" s="1076">
        <v>0</v>
      </c>
      <c r="AO69" s="1076">
        <v>0</v>
      </c>
      <c r="AP69" s="1076">
        <v>0</v>
      </c>
      <c r="AQ69" s="1076">
        <v>0</v>
      </c>
      <c r="AR69" s="1076">
        <v>0</v>
      </c>
      <c r="AS69" s="1076">
        <v>0</v>
      </c>
      <c r="AT69" s="1076">
        <v>0</v>
      </c>
      <c r="AU69" s="1076">
        <v>0</v>
      </c>
      <c r="AV69" s="1076">
        <v>0</v>
      </c>
      <c r="AW69" s="1076">
        <v>0</v>
      </c>
      <c r="AX69" s="868"/>
      <c r="AY69" s="868"/>
      <c r="AZ69" s="868"/>
      <c r="BA69" s="1033"/>
    </row>
    <row r="70" spans="1:53" ht="11.25">
      <c r="A70" s="895">
        <v>1</v>
      </c>
      <c r="B70" s="1033" t="s">
        <v>422</v>
      </c>
      <c r="C70" s="1033"/>
      <c r="D70" s="1033"/>
      <c r="E70" s="1033"/>
      <c r="F70" s="1033"/>
      <c r="G70" s="1033"/>
      <c r="H70" s="1033"/>
      <c r="I70" s="1033"/>
      <c r="J70" s="1033"/>
      <c r="K70" s="1033"/>
      <c r="L70" s="1067" t="s">
        <v>611</v>
      </c>
      <c r="M70" s="1075" t="s">
        <v>612</v>
      </c>
      <c r="N70" s="1069" t="s">
        <v>370</v>
      </c>
      <c r="O70" s="443">
        <v>0</v>
      </c>
      <c r="P70" s="443">
        <v>0</v>
      </c>
      <c r="Q70" s="443">
        <v>0</v>
      </c>
      <c r="R70" s="1076">
        <v>0</v>
      </c>
      <c r="S70" s="443">
        <v>0</v>
      </c>
      <c r="T70" s="443">
        <v>0</v>
      </c>
      <c r="U70" s="443">
        <v>0</v>
      </c>
      <c r="V70" s="443">
        <v>0</v>
      </c>
      <c r="W70" s="443">
        <v>0</v>
      </c>
      <c r="X70" s="443">
        <v>0</v>
      </c>
      <c r="Y70" s="443">
        <v>0</v>
      </c>
      <c r="Z70" s="443">
        <v>0</v>
      </c>
      <c r="AA70" s="443">
        <v>0</v>
      </c>
      <c r="AB70" s="443">
        <v>0</v>
      </c>
      <c r="AC70" s="443">
        <v>0</v>
      </c>
      <c r="AD70" s="443">
        <v>0</v>
      </c>
      <c r="AE70" s="443">
        <v>0</v>
      </c>
      <c r="AF70" s="443">
        <v>0</v>
      </c>
      <c r="AG70" s="443">
        <v>0</v>
      </c>
      <c r="AH70" s="443">
        <v>0</v>
      </c>
      <c r="AI70" s="443">
        <v>0</v>
      </c>
      <c r="AJ70" s="443">
        <v>0</v>
      </c>
      <c r="AK70" s="443">
        <v>0</v>
      </c>
      <c r="AL70" s="443">
        <v>0</v>
      </c>
      <c r="AM70" s="443">
        <v>0</v>
      </c>
      <c r="AN70" s="1076">
        <v>0</v>
      </c>
      <c r="AO70" s="1076">
        <v>0</v>
      </c>
      <c r="AP70" s="1076">
        <v>0</v>
      </c>
      <c r="AQ70" s="1076">
        <v>0</v>
      </c>
      <c r="AR70" s="1076">
        <v>0</v>
      </c>
      <c r="AS70" s="1076">
        <v>0</v>
      </c>
      <c r="AT70" s="1076">
        <v>0</v>
      </c>
      <c r="AU70" s="1076">
        <v>0</v>
      </c>
      <c r="AV70" s="1076">
        <v>0</v>
      </c>
      <c r="AW70" s="1076">
        <v>0</v>
      </c>
      <c r="AX70" s="868"/>
      <c r="AY70" s="868"/>
      <c r="AZ70" s="868"/>
      <c r="BA70" s="1033"/>
    </row>
    <row r="71" spans="1:53" ht="11.25">
      <c r="A71" s="895">
        <v>1</v>
      </c>
      <c r="B71" s="1033" t="s">
        <v>420</v>
      </c>
      <c r="C71" s="1033"/>
      <c r="D71" s="1033"/>
      <c r="E71" s="1033"/>
      <c r="F71" s="1033"/>
      <c r="G71" s="1033"/>
      <c r="H71" s="1033"/>
      <c r="I71" s="1033"/>
      <c r="J71" s="1033"/>
      <c r="K71" s="1033"/>
      <c r="L71" s="1067" t="s">
        <v>613</v>
      </c>
      <c r="M71" s="1075" t="s">
        <v>614</v>
      </c>
      <c r="N71" s="1069" t="s">
        <v>370</v>
      </c>
      <c r="O71" s="443">
        <v>0</v>
      </c>
      <c r="P71" s="443">
        <v>0</v>
      </c>
      <c r="Q71" s="443">
        <v>0</v>
      </c>
      <c r="R71" s="1076">
        <v>0</v>
      </c>
      <c r="S71" s="443">
        <v>0</v>
      </c>
      <c r="T71" s="443">
        <v>0</v>
      </c>
      <c r="U71" s="443">
        <v>0</v>
      </c>
      <c r="V71" s="443">
        <v>0</v>
      </c>
      <c r="W71" s="443">
        <v>0</v>
      </c>
      <c r="X71" s="443">
        <v>0</v>
      </c>
      <c r="Y71" s="443">
        <v>0</v>
      </c>
      <c r="Z71" s="443">
        <v>0</v>
      </c>
      <c r="AA71" s="443">
        <v>0</v>
      </c>
      <c r="AB71" s="443">
        <v>0</v>
      </c>
      <c r="AC71" s="443">
        <v>0</v>
      </c>
      <c r="AD71" s="443">
        <v>0</v>
      </c>
      <c r="AE71" s="443">
        <v>0</v>
      </c>
      <c r="AF71" s="443">
        <v>0</v>
      </c>
      <c r="AG71" s="443">
        <v>0</v>
      </c>
      <c r="AH71" s="443">
        <v>0</v>
      </c>
      <c r="AI71" s="443">
        <v>0</v>
      </c>
      <c r="AJ71" s="443">
        <v>0</v>
      </c>
      <c r="AK71" s="443">
        <v>0</v>
      </c>
      <c r="AL71" s="443">
        <v>0</v>
      </c>
      <c r="AM71" s="443">
        <v>0</v>
      </c>
      <c r="AN71" s="1076">
        <v>0</v>
      </c>
      <c r="AO71" s="1076">
        <v>0</v>
      </c>
      <c r="AP71" s="1076">
        <v>0</v>
      </c>
      <c r="AQ71" s="1076">
        <v>0</v>
      </c>
      <c r="AR71" s="1076">
        <v>0</v>
      </c>
      <c r="AS71" s="1076">
        <v>0</v>
      </c>
      <c r="AT71" s="1076">
        <v>0</v>
      </c>
      <c r="AU71" s="1076">
        <v>0</v>
      </c>
      <c r="AV71" s="1076">
        <v>0</v>
      </c>
      <c r="AW71" s="1076">
        <v>0</v>
      </c>
      <c r="AX71" s="868"/>
      <c r="AY71" s="868"/>
      <c r="AZ71" s="868"/>
      <c r="BA71" s="1033"/>
    </row>
    <row r="72" spans="1:53" ht="11.25">
      <c r="A72" s="895">
        <v>1</v>
      </c>
      <c r="B72" s="1033" t="s">
        <v>428</v>
      </c>
      <c r="C72" s="1033"/>
      <c r="D72" s="1033"/>
      <c r="E72" s="1033"/>
      <c r="F72" s="1033"/>
      <c r="G72" s="1033"/>
      <c r="H72" s="1033"/>
      <c r="I72" s="1033"/>
      <c r="J72" s="1033"/>
      <c r="K72" s="1033"/>
      <c r="L72" s="1067" t="s">
        <v>615</v>
      </c>
      <c r="M72" s="1075" t="s">
        <v>616</v>
      </c>
      <c r="N72" s="1069" t="s">
        <v>370</v>
      </c>
      <c r="O72" s="443">
        <v>0</v>
      </c>
      <c r="P72" s="443">
        <v>0</v>
      </c>
      <c r="Q72" s="443">
        <v>0</v>
      </c>
      <c r="R72" s="1076">
        <v>0</v>
      </c>
      <c r="S72" s="443">
        <v>0</v>
      </c>
      <c r="T72" s="443">
        <v>0</v>
      </c>
      <c r="U72" s="443">
        <v>0</v>
      </c>
      <c r="V72" s="443">
        <v>0</v>
      </c>
      <c r="W72" s="443">
        <v>0</v>
      </c>
      <c r="X72" s="443">
        <v>0</v>
      </c>
      <c r="Y72" s="443">
        <v>0</v>
      </c>
      <c r="Z72" s="443">
        <v>0</v>
      </c>
      <c r="AA72" s="443">
        <v>0</v>
      </c>
      <c r="AB72" s="443">
        <v>0</v>
      </c>
      <c r="AC72" s="443">
        <v>0</v>
      </c>
      <c r="AD72" s="443">
        <v>0</v>
      </c>
      <c r="AE72" s="443">
        <v>0</v>
      </c>
      <c r="AF72" s="443">
        <v>0</v>
      </c>
      <c r="AG72" s="443">
        <v>0</v>
      </c>
      <c r="AH72" s="443">
        <v>0</v>
      </c>
      <c r="AI72" s="443">
        <v>0</v>
      </c>
      <c r="AJ72" s="443">
        <v>0</v>
      </c>
      <c r="AK72" s="443">
        <v>0</v>
      </c>
      <c r="AL72" s="443">
        <v>0</v>
      </c>
      <c r="AM72" s="443">
        <v>0</v>
      </c>
      <c r="AN72" s="1076">
        <v>0</v>
      </c>
      <c r="AO72" s="1076">
        <v>0</v>
      </c>
      <c r="AP72" s="1076">
        <v>0</v>
      </c>
      <c r="AQ72" s="1076">
        <v>0</v>
      </c>
      <c r="AR72" s="1076">
        <v>0</v>
      </c>
      <c r="AS72" s="1076">
        <v>0</v>
      </c>
      <c r="AT72" s="1076">
        <v>0</v>
      </c>
      <c r="AU72" s="1076">
        <v>0</v>
      </c>
      <c r="AV72" s="1076">
        <v>0</v>
      </c>
      <c r="AW72" s="1076">
        <v>0</v>
      </c>
      <c r="AX72" s="868"/>
      <c r="AY72" s="868"/>
      <c r="AZ72" s="868"/>
      <c r="BA72" s="1033"/>
    </row>
    <row r="73" spans="1:53" ht="11.25">
      <c r="A73" s="895">
        <v>1</v>
      </c>
      <c r="B73" s="1033"/>
      <c r="C73" s="1033"/>
      <c r="D73" s="1033"/>
      <c r="E73" s="1033"/>
      <c r="F73" s="1033"/>
      <c r="G73" s="1033"/>
      <c r="H73" s="1033"/>
      <c r="I73" s="1033"/>
      <c r="J73" s="1033"/>
      <c r="K73" s="1033"/>
      <c r="L73" s="1067" t="s">
        <v>617</v>
      </c>
      <c r="M73" s="1075" t="s">
        <v>618</v>
      </c>
      <c r="N73" s="1069" t="s">
        <v>370</v>
      </c>
      <c r="O73" s="896"/>
      <c r="P73" s="896"/>
      <c r="Q73" s="896"/>
      <c r="R73" s="1076">
        <v>0</v>
      </c>
      <c r="S73" s="896"/>
      <c r="T73" s="896"/>
      <c r="U73" s="896"/>
      <c r="V73" s="896"/>
      <c r="W73" s="896"/>
      <c r="X73" s="896"/>
      <c r="Y73" s="896"/>
      <c r="Z73" s="896"/>
      <c r="AA73" s="896"/>
      <c r="AB73" s="896"/>
      <c r="AC73" s="896"/>
      <c r="AD73" s="896"/>
      <c r="AE73" s="896"/>
      <c r="AF73" s="896"/>
      <c r="AG73" s="896"/>
      <c r="AH73" s="896"/>
      <c r="AI73" s="896"/>
      <c r="AJ73" s="896"/>
      <c r="AK73" s="896"/>
      <c r="AL73" s="896"/>
      <c r="AM73" s="896"/>
      <c r="AN73" s="1076">
        <v>0</v>
      </c>
      <c r="AO73" s="1076">
        <v>0</v>
      </c>
      <c r="AP73" s="1076">
        <v>0</v>
      </c>
      <c r="AQ73" s="1076">
        <v>0</v>
      </c>
      <c r="AR73" s="1076">
        <v>0</v>
      </c>
      <c r="AS73" s="1076">
        <v>0</v>
      </c>
      <c r="AT73" s="1076">
        <v>0</v>
      </c>
      <c r="AU73" s="1076">
        <v>0</v>
      </c>
      <c r="AV73" s="1076">
        <v>0</v>
      </c>
      <c r="AW73" s="1076">
        <v>0</v>
      </c>
      <c r="AX73" s="868"/>
      <c r="AY73" s="868"/>
      <c r="AZ73" s="868"/>
      <c r="BA73" s="1033"/>
    </row>
    <row r="74" spans="1:53" ht="11.25">
      <c r="A74" s="895">
        <v>1</v>
      </c>
      <c r="B74" s="1033"/>
      <c r="C74" s="1033"/>
      <c r="D74" s="1033"/>
      <c r="E74" s="1033"/>
      <c r="F74" s="1033"/>
      <c r="G74" s="1033"/>
      <c r="H74" s="1033"/>
      <c r="I74" s="1033"/>
      <c r="J74" s="1033"/>
      <c r="K74" s="1033"/>
      <c r="L74" s="1067" t="s">
        <v>619</v>
      </c>
      <c r="M74" s="1075" t="s">
        <v>620</v>
      </c>
      <c r="N74" s="1069" t="s">
        <v>370</v>
      </c>
      <c r="O74" s="896"/>
      <c r="P74" s="896"/>
      <c r="Q74" s="896"/>
      <c r="R74" s="1076">
        <v>0</v>
      </c>
      <c r="S74" s="896"/>
      <c r="T74" s="896"/>
      <c r="U74" s="896"/>
      <c r="V74" s="896"/>
      <c r="W74" s="896"/>
      <c r="X74" s="896"/>
      <c r="Y74" s="896"/>
      <c r="Z74" s="896"/>
      <c r="AA74" s="896"/>
      <c r="AB74" s="896"/>
      <c r="AC74" s="896"/>
      <c r="AD74" s="896"/>
      <c r="AE74" s="896"/>
      <c r="AF74" s="896"/>
      <c r="AG74" s="896"/>
      <c r="AH74" s="896"/>
      <c r="AI74" s="896"/>
      <c r="AJ74" s="896"/>
      <c r="AK74" s="896"/>
      <c r="AL74" s="896"/>
      <c r="AM74" s="896"/>
      <c r="AN74" s="1076">
        <v>0</v>
      </c>
      <c r="AO74" s="1076">
        <v>0</v>
      </c>
      <c r="AP74" s="1076">
        <v>0</v>
      </c>
      <c r="AQ74" s="1076">
        <v>0</v>
      </c>
      <c r="AR74" s="1076">
        <v>0</v>
      </c>
      <c r="AS74" s="1076">
        <v>0</v>
      </c>
      <c r="AT74" s="1076">
        <v>0</v>
      </c>
      <c r="AU74" s="1076">
        <v>0</v>
      </c>
      <c r="AV74" s="1076">
        <v>0</v>
      </c>
      <c r="AW74" s="1076">
        <v>0</v>
      </c>
      <c r="AX74" s="868"/>
      <c r="AY74" s="868"/>
      <c r="AZ74" s="868"/>
      <c r="BA74" s="1033"/>
    </row>
    <row r="75" spans="1:53" ht="11.25">
      <c r="A75" s="895">
        <v>1</v>
      </c>
      <c r="B75" s="1033" t="s">
        <v>424</v>
      </c>
      <c r="C75" s="1033"/>
      <c r="D75" s="1033"/>
      <c r="E75" s="1033"/>
      <c r="F75" s="1033"/>
      <c r="G75" s="1033"/>
      <c r="H75" s="1033"/>
      <c r="I75" s="1033"/>
      <c r="J75" s="1033"/>
      <c r="K75" s="1033"/>
      <c r="L75" s="1067" t="s">
        <v>621</v>
      </c>
      <c r="M75" s="1075" t="s">
        <v>622</v>
      </c>
      <c r="N75" s="1069" t="s">
        <v>370</v>
      </c>
      <c r="O75" s="443">
        <v>0</v>
      </c>
      <c r="P75" s="443">
        <v>0</v>
      </c>
      <c r="Q75" s="443">
        <v>0</v>
      </c>
      <c r="R75" s="1076">
        <v>0</v>
      </c>
      <c r="S75" s="443">
        <v>0</v>
      </c>
      <c r="T75" s="443">
        <v>0</v>
      </c>
      <c r="U75" s="443">
        <v>0</v>
      </c>
      <c r="V75" s="443">
        <v>0</v>
      </c>
      <c r="W75" s="443">
        <v>0</v>
      </c>
      <c r="X75" s="443">
        <v>0</v>
      </c>
      <c r="Y75" s="443">
        <v>0</v>
      </c>
      <c r="Z75" s="443">
        <v>0</v>
      </c>
      <c r="AA75" s="443">
        <v>0</v>
      </c>
      <c r="AB75" s="443">
        <v>0</v>
      </c>
      <c r="AC75" s="443">
        <v>0</v>
      </c>
      <c r="AD75" s="443">
        <v>0</v>
      </c>
      <c r="AE75" s="443">
        <v>0</v>
      </c>
      <c r="AF75" s="443">
        <v>0</v>
      </c>
      <c r="AG75" s="443">
        <v>0</v>
      </c>
      <c r="AH75" s="443">
        <v>0</v>
      </c>
      <c r="AI75" s="443">
        <v>0</v>
      </c>
      <c r="AJ75" s="443">
        <v>0</v>
      </c>
      <c r="AK75" s="443">
        <v>0</v>
      </c>
      <c r="AL75" s="443">
        <v>0</v>
      </c>
      <c r="AM75" s="443">
        <v>0</v>
      </c>
      <c r="AN75" s="1076">
        <v>0</v>
      </c>
      <c r="AO75" s="1076">
        <v>0</v>
      </c>
      <c r="AP75" s="1076">
        <v>0</v>
      </c>
      <c r="AQ75" s="1076">
        <v>0</v>
      </c>
      <c r="AR75" s="1076">
        <v>0</v>
      </c>
      <c r="AS75" s="1076">
        <v>0</v>
      </c>
      <c r="AT75" s="1076">
        <v>0</v>
      </c>
      <c r="AU75" s="1076">
        <v>0</v>
      </c>
      <c r="AV75" s="1076">
        <v>0</v>
      </c>
      <c r="AW75" s="1076">
        <v>0</v>
      </c>
      <c r="AX75" s="868"/>
      <c r="AY75" s="868"/>
      <c r="AZ75" s="868"/>
      <c r="BA75" s="1033"/>
    </row>
    <row r="76" spans="1:53" ht="11.25">
      <c r="A76" s="895">
        <v>1</v>
      </c>
      <c r="B76" s="1033" t="s">
        <v>425</v>
      </c>
      <c r="C76" s="1033"/>
      <c r="D76" s="1033"/>
      <c r="E76" s="1033"/>
      <c r="F76" s="1033"/>
      <c r="G76" s="1033"/>
      <c r="H76" s="1033"/>
      <c r="I76" s="1033"/>
      <c r="J76" s="1033"/>
      <c r="K76" s="1033"/>
      <c r="L76" s="1067" t="s">
        <v>623</v>
      </c>
      <c r="M76" s="1075" t="s">
        <v>624</v>
      </c>
      <c r="N76" s="1069" t="s">
        <v>370</v>
      </c>
      <c r="O76" s="443">
        <v>0</v>
      </c>
      <c r="P76" s="443">
        <v>0</v>
      </c>
      <c r="Q76" s="443">
        <v>0</v>
      </c>
      <c r="R76" s="1076">
        <v>0</v>
      </c>
      <c r="S76" s="443">
        <v>0</v>
      </c>
      <c r="T76" s="443">
        <v>0</v>
      </c>
      <c r="U76" s="443">
        <v>0</v>
      </c>
      <c r="V76" s="443">
        <v>0</v>
      </c>
      <c r="W76" s="443">
        <v>0</v>
      </c>
      <c r="X76" s="443">
        <v>0</v>
      </c>
      <c r="Y76" s="443">
        <v>0</v>
      </c>
      <c r="Z76" s="443">
        <v>0</v>
      </c>
      <c r="AA76" s="443">
        <v>0</v>
      </c>
      <c r="AB76" s="443">
        <v>0</v>
      </c>
      <c r="AC76" s="443">
        <v>0</v>
      </c>
      <c r="AD76" s="443">
        <v>0</v>
      </c>
      <c r="AE76" s="443">
        <v>0</v>
      </c>
      <c r="AF76" s="443">
        <v>0</v>
      </c>
      <c r="AG76" s="443">
        <v>0</v>
      </c>
      <c r="AH76" s="443">
        <v>0</v>
      </c>
      <c r="AI76" s="443">
        <v>0</v>
      </c>
      <c r="AJ76" s="443">
        <v>0</v>
      </c>
      <c r="AK76" s="443">
        <v>0</v>
      </c>
      <c r="AL76" s="443">
        <v>0</v>
      </c>
      <c r="AM76" s="443">
        <v>0</v>
      </c>
      <c r="AN76" s="1076">
        <v>0</v>
      </c>
      <c r="AO76" s="1076">
        <v>0</v>
      </c>
      <c r="AP76" s="1076">
        <v>0</v>
      </c>
      <c r="AQ76" s="1076">
        <v>0</v>
      </c>
      <c r="AR76" s="1076">
        <v>0</v>
      </c>
      <c r="AS76" s="1076">
        <v>0</v>
      </c>
      <c r="AT76" s="1076">
        <v>0</v>
      </c>
      <c r="AU76" s="1076">
        <v>0</v>
      </c>
      <c r="AV76" s="1076">
        <v>0</v>
      </c>
      <c r="AW76" s="1076">
        <v>0</v>
      </c>
      <c r="AX76" s="868"/>
      <c r="AY76" s="868"/>
      <c r="AZ76" s="868"/>
      <c r="BA76" s="1033"/>
    </row>
    <row r="77" spans="1:53" ht="11.25">
      <c r="A77" s="895">
        <v>1</v>
      </c>
      <c r="B77" s="1033" t="s">
        <v>1328</v>
      </c>
      <c r="C77" s="1033"/>
      <c r="D77" s="1033"/>
      <c r="E77" s="1033"/>
      <c r="F77" s="1033"/>
      <c r="G77" s="1033"/>
      <c r="H77" s="1033"/>
      <c r="I77" s="1033"/>
      <c r="J77" s="1033"/>
      <c r="K77" s="1033"/>
      <c r="L77" s="1067" t="s">
        <v>1340</v>
      </c>
      <c r="M77" s="1075" t="s">
        <v>1341</v>
      </c>
      <c r="N77" s="1069" t="s">
        <v>370</v>
      </c>
      <c r="O77" s="443">
        <v>0</v>
      </c>
      <c r="P77" s="443">
        <v>0</v>
      </c>
      <c r="Q77" s="443">
        <v>0</v>
      </c>
      <c r="R77" s="1076">
        <v>0</v>
      </c>
      <c r="S77" s="443">
        <v>0</v>
      </c>
      <c r="T77" s="443">
        <v>0</v>
      </c>
      <c r="U77" s="443">
        <v>0</v>
      </c>
      <c r="V77" s="443">
        <v>0</v>
      </c>
      <c r="W77" s="443">
        <v>0</v>
      </c>
      <c r="X77" s="443">
        <v>0</v>
      </c>
      <c r="Y77" s="443">
        <v>0</v>
      </c>
      <c r="Z77" s="443">
        <v>0</v>
      </c>
      <c r="AA77" s="443">
        <v>0</v>
      </c>
      <c r="AB77" s="443">
        <v>0</v>
      </c>
      <c r="AC77" s="443">
        <v>0</v>
      </c>
      <c r="AD77" s="443">
        <v>0</v>
      </c>
      <c r="AE77" s="443">
        <v>0</v>
      </c>
      <c r="AF77" s="443">
        <v>0</v>
      </c>
      <c r="AG77" s="443">
        <v>0</v>
      </c>
      <c r="AH77" s="443">
        <v>0</v>
      </c>
      <c r="AI77" s="443">
        <v>0</v>
      </c>
      <c r="AJ77" s="443">
        <v>0</v>
      </c>
      <c r="AK77" s="443">
        <v>0</v>
      </c>
      <c r="AL77" s="443">
        <v>0</v>
      </c>
      <c r="AM77" s="443">
        <v>0</v>
      </c>
      <c r="AN77" s="1076">
        <v>0</v>
      </c>
      <c r="AO77" s="1076">
        <v>0</v>
      </c>
      <c r="AP77" s="1076">
        <v>0</v>
      </c>
      <c r="AQ77" s="1076">
        <v>0</v>
      </c>
      <c r="AR77" s="1076">
        <v>0</v>
      </c>
      <c r="AS77" s="1076">
        <v>0</v>
      </c>
      <c r="AT77" s="1076">
        <v>0</v>
      </c>
      <c r="AU77" s="1076">
        <v>0</v>
      </c>
      <c r="AV77" s="1076">
        <v>0</v>
      </c>
      <c r="AW77" s="1076">
        <v>0</v>
      </c>
      <c r="AX77" s="868"/>
      <c r="AY77" s="868"/>
      <c r="AZ77" s="868"/>
      <c r="BA77" s="1033"/>
    </row>
    <row r="78" spans="1:53" ht="11.25">
      <c r="A78" s="895">
        <v>1</v>
      </c>
      <c r="B78" s="1033"/>
      <c r="C78" s="1033"/>
      <c r="D78" s="1033"/>
      <c r="E78" s="1033"/>
      <c r="F78" s="1033"/>
      <c r="G78" s="1033"/>
      <c r="H78" s="1033"/>
      <c r="I78" s="1033"/>
      <c r="J78" s="1033"/>
      <c r="K78" s="1033"/>
      <c r="L78" s="1067" t="s">
        <v>146</v>
      </c>
      <c r="M78" s="1068" t="s">
        <v>625</v>
      </c>
      <c r="N78" s="975" t="s">
        <v>370</v>
      </c>
      <c r="O78" s="443">
        <v>0</v>
      </c>
      <c r="P78" s="443">
        <v>0</v>
      </c>
      <c r="Q78" s="443">
        <v>0</v>
      </c>
      <c r="R78" s="1076">
        <v>0</v>
      </c>
      <c r="S78" s="443">
        <v>0</v>
      </c>
      <c r="T78" s="443">
        <v>0</v>
      </c>
      <c r="U78" s="443">
        <v>0</v>
      </c>
      <c r="V78" s="443">
        <v>0</v>
      </c>
      <c r="W78" s="443">
        <v>0</v>
      </c>
      <c r="X78" s="443">
        <v>0</v>
      </c>
      <c r="Y78" s="443">
        <v>0</v>
      </c>
      <c r="Z78" s="443">
        <v>0</v>
      </c>
      <c r="AA78" s="443">
        <v>0</v>
      </c>
      <c r="AB78" s="443">
        <v>0</v>
      </c>
      <c r="AC78" s="443">
        <v>0</v>
      </c>
      <c r="AD78" s="443">
        <v>0</v>
      </c>
      <c r="AE78" s="443">
        <v>0</v>
      </c>
      <c r="AF78" s="443">
        <v>0</v>
      </c>
      <c r="AG78" s="443">
        <v>0</v>
      </c>
      <c r="AH78" s="443">
        <v>0</v>
      </c>
      <c r="AI78" s="443">
        <v>0</v>
      </c>
      <c r="AJ78" s="443">
        <v>0</v>
      </c>
      <c r="AK78" s="443">
        <v>0</v>
      </c>
      <c r="AL78" s="443">
        <v>0</v>
      </c>
      <c r="AM78" s="443">
        <v>0</v>
      </c>
      <c r="AN78" s="1076">
        <v>0</v>
      </c>
      <c r="AO78" s="1076">
        <v>0</v>
      </c>
      <c r="AP78" s="1076">
        <v>0</v>
      </c>
      <c r="AQ78" s="1076">
        <v>0</v>
      </c>
      <c r="AR78" s="1076">
        <v>0</v>
      </c>
      <c r="AS78" s="1076">
        <v>0</v>
      </c>
      <c r="AT78" s="1076">
        <v>0</v>
      </c>
      <c r="AU78" s="1076">
        <v>0</v>
      </c>
      <c r="AV78" s="1076">
        <v>0</v>
      </c>
      <c r="AW78" s="1076">
        <v>0</v>
      </c>
      <c r="AX78" s="868"/>
      <c r="AY78" s="868"/>
      <c r="AZ78" s="868"/>
      <c r="BA78" s="1033"/>
    </row>
    <row r="79" spans="1:53" s="116" customFormat="1" ht="11.25">
      <c r="A79" s="1072">
        <v>1</v>
      </c>
      <c r="B79" s="1082"/>
      <c r="C79" s="1082"/>
      <c r="D79" s="1082"/>
      <c r="E79" s="1082"/>
      <c r="F79" s="1082"/>
      <c r="G79" s="1082"/>
      <c r="H79" s="1082"/>
      <c r="I79" s="1082"/>
      <c r="J79" s="1082"/>
      <c r="K79" s="1082"/>
      <c r="L79" s="1083" t="s">
        <v>167</v>
      </c>
      <c r="M79" s="1084" t="s">
        <v>626</v>
      </c>
      <c r="N79" s="1085" t="s">
        <v>370</v>
      </c>
      <c r="O79" s="1064">
        <v>0</v>
      </c>
      <c r="P79" s="1064">
        <v>2262.0700000000002</v>
      </c>
      <c r="Q79" s="1064">
        <v>1613.5700000000002</v>
      </c>
      <c r="R79" s="1064">
        <v>-648.5</v>
      </c>
      <c r="S79" s="1064">
        <v>2647.12</v>
      </c>
      <c r="T79" s="1064">
        <v>2781.78</v>
      </c>
      <c r="U79" s="1064">
        <v>0</v>
      </c>
      <c r="V79" s="1064">
        <v>0</v>
      </c>
      <c r="W79" s="1064">
        <v>0</v>
      </c>
      <c r="X79" s="1064">
        <v>0</v>
      </c>
      <c r="Y79" s="1064">
        <v>0</v>
      </c>
      <c r="Z79" s="1064">
        <v>0</v>
      </c>
      <c r="AA79" s="1064">
        <v>0</v>
      </c>
      <c r="AB79" s="1064">
        <v>0</v>
      </c>
      <c r="AC79" s="1064">
        <v>0</v>
      </c>
      <c r="AD79" s="1064">
        <v>2766.5800000000004</v>
      </c>
      <c r="AE79" s="1064">
        <v>0</v>
      </c>
      <c r="AF79" s="1064">
        <v>0</v>
      </c>
      <c r="AG79" s="1064">
        <v>0</v>
      </c>
      <c r="AH79" s="1064">
        <v>0</v>
      </c>
      <c r="AI79" s="1064">
        <v>0</v>
      </c>
      <c r="AJ79" s="1064">
        <v>0</v>
      </c>
      <c r="AK79" s="1064">
        <v>0</v>
      </c>
      <c r="AL79" s="1064">
        <v>0</v>
      </c>
      <c r="AM79" s="1064">
        <v>0</v>
      </c>
      <c r="AN79" s="1064">
        <v>4.5128290368400563</v>
      </c>
      <c r="AO79" s="1064">
        <v>-100</v>
      </c>
      <c r="AP79" s="1064">
        <v>0</v>
      </c>
      <c r="AQ79" s="1064">
        <v>0</v>
      </c>
      <c r="AR79" s="1064">
        <v>0</v>
      </c>
      <c r="AS79" s="1064">
        <v>0</v>
      </c>
      <c r="AT79" s="1064">
        <v>0</v>
      </c>
      <c r="AU79" s="1064">
        <v>0</v>
      </c>
      <c r="AV79" s="1064">
        <v>0</v>
      </c>
      <c r="AW79" s="1064">
        <v>0</v>
      </c>
      <c r="AX79" s="1074"/>
      <c r="AY79" s="1074"/>
      <c r="AZ79" s="1074"/>
      <c r="BA79" s="1082"/>
    </row>
    <row r="80" spans="1:53" ht="11.25">
      <c r="A80" s="895">
        <v>1</v>
      </c>
      <c r="B80" s="1033" t="s">
        <v>136</v>
      </c>
      <c r="C80" s="1033"/>
      <c r="D80" s="1033"/>
      <c r="E80" s="1033"/>
      <c r="F80" s="1033"/>
      <c r="G80" s="1033"/>
      <c r="H80" s="1033"/>
      <c r="I80" s="1033"/>
      <c r="J80" s="1033"/>
      <c r="K80" s="1033"/>
      <c r="L80" s="1067" t="s">
        <v>168</v>
      </c>
      <c r="M80" s="1075" t="s">
        <v>627</v>
      </c>
      <c r="N80" s="1069" t="s">
        <v>370</v>
      </c>
      <c r="O80" s="443">
        <v>0</v>
      </c>
      <c r="P80" s="443">
        <v>0</v>
      </c>
      <c r="Q80" s="443">
        <v>0</v>
      </c>
      <c r="R80" s="1076">
        <v>0</v>
      </c>
      <c r="S80" s="443">
        <v>0</v>
      </c>
      <c r="T80" s="443">
        <v>0</v>
      </c>
      <c r="U80" s="443">
        <v>0</v>
      </c>
      <c r="V80" s="443">
        <v>0</v>
      </c>
      <c r="W80" s="443">
        <v>0</v>
      </c>
      <c r="X80" s="443">
        <v>0</v>
      </c>
      <c r="Y80" s="443">
        <v>0</v>
      </c>
      <c r="Z80" s="443">
        <v>0</v>
      </c>
      <c r="AA80" s="443">
        <v>0</v>
      </c>
      <c r="AB80" s="443">
        <v>0</v>
      </c>
      <c r="AC80" s="443">
        <v>0</v>
      </c>
      <c r="AD80" s="443">
        <v>0</v>
      </c>
      <c r="AE80" s="443">
        <v>0</v>
      </c>
      <c r="AF80" s="443">
        <v>0</v>
      </c>
      <c r="AG80" s="443">
        <v>0</v>
      </c>
      <c r="AH80" s="443">
        <v>0</v>
      </c>
      <c r="AI80" s="443">
        <v>0</v>
      </c>
      <c r="AJ80" s="443">
        <v>0</v>
      </c>
      <c r="AK80" s="443">
        <v>0</v>
      </c>
      <c r="AL80" s="443">
        <v>0</v>
      </c>
      <c r="AM80" s="443">
        <v>0</v>
      </c>
      <c r="AN80" s="1076">
        <v>0</v>
      </c>
      <c r="AO80" s="1076">
        <v>0</v>
      </c>
      <c r="AP80" s="1076">
        <v>0</v>
      </c>
      <c r="AQ80" s="1076">
        <v>0</v>
      </c>
      <c r="AR80" s="1076">
        <v>0</v>
      </c>
      <c r="AS80" s="1076">
        <v>0</v>
      </c>
      <c r="AT80" s="1076">
        <v>0</v>
      </c>
      <c r="AU80" s="1076">
        <v>0</v>
      </c>
      <c r="AV80" s="1076">
        <v>0</v>
      </c>
      <c r="AW80" s="1076">
        <v>0</v>
      </c>
      <c r="AX80" s="868"/>
      <c r="AY80" s="868"/>
      <c r="AZ80" s="868"/>
      <c r="BA80" s="1033"/>
    </row>
    <row r="81" spans="1:53" ht="11.25">
      <c r="A81" s="895">
        <v>1</v>
      </c>
      <c r="B81" s="1033" t="s">
        <v>137</v>
      </c>
      <c r="C81" s="1033"/>
      <c r="D81" s="1033"/>
      <c r="E81" s="1033"/>
      <c r="F81" s="1033"/>
      <c r="G81" s="1033"/>
      <c r="H81" s="1033"/>
      <c r="I81" s="1033"/>
      <c r="J81" s="1033"/>
      <c r="K81" s="1033"/>
      <c r="L81" s="1067" t="s">
        <v>628</v>
      </c>
      <c r="M81" s="1075" t="s">
        <v>629</v>
      </c>
      <c r="N81" s="1069" t="s">
        <v>370</v>
      </c>
      <c r="O81" s="443">
        <v>0</v>
      </c>
      <c r="P81" s="443">
        <v>0</v>
      </c>
      <c r="Q81" s="443">
        <v>0</v>
      </c>
      <c r="R81" s="1076">
        <v>0</v>
      </c>
      <c r="S81" s="443">
        <v>0</v>
      </c>
      <c r="T81" s="443">
        <v>0</v>
      </c>
      <c r="U81" s="443">
        <v>0</v>
      </c>
      <c r="V81" s="443">
        <v>0</v>
      </c>
      <c r="W81" s="443">
        <v>0</v>
      </c>
      <c r="X81" s="443">
        <v>0</v>
      </c>
      <c r="Y81" s="443">
        <v>0</v>
      </c>
      <c r="Z81" s="443">
        <v>0</v>
      </c>
      <c r="AA81" s="443">
        <v>0</v>
      </c>
      <c r="AB81" s="443">
        <v>0</v>
      </c>
      <c r="AC81" s="443">
        <v>0</v>
      </c>
      <c r="AD81" s="443">
        <v>0</v>
      </c>
      <c r="AE81" s="443">
        <v>0</v>
      </c>
      <c r="AF81" s="443">
        <v>0</v>
      </c>
      <c r="AG81" s="443">
        <v>0</v>
      </c>
      <c r="AH81" s="443">
        <v>0</v>
      </c>
      <c r="AI81" s="443">
        <v>0</v>
      </c>
      <c r="AJ81" s="443">
        <v>0</v>
      </c>
      <c r="AK81" s="443">
        <v>0</v>
      </c>
      <c r="AL81" s="443">
        <v>0</v>
      </c>
      <c r="AM81" s="443">
        <v>0</v>
      </c>
      <c r="AN81" s="1076">
        <v>0</v>
      </c>
      <c r="AO81" s="1076">
        <v>0</v>
      </c>
      <c r="AP81" s="1076">
        <v>0</v>
      </c>
      <c r="AQ81" s="1076">
        <v>0</v>
      </c>
      <c r="AR81" s="1076">
        <v>0</v>
      </c>
      <c r="AS81" s="1076">
        <v>0</v>
      </c>
      <c r="AT81" s="1076">
        <v>0</v>
      </c>
      <c r="AU81" s="1076">
        <v>0</v>
      </c>
      <c r="AV81" s="1076">
        <v>0</v>
      </c>
      <c r="AW81" s="1076">
        <v>0</v>
      </c>
      <c r="AX81" s="868"/>
      <c r="AY81" s="868"/>
      <c r="AZ81" s="868"/>
      <c r="BA81" s="1033"/>
    </row>
    <row r="82" spans="1:53" ht="11.25">
      <c r="A82" s="895">
        <v>1</v>
      </c>
      <c r="B82" s="1033" t="s">
        <v>431</v>
      </c>
      <c r="C82" s="1033"/>
      <c r="D82" s="1033"/>
      <c r="E82" s="1033"/>
      <c r="F82" s="1033"/>
      <c r="G82" s="1033"/>
      <c r="H82" s="1033"/>
      <c r="I82" s="1033"/>
      <c r="J82" s="1033"/>
      <c r="K82" s="1033"/>
      <c r="L82" s="1067" t="s">
        <v>630</v>
      </c>
      <c r="M82" s="1075" t="s">
        <v>631</v>
      </c>
      <c r="N82" s="1069" t="s">
        <v>370</v>
      </c>
      <c r="O82" s="443">
        <v>0</v>
      </c>
      <c r="P82" s="443">
        <v>5.65</v>
      </c>
      <c r="Q82" s="443">
        <v>5.65</v>
      </c>
      <c r="R82" s="1076">
        <v>0</v>
      </c>
      <c r="S82" s="443">
        <v>6.22</v>
      </c>
      <c r="T82" s="443">
        <v>6.08</v>
      </c>
      <c r="U82" s="443">
        <v>0</v>
      </c>
      <c r="V82" s="443">
        <v>0</v>
      </c>
      <c r="W82" s="443">
        <v>0</v>
      </c>
      <c r="X82" s="443">
        <v>0</v>
      </c>
      <c r="Y82" s="443">
        <v>0</v>
      </c>
      <c r="Z82" s="443">
        <v>0</v>
      </c>
      <c r="AA82" s="443">
        <v>0</v>
      </c>
      <c r="AB82" s="443">
        <v>0</v>
      </c>
      <c r="AC82" s="443">
        <v>0</v>
      </c>
      <c r="AD82" s="443">
        <v>6.08</v>
      </c>
      <c r="AE82" s="443">
        <v>0</v>
      </c>
      <c r="AF82" s="443">
        <v>0</v>
      </c>
      <c r="AG82" s="443">
        <v>0</v>
      </c>
      <c r="AH82" s="443">
        <v>0</v>
      </c>
      <c r="AI82" s="443">
        <v>0</v>
      </c>
      <c r="AJ82" s="443">
        <v>0</v>
      </c>
      <c r="AK82" s="443">
        <v>0</v>
      </c>
      <c r="AL82" s="443">
        <v>0</v>
      </c>
      <c r="AM82" s="443">
        <v>0</v>
      </c>
      <c r="AN82" s="1076">
        <v>-2.2508038585208952</v>
      </c>
      <c r="AO82" s="1076">
        <v>-100</v>
      </c>
      <c r="AP82" s="1076">
        <v>0</v>
      </c>
      <c r="AQ82" s="1076">
        <v>0</v>
      </c>
      <c r="AR82" s="1076">
        <v>0</v>
      </c>
      <c r="AS82" s="1076">
        <v>0</v>
      </c>
      <c r="AT82" s="1076">
        <v>0</v>
      </c>
      <c r="AU82" s="1076">
        <v>0</v>
      </c>
      <c r="AV82" s="1076">
        <v>0</v>
      </c>
      <c r="AW82" s="1076">
        <v>0</v>
      </c>
      <c r="AX82" s="868"/>
      <c r="AY82" s="868"/>
      <c r="AZ82" s="868"/>
      <c r="BA82" s="1033"/>
    </row>
    <row r="83" spans="1:53" ht="11.25">
      <c r="A83" s="895">
        <v>1</v>
      </c>
      <c r="B83" s="1033" t="s">
        <v>432</v>
      </c>
      <c r="C83" s="1033"/>
      <c r="D83" s="1033"/>
      <c r="E83" s="1033"/>
      <c r="F83" s="1033"/>
      <c r="G83" s="1033"/>
      <c r="H83" s="1033"/>
      <c r="I83" s="1033"/>
      <c r="J83" s="1033"/>
      <c r="K83" s="1033"/>
      <c r="L83" s="1067" t="s">
        <v>632</v>
      </c>
      <c r="M83" s="1075" t="s">
        <v>633</v>
      </c>
      <c r="N83" s="1069" t="s">
        <v>370</v>
      </c>
      <c r="O83" s="443">
        <v>0</v>
      </c>
      <c r="P83" s="443">
        <v>1604.66</v>
      </c>
      <c r="Q83" s="443">
        <v>1604.66</v>
      </c>
      <c r="R83" s="1076">
        <v>0</v>
      </c>
      <c r="S83" s="443">
        <v>2141.44</v>
      </c>
      <c r="T83" s="443">
        <v>2548.63</v>
      </c>
      <c r="U83" s="443">
        <v>0</v>
      </c>
      <c r="V83" s="443">
        <v>0</v>
      </c>
      <c r="W83" s="443">
        <v>0</v>
      </c>
      <c r="X83" s="443">
        <v>0</v>
      </c>
      <c r="Y83" s="443">
        <v>0</v>
      </c>
      <c r="Z83" s="443">
        <v>0</v>
      </c>
      <c r="AA83" s="443">
        <v>0</v>
      </c>
      <c r="AB83" s="443">
        <v>0</v>
      </c>
      <c r="AC83" s="443">
        <v>0</v>
      </c>
      <c r="AD83" s="443">
        <v>2548.63</v>
      </c>
      <c r="AE83" s="443">
        <v>0</v>
      </c>
      <c r="AF83" s="443">
        <v>0</v>
      </c>
      <c r="AG83" s="443">
        <v>0</v>
      </c>
      <c r="AH83" s="443">
        <v>0</v>
      </c>
      <c r="AI83" s="443">
        <v>0</v>
      </c>
      <c r="AJ83" s="443">
        <v>0</v>
      </c>
      <c r="AK83" s="443">
        <v>0</v>
      </c>
      <c r="AL83" s="443">
        <v>0</v>
      </c>
      <c r="AM83" s="443">
        <v>0</v>
      </c>
      <c r="AN83" s="1076">
        <v>19.014775104602514</v>
      </c>
      <c r="AO83" s="1076">
        <v>-100</v>
      </c>
      <c r="AP83" s="1076">
        <v>0</v>
      </c>
      <c r="AQ83" s="1076">
        <v>0</v>
      </c>
      <c r="AR83" s="1076">
        <v>0</v>
      </c>
      <c r="AS83" s="1076">
        <v>0</v>
      </c>
      <c r="AT83" s="1076">
        <v>0</v>
      </c>
      <c r="AU83" s="1076">
        <v>0</v>
      </c>
      <c r="AV83" s="1076">
        <v>0</v>
      </c>
      <c r="AW83" s="1076">
        <v>0</v>
      </c>
      <c r="AX83" s="868"/>
      <c r="AY83" s="868"/>
      <c r="AZ83" s="868"/>
      <c r="BA83" s="1033"/>
    </row>
    <row r="84" spans="1:53" ht="11.25">
      <c r="A84" s="895">
        <v>1</v>
      </c>
      <c r="B84" s="1033" t="s">
        <v>433</v>
      </c>
      <c r="C84" s="1033"/>
      <c r="D84" s="1033"/>
      <c r="E84" s="1033"/>
      <c r="F84" s="1033"/>
      <c r="G84" s="1033"/>
      <c r="H84" s="1033"/>
      <c r="I84" s="1033"/>
      <c r="J84" s="1033"/>
      <c r="K84" s="1033"/>
      <c r="L84" s="1067" t="s">
        <v>634</v>
      </c>
      <c r="M84" s="1075" t="s">
        <v>635</v>
      </c>
      <c r="N84" s="1069" t="s">
        <v>370</v>
      </c>
      <c r="O84" s="443">
        <v>0</v>
      </c>
      <c r="P84" s="443">
        <v>0</v>
      </c>
      <c r="Q84" s="443">
        <v>0</v>
      </c>
      <c r="R84" s="1076">
        <v>0</v>
      </c>
      <c r="S84" s="443">
        <v>0</v>
      </c>
      <c r="T84" s="443">
        <v>0</v>
      </c>
      <c r="U84" s="443">
        <v>0</v>
      </c>
      <c r="V84" s="443">
        <v>0</v>
      </c>
      <c r="W84" s="443">
        <v>0</v>
      </c>
      <c r="X84" s="443">
        <v>0</v>
      </c>
      <c r="Y84" s="443">
        <v>0</v>
      </c>
      <c r="Z84" s="443">
        <v>0</v>
      </c>
      <c r="AA84" s="443">
        <v>0</v>
      </c>
      <c r="AB84" s="443">
        <v>0</v>
      </c>
      <c r="AC84" s="443">
        <v>0</v>
      </c>
      <c r="AD84" s="443">
        <v>0</v>
      </c>
      <c r="AE84" s="443">
        <v>0</v>
      </c>
      <c r="AF84" s="443">
        <v>0</v>
      </c>
      <c r="AG84" s="443">
        <v>0</v>
      </c>
      <c r="AH84" s="443">
        <v>0</v>
      </c>
      <c r="AI84" s="443">
        <v>0</v>
      </c>
      <c r="AJ84" s="443">
        <v>0</v>
      </c>
      <c r="AK84" s="443">
        <v>0</v>
      </c>
      <c r="AL84" s="443">
        <v>0</v>
      </c>
      <c r="AM84" s="443">
        <v>0</v>
      </c>
      <c r="AN84" s="1076">
        <v>0</v>
      </c>
      <c r="AO84" s="1076">
        <v>0</v>
      </c>
      <c r="AP84" s="1076">
        <v>0</v>
      </c>
      <c r="AQ84" s="1076">
        <v>0</v>
      </c>
      <c r="AR84" s="1076">
        <v>0</v>
      </c>
      <c r="AS84" s="1076">
        <v>0</v>
      </c>
      <c r="AT84" s="1076">
        <v>0</v>
      </c>
      <c r="AU84" s="1076">
        <v>0</v>
      </c>
      <c r="AV84" s="1076">
        <v>0</v>
      </c>
      <c r="AW84" s="1076">
        <v>0</v>
      </c>
      <c r="AX84" s="868"/>
      <c r="AY84" s="868"/>
      <c r="AZ84" s="868"/>
      <c r="BA84" s="1033"/>
    </row>
    <row r="85" spans="1:53" ht="11.25">
      <c r="A85" s="895">
        <v>1</v>
      </c>
      <c r="B85" s="1033" t="s">
        <v>430</v>
      </c>
      <c r="C85" s="1033"/>
      <c r="D85" s="1033"/>
      <c r="E85" s="1033"/>
      <c r="F85" s="1033"/>
      <c r="G85" s="1033"/>
      <c r="H85" s="1033"/>
      <c r="I85" s="1033"/>
      <c r="J85" s="1033"/>
      <c r="K85" s="1033"/>
      <c r="L85" s="1067" t="s">
        <v>636</v>
      </c>
      <c r="M85" s="1075" t="s">
        <v>637</v>
      </c>
      <c r="N85" s="1069" t="s">
        <v>370</v>
      </c>
      <c r="O85" s="443">
        <v>0</v>
      </c>
      <c r="P85" s="443">
        <v>0</v>
      </c>
      <c r="Q85" s="443">
        <v>0</v>
      </c>
      <c r="R85" s="1076">
        <v>0</v>
      </c>
      <c r="S85" s="443">
        <v>0</v>
      </c>
      <c r="T85" s="443">
        <v>0</v>
      </c>
      <c r="U85" s="443">
        <v>0</v>
      </c>
      <c r="V85" s="443">
        <v>0</v>
      </c>
      <c r="W85" s="443">
        <v>0</v>
      </c>
      <c r="X85" s="443">
        <v>0</v>
      </c>
      <c r="Y85" s="443">
        <v>0</v>
      </c>
      <c r="Z85" s="443">
        <v>0</v>
      </c>
      <c r="AA85" s="443">
        <v>0</v>
      </c>
      <c r="AB85" s="443">
        <v>0</v>
      </c>
      <c r="AC85" s="443">
        <v>0</v>
      </c>
      <c r="AD85" s="443">
        <v>0</v>
      </c>
      <c r="AE85" s="443">
        <v>0</v>
      </c>
      <c r="AF85" s="443">
        <v>0</v>
      </c>
      <c r="AG85" s="443">
        <v>0</v>
      </c>
      <c r="AH85" s="443">
        <v>0</v>
      </c>
      <c r="AI85" s="443">
        <v>0</v>
      </c>
      <c r="AJ85" s="443">
        <v>0</v>
      </c>
      <c r="AK85" s="443">
        <v>0</v>
      </c>
      <c r="AL85" s="443">
        <v>0</v>
      </c>
      <c r="AM85" s="443">
        <v>0</v>
      </c>
      <c r="AN85" s="1076">
        <v>0</v>
      </c>
      <c r="AO85" s="1076">
        <v>0</v>
      </c>
      <c r="AP85" s="1076">
        <v>0</v>
      </c>
      <c r="AQ85" s="1076">
        <v>0</v>
      </c>
      <c r="AR85" s="1076">
        <v>0</v>
      </c>
      <c r="AS85" s="1076">
        <v>0</v>
      </c>
      <c r="AT85" s="1076">
        <v>0</v>
      </c>
      <c r="AU85" s="1076">
        <v>0</v>
      </c>
      <c r="AV85" s="1076">
        <v>0</v>
      </c>
      <c r="AW85" s="1076">
        <v>0</v>
      </c>
      <c r="AX85" s="868"/>
      <c r="AY85" s="868"/>
      <c r="AZ85" s="868"/>
      <c r="BA85" s="1033"/>
    </row>
    <row r="86" spans="1:53" ht="11.25">
      <c r="A86" s="895">
        <v>1</v>
      </c>
      <c r="B86" s="1033" t="s">
        <v>1372</v>
      </c>
      <c r="C86" s="1033"/>
      <c r="D86" s="1033"/>
      <c r="E86" s="1033"/>
      <c r="F86" s="1033"/>
      <c r="G86" s="1033"/>
      <c r="H86" s="1033"/>
      <c r="I86" s="1033"/>
      <c r="J86" s="1033"/>
      <c r="K86" s="1033"/>
      <c r="L86" s="1067" t="s">
        <v>638</v>
      </c>
      <c r="M86" s="1075" t="s">
        <v>639</v>
      </c>
      <c r="N86" s="1069" t="s">
        <v>370</v>
      </c>
      <c r="O86" s="896">
        <v>0</v>
      </c>
      <c r="P86" s="896">
        <v>3.1</v>
      </c>
      <c r="Q86" s="896">
        <v>3.1</v>
      </c>
      <c r="R86" s="1076">
        <v>0</v>
      </c>
      <c r="S86" s="896">
        <v>6.02</v>
      </c>
      <c r="T86" s="896">
        <v>3.61</v>
      </c>
      <c r="U86" s="896">
        <v>0</v>
      </c>
      <c r="V86" s="896">
        <v>0</v>
      </c>
      <c r="W86" s="896">
        <v>0</v>
      </c>
      <c r="X86" s="896">
        <v>0</v>
      </c>
      <c r="Y86" s="896">
        <v>0</v>
      </c>
      <c r="Z86" s="896">
        <v>0</v>
      </c>
      <c r="AA86" s="896">
        <v>0</v>
      </c>
      <c r="AB86" s="896">
        <v>0</v>
      </c>
      <c r="AC86" s="896">
        <v>0</v>
      </c>
      <c r="AD86" s="896">
        <v>3.61</v>
      </c>
      <c r="AE86" s="896">
        <v>0</v>
      </c>
      <c r="AF86" s="896">
        <v>0</v>
      </c>
      <c r="AG86" s="896">
        <v>0</v>
      </c>
      <c r="AH86" s="896">
        <v>0</v>
      </c>
      <c r="AI86" s="896">
        <v>0</v>
      </c>
      <c r="AJ86" s="896">
        <v>0</v>
      </c>
      <c r="AK86" s="896">
        <v>0</v>
      </c>
      <c r="AL86" s="896">
        <v>0</v>
      </c>
      <c r="AM86" s="896">
        <v>0</v>
      </c>
      <c r="AN86" s="1076">
        <v>-40.033222591362119</v>
      </c>
      <c r="AO86" s="1076">
        <v>-100</v>
      </c>
      <c r="AP86" s="1076">
        <v>0</v>
      </c>
      <c r="AQ86" s="1076">
        <v>0</v>
      </c>
      <c r="AR86" s="1076">
        <v>0</v>
      </c>
      <c r="AS86" s="1076">
        <v>0</v>
      </c>
      <c r="AT86" s="1076">
        <v>0</v>
      </c>
      <c r="AU86" s="1076">
        <v>0</v>
      </c>
      <c r="AV86" s="1076">
        <v>0</v>
      </c>
      <c r="AW86" s="1076">
        <v>0</v>
      </c>
      <c r="AX86" s="868"/>
      <c r="AY86" s="868"/>
      <c r="AZ86" s="868"/>
      <c r="BA86" s="1033"/>
    </row>
    <row r="87" spans="1:53" ht="11.25">
      <c r="A87" s="895">
        <v>1</v>
      </c>
      <c r="B87" s="1033" t="s">
        <v>1373</v>
      </c>
      <c r="C87" s="1033"/>
      <c r="D87" s="1033"/>
      <c r="E87" s="1033"/>
      <c r="F87" s="1033"/>
      <c r="G87" s="1033"/>
      <c r="H87" s="1033"/>
      <c r="I87" s="1033"/>
      <c r="J87" s="1033"/>
      <c r="K87" s="1033"/>
      <c r="L87" s="1067" t="s">
        <v>640</v>
      </c>
      <c r="M87" s="1075" t="s">
        <v>641</v>
      </c>
      <c r="N87" s="1069" t="s">
        <v>370</v>
      </c>
      <c r="O87" s="443">
        <v>0</v>
      </c>
      <c r="P87" s="443">
        <v>0</v>
      </c>
      <c r="Q87" s="443">
        <v>0</v>
      </c>
      <c r="R87" s="1076">
        <v>0</v>
      </c>
      <c r="S87" s="443">
        <v>0</v>
      </c>
      <c r="T87" s="443">
        <v>0</v>
      </c>
      <c r="U87" s="443">
        <v>0</v>
      </c>
      <c r="V87" s="443">
        <v>0</v>
      </c>
      <c r="W87" s="443">
        <v>0</v>
      </c>
      <c r="X87" s="443">
        <v>0</v>
      </c>
      <c r="Y87" s="443">
        <v>0</v>
      </c>
      <c r="Z87" s="443">
        <v>0</v>
      </c>
      <c r="AA87" s="443">
        <v>0</v>
      </c>
      <c r="AB87" s="443">
        <v>0</v>
      </c>
      <c r="AC87" s="443">
        <v>0</v>
      </c>
      <c r="AD87" s="443">
        <v>0</v>
      </c>
      <c r="AE87" s="443">
        <v>0</v>
      </c>
      <c r="AF87" s="443">
        <v>0</v>
      </c>
      <c r="AG87" s="443">
        <v>0</v>
      </c>
      <c r="AH87" s="443">
        <v>0</v>
      </c>
      <c r="AI87" s="443">
        <v>0</v>
      </c>
      <c r="AJ87" s="443">
        <v>0</v>
      </c>
      <c r="AK87" s="443">
        <v>0</v>
      </c>
      <c r="AL87" s="443">
        <v>0</v>
      </c>
      <c r="AM87" s="443">
        <v>0</v>
      </c>
      <c r="AN87" s="1076">
        <v>0</v>
      </c>
      <c r="AO87" s="1076">
        <v>0</v>
      </c>
      <c r="AP87" s="1076">
        <v>0</v>
      </c>
      <c r="AQ87" s="1076">
        <v>0</v>
      </c>
      <c r="AR87" s="1076">
        <v>0</v>
      </c>
      <c r="AS87" s="1076">
        <v>0</v>
      </c>
      <c r="AT87" s="1076">
        <v>0</v>
      </c>
      <c r="AU87" s="1076">
        <v>0</v>
      </c>
      <c r="AV87" s="1076">
        <v>0</v>
      </c>
      <c r="AW87" s="1076">
        <v>0</v>
      </c>
      <c r="AX87" s="868"/>
      <c r="AY87" s="868"/>
      <c r="AZ87" s="868"/>
      <c r="BA87" s="1033"/>
    </row>
    <row r="88" spans="1:53" ht="11.25">
      <c r="A88" s="895">
        <v>1</v>
      </c>
      <c r="B88" s="1033" t="s">
        <v>434</v>
      </c>
      <c r="C88" s="1033"/>
      <c r="D88" s="1033"/>
      <c r="E88" s="1033"/>
      <c r="F88" s="1033"/>
      <c r="G88" s="1033"/>
      <c r="H88" s="1033"/>
      <c r="I88" s="1033"/>
      <c r="J88" s="1033"/>
      <c r="K88" s="1033"/>
      <c r="L88" s="1067" t="s">
        <v>642</v>
      </c>
      <c r="M88" s="1075" t="s">
        <v>1163</v>
      </c>
      <c r="N88" s="1069" t="s">
        <v>370</v>
      </c>
      <c r="O88" s="443">
        <v>0</v>
      </c>
      <c r="P88" s="443">
        <v>648.66</v>
      </c>
      <c r="Q88" s="443">
        <v>0.16</v>
      </c>
      <c r="R88" s="1076">
        <v>-648.5</v>
      </c>
      <c r="S88" s="443">
        <v>493.44</v>
      </c>
      <c r="T88" s="443">
        <v>223.46</v>
      </c>
      <c r="U88" s="443">
        <v>0</v>
      </c>
      <c r="V88" s="443">
        <v>0</v>
      </c>
      <c r="W88" s="443">
        <v>0</v>
      </c>
      <c r="X88" s="443">
        <v>0</v>
      </c>
      <c r="Y88" s="443">
        <v>0</v>
      </c>
      <c r="Z88" s="443">
        <v>0</v>
      </c>
      <c r="AA88" s="443">
        <v>0</v>
      </c>
      <c r="AB88" s="443">
        <v>0</v>
      </c>
      <c r="AC88" s="443">
        <v>0</v>
      </c>
      <c r="AD88" s="443">
        <v>208.26000000000002</v>
      </c>
      <c r="AE88" s="443">
        <v>0</v>
      </c>
      <c r="AF88" s="443">
        <v>0</v>
      </c>
      <c r="AG88" s="443">
        <v>0</v>
      </c>
      <c r="AH88" s="443">
        <v>0</v>
      </c>
      <c r="AI88" s="443">
        <v>0</v>
      </c>
      <c r="AJ88" s="443">
        <v>0</v>
      </c>
      <c r="AK88" s="443">
        <v>0</v>
      </c>
      <c r="AL88" s="443">
        <v>0</v>
      </c>
      <c r="AM88" s="443">
        <v>0</v>
      </c>
      <c r="AN88" s="1076">
        <v>-57.794260700389103</v>
      </c>
      <c r="AO88" s="1076">
        <v>-100</v>
      </c>
      <c r="AP88" s="1076">
        <v>0</v>
      </c>
      <c r="AQ88" s="1076">
        <v>0</v>
      </c>
      <c r="AR88" s="1076">
        <v>0</v>
      </c>
      <c r="AS88" s="1076">
        <v>0</v>
      </c>
      <c r="AT88" s="1076">
        <v>0</v>
      </c>
      <c r="AU88" s="1076">
        <v>0</v>
      </c>
      <c r="AV88" s="1076">
        <v>0</v>
      </c>
      <c r="AW88" s="1076">
        <v>0</v>
      </c>
      <c r="AX88" s="868"/>
      <c r="AY88" s="868"/>
      <c r="AZ88" s="868"/>
      <c r="BA88" s="1033"/>
    </row>
    <row r="89" spans="1:53" ht="67.5">
      <c r="A89" s="895">
        <v>1</v>
      </c>
      <c r="B89" s="1033" t="s">
        <v>1396</v>
      </c>
      <c r="C89" s="1033"/>
      <c r="D89" s="1033"/>
      <c r="E89" s="1033"/>
      <c r="F89" s="1033"/>
      <c r="G89" s="1033"/>
      <c r="H89" s="1033"/>
      <c r="I89" s="1033"/>
      <c r="J89" s="1033"/>
      <c r="K89" s="1033"/>
      <c r="L89" s="1067" t="s">
        <v>169</v>
      </c>
      <c r="M89" s="1068" t="s">
        <v>485</v>
      </c>
      <c r="N89" s="1069" t="s">
        <v>370</v>
      </c>
      <c r="O89" s="1087"/>
      <c r="P89" s="1087"/>
      <c r="Q89" s="1087"/>
      <c r="R89" s="1076">
        <v>0</v>
      </c>
      <c r="S89" s="1087"/>
      <c r="T89" s="1087"/>
      <c r="U89" s="1087"/>
      <c r="V89" s="1087"/>
      <c r="W89" s="1087"/>
      <c r="X89" s="1087"/>
      <c r="Y89" s="1087"/>
      <c r="Z89" s="1087"/>
      <c r="AA89" s="1087"/>
      <c r="AB89" s="1087"/>
      <c r="AC89" s="1087"/>
      <c r="AD89" s="1087"/>
      <c r="AE89" s="1087"/>
      <c r="AF89" s="1087"/>
      <c r="AG89" s="1087"/>
      <c r="AH89" s="1087"/>
      <c r="AI89" s="1087"/>
      <c r="AJ89" s="1087"/>
      <c r="AK89" s="1087"/>
      <c r="AL89" s="1087"/>
      <c r="AM89" s="1087"/>
      <c r="AN89" s="1076">
        <v>0</v>
      </c>
      <c r="AO89" s="1076">
        <v>0</v>
      </c>
      <c r="AP89" s="1076">
        <v>0</v>
      </c>
      <c r="AQ89" s="1076">
        <v>0</v>
      </c>
      <c r="AR89" s="1076">
        <v>0</v>
      </c>
      <c r="AS89" s="1076">
        <v>0</v>
      </c>
      <c r="AT89" s="1076">
        <v>0</v>
      </c>
      <c r="AU89" s="1076">
        <v>0</v>
      </c>
      <c r="AV89" s="1076">
        <v>0</v>
      </c>
      <c r="AW89" s="1076">
        <v>0</v>
      </c>
      <c r="AX89" s="868"/>
      <c r="AY89" s="868"/>
      <c r="AZ89" s="868"/>
      <c r="BA89" s="1033"/>
    </row>
    <row r="90" spans="1:53" ht="11.25">
      <c r="A90" s="895">
        <v>1</v>
      </c>
      <c r="B90" s="1033" t="s">
        <v>643</v>
      </c>
      <c r="C90" s="1033"/>
      <c r="D90" s="1033"/>
      <c r="E90" s="1033"/>
      <c r="F90" s="1033"/>
      <c r="G90" s="1033"/>
      <c r="H90" s="1033"/>
      <c r="I90" s="1033"/>
      <c r="J90" s="1033"/>
      <c r="K90" s="1033"/>
      <c r="L90" s="1067" t="s">
        <v>385</v>
      </c>
      <c r="M90" s="1068" t="s">
        <v>643</v>
      </c>
      <c r="N90" s="1069" t="s">
        <v>370</v>
      </c>
      <c r="O90" s="443">
        <v>0</v>
      </c>
      <c r="P90" s="443">
        <v>0</v>
      </c>
      <c r="Q90" s="443">
        <v>0</v>
      </c>
      <c r="R90" s="1076">
        <v>0</v>
      </c>
      <c r="S90" s="443">
        <v>0</v>
      </c>
      <c r="T90" s="443">
        <v>0</v>
      </c>
      <c r="U90" s="443">
        <v>0</v>
      </c>
      <c r="V90" s="443">
        <v>0</v>
      </c>
      <c r="W90" s="443">
        <v>0</v>
      </c>
      <c r="X90" s="443">
        <v>0</v>
      </c>
      <c r="Y90" s="443">
        <v>0</v>
      </c>
      <c r="Z90" s="443">
        <v>0</v>
      </c>
      <c r="AA90" s="443">
        <v>0</v>
      </c>
      <c r="AB90" s="443">
        <v>0</v>
      </c>
      <c r="AC90" s="443">
        <v>0</v>
      </c>
      <c r="AD90" s="443">
        <v>0</v>
      </c>
      <c r="AE90" s="443">
        <v>0</v>
      </c>
      <c r="AF90" s="443">
        <v>0</v>
      </c>
      <c r="AG90" s="443">
        <v>0</v>
      </c>
      <c r="AH90" s="443">
        <v>0</v>
      </c>
      <c r="AI90" s="443">
        <v>0</v>
      </c>
      <c r="AJ90" s="443">
        <v>0</v>
      </c>
      <c r="AK90" s="443">
        <v>0</v>
      </c>
      <c r="AL90" s="443">
        <v>0</v>
      </c>
      <c r="AM90" s="443">
        <v>0</v>
      </c>
      <c r="AN90" s="1076">
        <v>0</v>
      </c>
      <c r="AO90" s="1076">
        <v>0</v>
      </c>
      <c r="AP90" s="1076">
        <v>0</v>
      </c>
      <c r="AQ90" s="1076">
        <v>0</v>
      </c>
      <c r="AR90" s="1076">
        <v>0</v>
      </c>
      <c r="AS90" s="1076">
        <v>0</v>
      </c>
      <c r="AT90" s="1076">
        <v>0</v>
      </c>
      <c r="AU90" s="1076">
        <v>0</v>
      </c>
      <c r="AV90" s="1076">
        <v>0</v>
      </c>
      <c r="AW90" s="1076">
        <v>0</v>
      </c>
      <c r="AX90" s="868"/>
      <c r="AY90" s="868"/>
      <c r="AZ90" s="868"/>
      <c r="BA90" s="1033"/>
    </row>
    <row r="91" spans="1:53" ht="11.25">
      <c r="A91" s="895">
        <v>1</v>
      </c>
      <c r="B91" s="1033"/>
      <c r="C91" s="1033"/>
      <c r="D91" s="1033"/>
      <c r="E91" s="1033"/>
      <c r="F91" s="1033"/>
      <c r="G91" s="1033"/>
      <c r="H91" s="1033"/>
      <c r="I91" s="1033"/>
      <c r="J91" s="1033"/>
      <c r="K91" s="1033"/>
      <c r="L91" s="1067" t="s">
        <v>511</v>
      </c>
      <c r="M91" s="1068" t="s">
        <v>644</v>
      </c>
      <c r="N91" s="1069" t="s">
        <v>370</v>
      </c>
      <c r="O91" s="896"/>
      <c r="P91" s="896"/>
      <c r="Q91" s="896"/>
      <c r="R91" s="1076">
        <v>0</v>
      </c>
      <c r="S91" s="896"/>
      <c r="T91" s="896"/>
      <c r="U91" s="896"/>
      <c r="V91" s="896"/>
      <c r="W91" s="896"/>
      <c r="X91" s="896"/>
      <c r="Y91" s="896"/>
      <c r="Z91" s="896"/>
      <c r="AA91" s="896"/>
      <c r="AB91" s="896"/>
      <c r="AC91" s="896"/>
      <c r="AD91" s="896"/>
      <c r="AE91" s="896"/>
      <c r="AF91" s="896"/>
      <c r="AG91" s="896"/>
      <c r="AH91" s="896"/>
      <c r="AI91" s="896"/>
      <c r="AJ91" s="896"/>
      <c r="AK91" s="896"/>
      <c r="AL91" s="896"/>
      <c r="AM91" s="896"/>
      <c r="AN91" s="1076">
        <v>0</v>
      </c>
      <c r="AO91" s="1076">
        <v>0</v>
      </c>
      <c r="AP91" s="1076">
        <v>0</v>
      </c>
      <c r="AQ91" s="1076">
        <v>0</v>
      </c>
      <c r="AR91" s="1076">
        <v>0</v>
      </c>
      <c r="AS91" s="1076">
        <v>0</v>
      </c>
      <c r="AT91" s="1076">
        <v>0</v>
      </c>
      <c r="AU91" s="1076">
        <v>0</v>
      </c>
      <c r="AV91" s="1076">
        <v>0</v>
      </c>
      <c r="AW91" s="1076">
        <v>0</v>
      </c>
      <c r="AX91" s="868"/>
      <c r="AY91" s="868"/>
      <c r="AZ91" s="868"/>
      <c r="BA91" s="1033"/>
    </row>
    <row r="92" spans="1:53" ht="11.25">
      <c r="A92" s="895">
        <v>1</v>
      </c>
      <c r="B92" s="1033" t="s">
        <v>646</v>
      </c>
      <c r="C92" s="1033"/>
      <c r="D92" s="1033"/>
      <c r="E92" s="1033"/>
      <c r="F92" s="1033"/>
      <c r="G92" s="1033"/>
      <c r="H92" s="1033"/>
      <c r="I92" s="1033"/>
      <c r="J92" s="1033"/>
      <c r="K92" s="1033"/>
      <c r="L92" s="1067" t="s">
        <v>645</v>
      </c>
      <c r="M92" s="1075" t="s">
        <v>646</v>
      </c>
      <c r="N92" s="1069" t="s">
        <v>370</v>
      </c>
      <c r="O92" s="896"/>
      <c r="P92" s="896"/>
      <c r="Q92" s="896"/>
      <c r="R92" s="1076">
        <v>0</v>
      </c>
      <c r="S92" s="896"/>
      <c r="T92" s="896"/>
      <c r="U92" s="896"/>
      <c r="V92" s="896"/>
      <c r="W92" s="896"/>
      <c r="X92" s="896"/>
      <c r="Y92" s="896"/>
      <c r="Z92" s="896"/>
      <c r="AA92" s="896"/>
      <c r="AB92" s="896"/>
      <c r="AC92" s="896"/>
      <c r="AD92" s="896"/>
      <c r="AE92" s="896"/>
      <c r="AF92" s="896"/>
      <c r="AG92" s="896"/>
      <c r="AH92" s="896"/>
      <c r="AI92" s="896"/>
      <c r="AJ92" s="896"/>
      <c r="AK92" s="896"/>
      <c r="AL92" s="896"/>
      <c r="AM92" s="896"/>
      <c r="AN92" s="1076">
        <v>0</v>
      </c>
      <c r="AO92" s="1076">
        <v>0</v>
      </c>
      <c r="AP92" s="1076">
        <v>0</v>
      </c>
      <c r="AQ92" s="1076">
        <v>0</v>
      </c>
      <c r="AR92" s="1076">
        <v>0</v>
      </c>
      <c r="AS92" s="1076">
        <v>0</v>
      </c>
      <c r="AT92" s="1076">
        <v>0</v>
      </c>
      <c r="AU92" s="1076">
        <v>0</v>
      </c>
      <c r="AV92" s="1076">
        <v>0</v>
      </c>
      <c r="AW92" s="1076">
        <v>0</v>
      </c>
      <c r="AX92" s="868"/>
      <c r="AY92" s="868"/>
      <c r="AZ92" s="868"/>
      <c r="BA92" s="1033"/>
    </row>
    <row r="93" spans="1:53" ht="11.25">
      <c r="A93" s="895">
        <v>1</v>
      </c>
      <c r="B93" s="1033" t="s">
        <v>647</v>
      </c>
      <c r="C93" s="1033"/>
      <c r="D93" s="1033"/>
      <c r="E93" s="1033"/>
      <c r="F93" s="1033"/>
      <c r="G93" s="1033"/>
      <c r="H93" s="1033"/>
      <c r="I93" s="1033"/>
      <c r="J93" s="1033"/>
      <c r="K93" s="1033"/>
      <c r="L93" s="1067" t="s">
        <v>513</v>
      </c>
      <c r="M93" s="1068" t="s">
        <v>647</v>
      </c>
      <c r="N93" s="1069" t="s">
        <v>370</v>
      </c>
      <c r="O93" s="896"/>
      <c r="P93" s="896"/>
      <c r="Q93" s="896"/>
      <c r="R93" s="1076">
        <v>0</v>
      </c>
      <c r="S93" s="896"/>
      <c r="T93" s="896">
        <v>0</v>
      </c>
      <c r="U93" s="896">
        <v>0</v>
      </c>
      <c r="V93" s="896">
        <v>0</v>
      </c>
      <c r="W93" s="896">
        <v>0</v>
      </c>
      <c r="X93" s="896">
        <v>0</v>
      </c>
      <c r="Y93" s="896">
        <v>0</v>
      </c>
      <c r="Z93" s="896">
        <v>0</v>
      </c>
      <c r="AA93" s="896">
        <v>0</v>
      </c>
      <c r="AB93" s="896">
        <v>0</v>
      </c>
      <c r="AC93" s="896">
        <v>0</v>
      </c>
      <c r="AD93" s="896">
        <v>0</v>
      </c>
      <c r="AE93" s="896">
        <v>0</v>
      </c>
      <c r="AF93" s="896">
        <v>0</v>
      </c>
      <c r="AG93" s="896">
        <v>0</v>
      </c>
      <c r="AH93" s="896">
        <v>0</v>
      </c>
      <c r="AI93" s="896">
        <v>0</v>
      </c>
      <c r="AJ93" s="896">
        <v>0</v>
      </c>
      <c r="AK93" s="896">
        <v>0</v>
      </c>
      <c r="AL93" s="896">
        <v>0</v>
      </c>
      <c r="AM93" s="896">
        <v>0</v>
      </c>
      <c r="AN93" s="1076">
        <v>0</v>
      </c>
      <c r="AO93" s="1076">
        <v>0</v>
      </c>
      <c r="AP93" s="1076">
        <v>0</v>
      </c>
      <c r="AQ93" s="1076">
        <v>0</v>
      </c>
      <c r="AR93" s="1076">
        <v>0</v>
      </c>
      <c r="AS93" s="1076">
        <v>0</v>
      </c>
      <c r="AT93" s="1076">
        <v>0</v>
      </c>
      <c r="AU93" s="1076">
        <v>0</v>
      </c>
      <c r="AV93" s="1076">
        <v>0</v>
      </c>
      <c r="AW93" s="1076">
        <v>0</v>
      </c>
      <c r="AX93" s="868"/>
      <c r="AY93" s="868"/>
      <c r="AZ93" s="868"/>
      <c r="BA93" s="1033"/>
    </row>
    <row r="94" spans="1:53" ht="11.25">
      <c r="A94" s="895">
        <v>1</v>
      </c>
      <c r="B94" s="1033" t="s">
        <v>648</v>
      </c>
      <c r="C94" s="1033"/>
      <c r="D94" s="1033"/>
      <c r="E94" s="1033"/>
      <c r="F94" s="1033"/>
      <c r="G94" s="1033"/>
      <c r="H94" s="1033"/>
      <c r="I94" s="1033"/>
      <c r="J94" s="1033"/>
      <c r="K94" s="1033"/>
      <c r="L94" s="1067" t="s">
        <v>516</v>
      </c>
      <c r="M94" s="1068" t="s">
        <v>648</v>
      </c>
      <c r="N94" s="1069" t="s">
        <v>370</v>
      </c>
      <c r="O94" s="896"/>
      <c r="P94" s="896"/>
      <c r="Q94" s="896"/>
      <c r="R94" s="1076">
        <v>0</v>
      </c>
      <c r="S94" s="896"/>
      <c r="T94" s="896"/>
      <c r="U94" s="896"/>
      <c r="V94" s="896"/>
      <c r="W94" s="896"/>
      <c r="X94" s="896"/>
      <c r="Y94" s="896"/>
      <c r="Z94" s="896"/>
      <c r="AA94" s="896"/>
      <c r="AB94" s="896"/>
      <c r="AC94" s="896"/>
      <c r="AD94" s="896"/>
      <c r="AE94" s="896"/>
      <c r="AF94" s="896"/>
      <c r="AG94" s="896"/>
      <c r="AH94" s="896"/>
      <c r="AI94" s="896"/>
      <c r="AJ94" s="896"/>
      <c r="AK94" s="896"/>
      <c r="AL94" s="896"/>
      <c r="AM94" s="896"/>
      <c r="AN94" s="1076">
        <v>0</v>
      </c>
      <c r="AO94" s="1076">
        <v>0</v>
      </c>
      <c r="AP94" s="1076">
        <v>0</v>
      </c>
      <c r="AQ94" s="1076">
        <v>0</v>
      </c>
      <c r="AR94" s="1076">
        <v>0</v>
      </c>
      <c r="AS94" s="1076">
        <v>0</v>
      </c>
      <c r="AT94" s="1076">
        <v>0</v>
      </c>
      <c r="AU94" s="1076">
        <v>0</v>
      </c>
      <c r="AV94" s="1076">
        <v>0</v>
      </c>
      <c r="AW94" s="1076">
        <v>0</v>
      </c>
      <c r="AX94" s="868"/>
      <c r="AY94" s="868"/>
      <c r="AZ94" s="868"/>
      <c r="BA94" s="1033"/>
    </row>
    <row r="95" spans="1:53" ht="11.25">
      <c r="A95" s="895">
        <v>1</v>
      </c>
      <c r="B95" s="1033" t="s">
        <v>649</v>
      </c>
      <c r="C95" s="1033"/>
      <c r="D95" s="1033"/>
      <c r="E95" s="1033"/>
      <c r="F95" s="1033"/>
      <c r="G95" s="1033"/>
      <c r="H95" s="1033"/>
      <c r="I95" s="1033"/>
      <c r="J95" s="1033"/>
      <c r="K95" s="1033"/>
      <c r="L95" s="1067" t="s">
        <v>519</v>
      </c>
      <c r="M95" s="1068" t="s">
        <v>649</v>
      </c>
      <c r="N95" s="1069" t="s">
        <v>370</v>
      </c>
      <c r="O95" s="896"/>
      <c r="P95" s="896"/>
      <c r="Q95" s="896"/>
      <c r="R95" s="1076">
        <v>0</v>
      </c>
      <c r="S95" s="896"/>
      <c r="T95" s="896"/>
      <c r="U95" s="896"/>
      <c r="V95" s="896"/>
      <c r="W95" s="896"/>
      <c r="X95" s="896"/>
      <c r="Y95" s="896"/>
      <c r="Z95" s="896"/>
      <c r="AA95" s="896"/>
      <c r="AB95" s="896"/>
      <c r="AC95" s="896"/>
      <c r="AD95" s="896"/>
      <c r="AE95" s="896"/>
      <c r="AF95" s="896"/>
      <c r="AG95" s="896"/>
      <c r="AH95" s="896"/>
      <c r="AI95" s="896"/>
      <c r="AJ95" s="896"/>
      <c r="AK95" s="896"/>
      <c r="AL95" s="896"/>
      <c r="AM95" s="896"/>
      <c r="AN95" s="1076">
        <v>0</v>
      </c>
      <c r="AO95" s="1076">
        <v>0</v>
      </c>
      <c r="AP95" s="1076">
        <v>0</v>
      </c>
      <c r="AQ95" s="1076">
        <v>0</v>
      </c>
      <c r="AR95" s="1076">
        <v>0</v>
      </c>
      <c r="AS95" s="1076">
        <v>0</v>
      </c>
      <c r="AT95" s="1076">
        <v>0</v>
      </c>
      <c r="AU95" s="1076">
        <v>0</v>
      </c>
      <c r="AV95" s="1076">
        <v>0</v>
      </c>
      <c r="AW95" s="1076">
        <v>0</v>
      </c>
      <c r="AX95" s="868"/>
      <c r="AY95" s="868"/>
      <c r="AZ95" s="868"/>
      <c r="BA95" s="1033"/>
    </row>
    <row r="96" spans="1:53" ht="11.25">
      <c r="A96" s="895">
        <v>1</v>
      </c>
      <c r="B96" s="1033" t="s">
        <v>651</v>
      </c>
      <c r="C96" s="1033"/>
      <c r="D96" s="1033"/>
      <c r="E96" s="1033"/>
      <c r="F96" s="1033"/>
      <c r="G96" s="1033"/>
      <c r="H96" s="1033"/>
      <c r="I96" s="1033"/>
      <c r="J96" s="1033"/>
      <c r="K96" s="1033"/>
      <c r="L96" s="1067" t="s">
        <v>650</v>
      </c>
      <c r="M96" s="1068" t="s">
        <v>651</v>
      </c>
      <c r="N96" s="1069" t="s">
        <v>370</v>
      </c>
      <c r="O96" s="1076">
        <v>0</v>
      </c>
      <c r="P96" s="1076">
        <v>0</v>
      </c>
      <c r="Q96" s="1076">
        <v>0</v>
      </c>
      <c r="R96" s="1076">
        <v>0</v>
      </c>
      <c r="S96" s="1076">
        <v>0</v>
      </c>
      <c r="T96" s="1076">
        <v>0</v>
      </c>
      <c r="U96" s="1076">
        <v>0</v>
      </c>
      <c r="V96" s="1076">
        <v>0</v>
      </c>
      <c r="W96" s="1076">
        <v>0</v>
      </c>
      <c r="X96" s="1076">
        <v>0</v>
      </c>
      <c r="Y96" s="1076">
        <v>0</v>
      </c>
      <c r="Z96" s="1076">
        <v>0</v>
      </c>
      <c r="AA96" s="1076">
        <v>0</v>
      </c>
      <c r="AB96" s="1076">
        <v>0</v>
      </c>
      <c r="AC96" s="1076">
        <v>0</v>
      </c>
      <c r="AD96" s="1076">
        <v>0</v>
      </c>
      <c r="AE96" s="1076">
        <v>0</v>
      </c>
      <c r="AF96" s="1076">
        <v>0</v>
      </c>
      <c r="AG96" s="1076">
        <v>0</v>
      </c>
      <c r="AH96" s="1076">
        <v>0</v>
      </c>
      <c r="AI96" s="1076">
        <v>0</v>
      </c>
      <c r="AJ96" s="1076">
        <v>0</v>
      </c>
      <c r="AK96" s="1076">
        <v>0</v>
      </c>
      <c r="AL96" s="1076">
        <v>0</v>
      </c>
      <c r="AM96" s="1076">
        <v>0</v>
      </c>
      <c r="AN96" s="1076">
        <v>0</v>
      </c>
      <c r="AO96" s="1076">
        <v>0</v>
      </c>
      <c r="AP96" s="1076">
        <v>0</v>
      </c>
      <c r="AQ96" s="1076">
        <v>0</v>
      </c>
      <c r="AR96" s="1076">
        <v>0</v>
      </c>
      <c r="AS96" s="1076">
        <v>0</v>
      </c>
      <c r="AT96" s="1076">
        <v>0</v>
      </c>
      <c r="AU96" s="1076">
        <v>0</v>
      </c>
      <c r="AV96" s="1076">
        <v>0</v>
      </c>
      <c r="AW96" s="1076">
        <v>0</v>
      </c>
      <c r="AX96" s="868"/>
      <c r="AY96" s="868"/>
      <c r="AZ96" s="868"/>
      <c r="BA96" s="1033"/>
    </row>
    <row r="97" spans="1:53" ht="11.25">
      <c r="A97" s="895">
        <v>1</v>
      </c>
      <c r="B97" s="1033"/>
      <c r="C97" s="1033"/>
      <c r="D97" s="1033"/>
      <c r="E97" s="1033"/>
      <c r="F97" s="1033"/>
      <c r="G97" s="1033"/>
      <c r="H97" s="1033"/>
      <c r="I97" s="1033"/>
      <c r="J97" s="1033"/>
      <c r="K97" s="1033"/>
      <c r="L97" s="1067" t="s">
        <v>652</v>
      </c>
      <c r="M97" s="1075" t="s">
        <v>653</v>
      </c>
      <c r="N97" s="1069" t="s">
        <v>370</v>
      </c>
      <c r="O97" s="896"/>
      <c r="P97" s="896"/>
      <c r="Q97" s="896"/>
      <c r="R97" s="1076">
        <v>0</v>
      </c>
      <c r="S97" s="896"/>
      <c r="T97" s="896"/>
      <c r="U97" s="896"/>
      <c r="V97" s="896"/>
      <c r="W97" s="896"/>
      <c r="X97" s="896"/>
      <c r="Y97" s="896"/>
      <c r="Z97" s="896"/>
      <c r="AA97" s="896"/>
      <c r="AB97" s="896"/>
      <c r="AC97" s="896"/>
      <c r="AD97" s="896"/>
      <c r="AE97" s="896"/>
      <c r="AF97" s="896"/>
      <c r="AG97" s="896"/>
      <c r="AH97" s="896"/>
      <c r="AI97" s="896"/>
      <c r="AJ97" s="896"/>
      <c r="AK97" s="896"/>
      <c r="AL97" s="896"/>
      <c r="AM97" s="896"/>
      <c r="AN97" s="1076">
        <v>0</v>
      </c>
      <c r="AO97" s="1076">
        <v>0</v>
      </c>
      <c r="AP97" s="1076">
        <v>0</v>
      </c>
      <c r="AQ97" s="1076">
        <v>0</v>
      </c>
      <c r="AR97" s="1076">
        <v>0</v>
      </c>
      <c r="AS97" s="1076">
        <v>0</v>
      </c>
      <c r="AT97" s="1076">
        <v>0</v>
      </c>
      <c r="AU97" s="1076">
        <v>0</v>
      </c>
      <c r="AV97" s="1076">
        <v>0</v>
      </c>
      <c r="AW97" s="1076">
        <v>0</v>
      </c>
      <c r="AX97" s="868"/>
      <c r="AY97" s="868"/>
      <c r="AZ97" s="868"/>
      <c r="BA97" s="1033"/>
    </row>
    <row r="98" spans="1:53" ht="11.25">
      <c r="A98" s="895">
        <v>1</v>
      </c>
      <c r="B98" s="1033"/>
      <c r="C98" s="1033"/>
      <c r="D98" s="1033"/>
      <c r="E98" s="1033"/>
      <c r="F98" s="1033"/>
      <c r="G98" s="1033"/>
      <c r="H98" s="1033"/>
      <c r="I98" s="1033"/>
      <c r="J98" s="1033"/>
      <c r="K98" s="1033"/>
      <c r="L98" s="1067" t="s">
        <v>654</v>
      </c>
      <c r="M98" s="1075" t="s">
        <v>655</v>
      </c>
      <c r="N98" s="1069" t="s">
        <v>370</v>
      </c>
      <c r="O98" s="896"/>
      <c r="P98" s="896"/>
      <c r="Q98" s="896"/>
      <c r="R98" s="1076">
        <v>0</v>
      </c>
      <c r="S98" s="896"/>
      <c r="T98" s="896"/>
      <c r="U98" s="896"/>
      <c r="V98" s="896"/>
      <c r="W98" s="896"/>
      <c r="X98" s="896"/>
      <c r="Y98" s="896"/>
      <c r="Z98" s="896"/>
      <c r="AA98" s="896"/>
      <c r="AB98" s="896"/>
      <c r="AC98" s="896"/>
      <c r="AD98" s="896"/>
      <c r="AE98" s="896"/>
      <c r="AF98" s="896"/>
      <c r="AG98" s="896"/>
      <c r="AH98" s="896"/>
      <c r="AI98" s="896"/>
      <c r="AJ98" s="896"/>
      <c r="AK98" s="896"/>
      <c r="AL98" s="896"/>
      <c r="AM98" s="896"/>
      <c r="AN98" s="1076">
        <v>0</v>
      </c>
      <c r="AO98" s="1076">
        <v>0</v>
      </c>
      <c r="AP98" s="1076">
        <v>0</v>
      </c>
      <c r="AQ98" s="1076">
        <v>0</v>
      </c>
      <c r="AR98" s="1076">
        <v>0</v>
      </c>
      <c r="AS98" s="1076">
        <v>0</v>
      </c>
      <c r="AT98" s="1076">
        <v>0</v>
      </c>
      <c r="AU98" s="1076">
        <v>0</v>
      </c>
      <c r="AV98" s="1076">
        <v>0</v>
      </c>
      <c r="AW98" s="1076">
        <v>0</v>
      </c>
      <c r="AX98" s="868"/>
      <c r="AY98" s="868"/>
      <c r="AZ98" s="868"/>
      <c r="BA98" s="1033"/>
    </row>
    <row r="99" spans="1:53" ht="22.5">
      <c r="A99" s="895">
        <v>1</v>
      </c>
      <c r="B99" s="1033" t="s">
        <v>1397</v>
      </c>
      <c r="C99" s="1033"/>
      <c r="D99" s="1033"/>
      <c r="E99" s="1033"/>
      <c r="F99" s="1033"/>
      <c r="G99" s="1033"/>
      <c r="H99" s="1033"/>
      <c r="I99" s="1033"/>
      <c r="J99" s="1033"/>
      <c r="K99" s="1033"/>
      <c r="L99" s="1067" t="s">
        <v>656</v>
      </c>
      <c r="M99" s="1068" t="s">
        <v>657</v>
      </c>
      <c r="N99" s="1069" t="s">
        <v>370</v>
      </c>
      <c r="O99" s="896"/>
      <c r="P99" s="896"/>
      <c r="Q99" s="896"/>
      <c r="R99" s="1076">
        <v>0</v>
      </c>
      <c r="S99" s="896"/>
      <c r="T99" s="896"/>
      <c r="U99" s="896"/>
      <c r="V99" s="896"/>
      <c r="W99" s="896"/>
      <c r="X99" s="896"/>
      <c r="Y99" s="896"/>
      <c r="Z99" s="896"/>
      <c r="AA99" s="896"/>
      <c r="AB99" s="896"/>
      <c r="AC99" s="896"/>
      <c r="AD99" s="896"/>
      <c r="AE99" s="896"/>
      <c r="AF99" s="896"/>
      <c r="AG99" s="896"/>
      <c r="AH99" s="896"/>
      <c r="AI99" s="896"/>
      <c r="AJ99" s="896"/>
      <c r="AK99" s="896"/>
      <c r="AL99" s="896"/>
      <c r="AM99" s="896"/>
      <c r="AN99" s="1076">
        <v>0</v>
      </c>
      <c r="AO99" s="1076">
        <v>0</v>
      </c>
      <c r="AP99" s="1076">
        <v>0</v>
      </c>
      <c r="AQ99" s="1076">
        <v>0</v>
      </c>
      <c r="AR99" s="1076">
        <v>0</v>
      </c>
      <c r="AS99" s="1076">
        <v>0</v>
      </c>
      <c r="AT99" s="1076">
        <v>0</v>
      </c>
      <c r="AU99" s="1076">
        <v>0</v>
      </c>
      <c r="AV99" s="1076">
        <v>0</v>
      </c>
      <c r="AW99" s="1076">
        <v>0</v>
      </c>
      <c r="AX99" s="868"/>
      <c r="AY99" s="868"/>
      <c r="AZ99" s="868"/>
      <c r="BA99" s="1033"/>
    </row>
    <row r="100" spans="1:53" s="116" customFormat="1" ht="11.25">
      <c r="A100" s="895">
        <v>1</v>
      </c>
      <c r="B100" s="1033" t="s">
        <v>1105</v>
      </c>
      <c r="C100" s="1082"/>
      <c r="D100" s="1082"/>
      <c r="E100" s="1082"/>
      <c r="F100" s="1082"/>
      <c r="G100" s="1082"/>
      <c r="H100" s="1082"/>
      <c r="I100" s="1082"/>
      <c r="J100" s="1082"/>
      <c r="K100" s="1082"/>
      <c r="L100" s="1083" t="s">
        <v>103</v>
      </c>
      <c r="M100" s="1062" t="s">
        <v>658</v>
      </c>
      <c r="N100" s="1085" t="s">
        <v>370</v>
      </c>
      <c r="O100" s="537">
        <v>0</v>
      </c>
      <c r="P100" s="537">
        <v>5298.89</v>
      </c>
      <c r="Q100" s="537">
        <v>3699.6</v>
      </c>
      <c r="R100" s="1064">
        <v>-1599.2900000000004</v>
      </c>
      <c r="S100" s="537">
        <v>11554.04</v>
      </c>
      <c r="T100" s="537">
        <v>6287.77</v>
      </c>
      <c r="U100" s="537">
        <v>0</v>
      </c>
      <c r="V100" s="537">
        <v>0</v>
      </c>
      <c r="W100" s="537">
        <v>0</v>
      </c>
      <c r="X100" s="537">
        <v>0</v>
      </c>
      <c r="Y100" s="537">
        <v>0</v>
      </c>
      <c r="Z100" s="537">
        <v>0</v>
      </c>
      <c r="AA100" s="537">
        <v>0</v>
      </c>
      <c r="AB100" s="537">
        <v>0</v>
      </c>
      <c r="AC100" s="537">
        <v>0</v>
      </c>
      <c r="AD100" s="537">
        <v>6253.01</v>
      </c>
      <c r="AE100" s="537">
        <v>12016.201600000002</v>
      </c>
      <c r="AF100" s="537">
        <v>12496.849664000003</v>
      </c>
      <c r="AG100" s="537">
        <v>12996.723650560003</v>
      </c>
      <c r="AH100" s="537">
        <v>0</v>
      </c>
      <c r="AI100" s="537">
        <v>0</v>
      </c>
      <c r="AJ100" s="537">
        <v>0</v>
      </c>
      <c r="AK100" s="537">
        <v>0</v>
      </c>
      <c r="AL100" s="537">
        <v>0</v>
      </c>
      <c r="AM100" s="537">
        <v>0</v>
      </c>
      <c r="AN100" s="1064">
        <v>-45.880315456757984</v>
      </c>
      <c r="AO100" s="1064">
        <v>92.166678127813668</v>
      </c>
      <c r="AP100" s="1064">
        <v>4.0000000000000062</v>
      </c>
      <c r="AQ100" s="1064">
        <v>3.9999999999999996</v>
      </c>
      <c r="AR100" s="1064">
        <v>-100</v>
      </c>
      <c r="AS100" s="1064">
        <v>0</v>
      </c>
      <c r="AT100" s="1064">
        <v>0</v>
      </c>
      <c r="AU100" s="1064">
        <v>0</v>
      </c>
      <c r="AV100" s="1064">
        <v>0</v>
      </c>
      <c r="AW100" s="1064">
        <v>0</v>
      </c>
      <c r="AX100" s="868"/>
      <c r="AY100" s="868"/>
      <c r="AZ100" s="868"/>
      <c r="BA100" s="1082"/>
    </row>
    <row r="101" spans="1:53" s="116" customFormat="1" ht="22.5">
      <c r="A101" s="895">
        <v>1</v>
      </c>
      <c r="B101" s="1033" t="s">
        <v>1106</v>
      </c>
      <c r="C101" s="1082"/>
      <c r="D101" s="1082"/>
      <c r="E101" s="1082"/>
      <c r="F101" s="1082"/>
      <c r="G101" s="1082"/>
      <c r="H101" s="1082"/>
      <c r="I101" s="1082"/>
      <c r="J101" s="1082"/>
      <c r="K101" s="1082"/>
      <c r="L101" s="1083" t="s">
        <v>104</v>
      </c>
      <c r="M101" s="1062" t="s">
        <v>659</v>
      </c>
      <c r="N101" s="1085" t="s">
        <v>370</v>
      </c>
      <c r="O101" s="537">
        <v>0</v>
      </c>
      <c r="P101" s="537">
        <v>240.9</v>
      </c>
      <c r="Q101" s="537">
        <v>240.9</v>
      </c>
      <c r="R101" s="1064">
        <v>0</v>
      </c>
      <c r="S101" s="537">
        <v>235.85999999999999</v>
      </c>
      <c r="T101" s="537">
        <v>263.63</v>
      </c>
      <c r="U101" s="537">
        <v>0</v>
      </c>
      <c r="V101" s="537">
        <v>0</v>
      </c>
      <c r="W101" s="537">
        <v>0</v>
      </c>
      <c r="X101" s="537">
        <v>0</v>
      </c>
      <c r="Y101" s="537">
        <v>0</v>
      </c>
      <c r="Z101" s="537">
        <v>0</v>
      </c>
      <c r="AA101" s="537">
        <v>0</v>
      </c>
      <c r="AB101" s="537">
        <v>0</v>
      </c>
      <c r="AC101" s="537">
        <v>0</v>
      </c>
      <c r="AD101" s="537">
        <v>263.63</v>
      </c>
      <c r="AE101" s="537">
        <v>0</v>
      </c>
      <c r="AF101" s="537">
        <v>0</v>
      </c>
      <c r="AG101" s="537">
        <v>0</v>
      </c>
      <c r="AH101" s="537">
        <v>0</v>
      </c>
      <c r="AI101" s="537">
        <v>0</v>
      </c>
      <c r="AJ101" s="537">
        <v>0</v>
      </c>
      <c r="AK101" s="537">
        <v>0</v>
      </c>
      <c r="AL101" s="537">
        <v>0</v>
      </c>
      <c r="AM101" s="537">
        <v>0</v>
      </c>
      <c r="AN101" s="1064">
        <v>11.773933689476813</v>
      </c>
      <c r="AO101" s="1064">
        <v>-100</v>
      </c>
      <c r="AP101" s="1064">
        <v>0</v>
      </c>
      <c r="AQ101" s="1064">
        <v>0</v>
      </c>
      <c r="AR101" s="1064">
        <v>0</v>
      </c>
      <c r="AS101" s="1064">
        <v>0</v>
      </c>
      <c r="AT101" s="1064">
        <v>0</v>
      </c>
      <c r="AU101" s="1064">
        <v>0</v>
      </c>
      <c r="AV101" s="1064">
        <v>0</v>
      </c>
      <c r="AW101" s="1064">
        <v>0</v>
      </c>
      <c r="AX101" s="868"/>
      <c r="AY101" s="868"/>
      <c r="AZ101" s="868"/>
      <c r="BA101" s="1082"/>
    </row>
    <row r="102" spans="1:53" ht="11.25">
      <c r="A102" s="895">
        <v>1</v>
      </c>
      <c r="B102" s="1033"/>
      <c r="C102" s="1033"/>
      <c r="D102" s="1033"/>
      <c r="E102" s="1033"/>
      <c r="F102" s="1033"/>
      <c r="G102" s="1033"/>
      <c r="H102" s="1033"/>
      <c r="I102" s="1033"/>
      <c r="J102" s="1033"/>
      <c r="K102" s="1033"/>
      <c r="L102" s="1067" t="s">
        <v>148</v>
      </c>
      <c r="M102" s="1088" t="s">
        <v>1239</v>
      </c>
      <c r="N102" s="1069" t="s">
        <v>370</v>
      </c>
      <c r="O102" s="896">
        <v>0</v>
      </c>
      <c r="P102" s="896">
        <v>0</v>
      </c>
      <c r="Q102" s="896">
        <v>0</v>
      </c>
      <c r="R102" s="1076">
        <v>0</v>
      </c>
      <c r="S102" s="896">
        <v>0</v>
      </c>
      <c r="T102" s="896">
        <v>0</v>
      </c>
      <c r="U102" s="896">
        <v>0</v>
      </c>
      <c r="V102" s="896">
        <v>0</v>
      </c>
      <c r="W102" s="896">
        <v>0</v>
      </c>
      <c r="X102" s="896">
        <v>0</v>
      </c>
      <c r="Y102" s="896">
        <v>0</v>
      </c>
      <c r="Z102" s="896">
        <v>0</v>
      </c>
      <c r="AA102" s="896">
        <v>0</v>
      </c>
      <c r="AB102" s="896">
        <v>0</v>
      </c>
      <c r="AC102" s="896">
        <v>0</v>
      </c>
      <c r="AD102" s="896">
        <v>0</v>
      </c>
      <c r="AE102" s="896">
        <v>0</v>
      </c>
      <c r="AF102" s="896">
        <v>0</v>
      </c>
      <c r="AG102" s="896">
        <v>0</v>
      </c>
      <c r="AH102" s="896">
        <v>0</v>
      </c>
      <c r="AI102" s="896">
        <v>0</v>
      </c>
      <c r="AJ102" s="896">
        <v>0</v>
      </c>
      <c r="AK102" s="896">
        <v>0</v>
      </c>
      <c r="AL102" s="896">
        <v>0</v>
      </c>
      <c r="AM102" s="896">
        <v>0</v>
      </c>
      <c r="AN102" s="1076">
        <v>0</v>
      </c>
      <c r="AO102" s="1076">
        <v>0</v>
      </c>
      <c r="AP102" s="1076">
        <v>0</v>
      </c>
      <c r="AQ102" s="1076">
        <v>0</v>
      </c>
      <c r="AR102" s="1076">
        <v>0</v>
      </c>
      <c r="AS102" s="1076">
        <v>0</v>
      </c>
      <c r="AT102" s="1076">
        <v>0</v>
      </c>
      <c r="AU102" s="1076">
        <v>0</v>
      </c>
      <c r="AV102" s="1076">
        <v>0</v>
      </c>
      <c r="AW102" s="1076">
        <v>0</v>
      </c>
      <c r="AX102" s="868"/>
      <c r="AY102" s="868"/>
      <c r="AZ102" s="868"/>
      <c r="BA102" s="1033"/>
    </row>
    <row r="103" spans="1:53" s="116" customFormat="1" ht="11.25">
      <c r="A103" s="895">
        <v>1</v>
      </c>
      <c r="B103" s="1033" t="s">
        <v>660</v>
      </c>
      <c r="C103" s="1082"/>
      <c r="D103" s="1082"/>
      <c r="E103" s="1082"/>
      <c r="F103" s="1082"/>
      <c r="G103" s="1082"/>
      <c r="H103" s="1082"/>
      <c r="I103" s="1082"/>
      <c r="J103" s="1082"/>
      <c r="K103" s="1082"/>
      <c r="L103" s="1083" t="s">
        <v>120</v>
      </c>
      <c r="M103" s="1089" t="s">
        <v>660</v>
      </c>
      <c r="N103" s="1063" t="s">
        <v>370</v>
      </c>
      <c r="O103" s="1064">
        <v>0</v>
      </c>
      <c r="P103" s="1064">
        <v>275.97500000000002</v>
      </c>
      <c r="Q103" s="1064">
        <v>575.73</v>
      </c>
      <c r="R103" s="537">
        <v>299.755</v>
      </c>
      <c r="S103" s="1064">
        <v>1034.4100000000001</v>
      </c>
      <c r="T103" s="1064">
        <v>907.58</v>
      </c>
      <c r="U103" s="1064">
        <v>0</v>
      </c>
      <c r="V103" s="1064">
        <v>0</v>
      </c>
      <c r="W103" s="1064">
        <v>0</v>
      </c>
      <c r="X103" s="1064">
        <v>0</v>
      </c>
      <c r="Y103" s="1064">
        <v>0</v>
      </c>
      <c r="Z103" s="1064">
        <v>0</v>
      </c>
      <c r="AA103" s="1064">
        <v>0</v>
      </c>
      <c r="AB103" s="1064">
        <v>0</v>
      </c>
      <c r="AC103" s="1064">
        <v>0</v>
      </c>
      <c r="AD103" s="1064">
        <v>921.38</v>
      </c>
      <c r="AE103" s="1064">
        <v>0</v>
      </c>
      <c r="AF103" s="1064">
        <v>0</v>
      </c>
      <c r="AG103" s="1064">
        <v>0</v>
      </c>
      <c r="AH103" s="1064">
        <v>0</v>
      </c>
      <c r="AI103" s="1064">
        <v>0</v>
      </c>
      <c r="AJ103" s="1064">
        <v>0</v>
      </c>
      <c r="AK103" s="1064">
        <v>0</v>
      </c>
      <c r="AL103" s="1064">
        <v>0</v>
      </c>
      <c r="AM103" s="1064">
        <v>0</v>
      </c>
      <c r="AN103" s="1064">
        <v>-10.927001865797902</v>
      </c>
      <c r="AO103" s="1064">
        <v>-100</v>
      </c>
      <c r="AP103" s="1064">
        <v>0</v>
      </c>
      <c r="AQ103" s="1064">
        <v>0</v>
      </c>
      <c r="AR103" s="1064">
        <v>0</v>
      </c>
      <c r="AS103" s="1064">
        <v>0</v>
      </c>
      <c r="AT103" s="1064">
        <v>0</v>
      </c>
      <c r="AU103" s="1064">
        <v>0</v>
      </c>
      <c r="AV103" s="1064">
        <v>0</v>
      </c>
      <c r="AW103" s="1064">
        <v>0</v>
      </c>
      <c r="AX103" s="868"/>
      <c r="AY103" s="868"/>
      <c r="AZ103" s="868"/>
      <c r="BA103" s="1082"/>
    </row>
    <row r="104" spans="1:53" ht="11.25">
      <c r="A104" s="895">
        <v>1</v>
      </c>
      <c r="B104" s="1033"/>
      <c r="C104" s="1033"/>
      <c r="D104" s="1033"/>
      <c r="E104" s="1033"/>
      <c r="F104" s="1033"/>
      <c r="G104" s="1033"/>
      <c r="H104" s="1033"/>
      <c r="I104" s="1033"/>
      <c r="J104" s="1033"/>
      <c r="K104" s="1033"/>
      <c r="L104" s="1067" t="s">
        <v>122</v>
      </c>
      <c r="M104" s="1068" t="s">
        <v>661</v>
      </c>
      <c r="N104" s="1069" t="s">
        <v>370</v>
      </c>
      <c r="O104" s="896">
        <v>0</v>
      </c>
      <c r="P104" s="896">
        <v>0</v>
      </c>
      <c r="Q104" s="896">
        <v>0</v>
      </c>
      <c r="R104" s="1076">
        <v>0</v>
      </c>
      <c r="S104" s="896">
        <v>0</v>
      </c>
      <c r="T104" s="896">
        <v>0</v>
      </c>
      <c r="U104" s="896">
        <v>0</v>
      </c>
      <c r="V104" s="896">
        <v>0</v>
      </c>
      <c r="W104" s="896">
        <v>0</v>
      </c>
      <c r="X104" s="896">
        <v>0</v>
      </c>
      <c r="Y104" s="896">
        <v>0</v>
      </c>
      <c r="Z104" s="896">
        <v>0</v>
      </c>
      <c r="AA104" s="896">
        <v>0</v>
      </c>
      <c r="AB104" s="896">
        <v>0</v>
      </c>
      <c r="AC104" s="896">
        <v>0</v>
      </c>
      <c r="AD104" s="896">
        <v>0</v>
      </c>
      <c r="AE104" s="896">
        <v>0</v>
      </c>
      <c r="AF104" s="896">
        <v>0</v>
      </c>
      <c r="AG104" s="896">
        <v>0</v>
      </c>
      <c r="AH104" s="896">
        <v>0</v>
      </c>
      <c r="AI104" s="896">
        <v>0</v>
      </c>
      <c r="AJ104" s="896">
        <v>0</v>
      </c>
      <c r="AK104" s="896">
        <v>0</v>
      </c>
      <c r="AL104" s="896">
        <v>0</v>
      </c>
      <c r="AM104" s="896">
        <v>0</v>
      </c>
      <c r="AN104" s="1076">
        <v>0</v>
      </c>
      <c r="AO104" s="1076">
        <v>0</v>
      </c>
      <c r="AP104" s="1076">
        <v>0</v>
      </c>
      <c r="AQ104" s="1076">
        <v>0</v>
      </c>
      <c r="AR104" s="1076">
        <v>0</v>
      </c>
      <c r="AS104" s="1076">
        <v>0</v>
      </c>
      <c r="AT104" s="1076">
        <v>0</v>
      </c>
      <c r="AU104" s="1076">
        <v>0</v>
      </c>
      <c r="AV104" s="1076">
        <v>0</v>
      </c>
      <c r="AW104" s="1076">
        <v>0</v>
      </c>
      <c r="AX104" s="868"/>
      <c r="AY104" s="868"/>
      <c r="AZ104" s="868"/>
      <c r="BA104" s="1033"/>
    </row>
    <row r="105" spans="1:53" ht="11.25">
      <c r="A105" s="895">
        <v>1</v>
      </c>
      <c r="B105" s="1033"/>
      <c r="C105" s="1033"/>
      <c r="D105" s="1033"/>
      <c r="E105" s="1033"/>
      <c r="F105" s="1033"/>
      <c r="G105" s="1033"/>
      <c r="H105" s="1033"/>
      <c r="I105" s="1033"/>
      <c r="J105" s="1033"/>
      <c r="K105" s="1033"/>
      <c r="L105" s="1067" t="s">
        <v>123</v>
      </c>
      <c r="M105" s="1068" t="s">
        <v>662</v>
      </c>
      <c r="N105" s="1069" t="s">
        <v>370</v>
      </c>
      <c r="O105" s="896">
        <v>0</v>
      </c>
      <c r="P105" s="896">
        <v>0</v>
      </c>
      <c r="Q105" s="896">
        <v>0</v>
      </c>
      <c r="R105" s="1076">
        <v>0</v>
      </c>
      <c r="S105" s="896">
        <v>0</v>
      </c>
      <c r="T105" s="896">
        <v>0</v>
      </c>
      <c r="U105" s="896">
        <v>0</v>
      </c>
      <c r="V105" s="896">
        <v>0</v>
      </c>
      <c r="W105" s="896">
        <v>0</v>
      </c>
      <c r="X105" s="896">
        <v>0</v>
      </c>
      <c r="Y105" s="896">
        <v>0</v>
      </c>
      <c r="Z105" s="896">
        <v>0</v>
      </c>
      <c r="AA105" s="896">
        <v>0</v>
      </c>
      <c r="AB105" s="896">
        <v>0</v>
      </c>
      <c r="AC105" s="896">
        <v>0</v>
      </c>
      <c r="AD105" s="896">
        <v>0</v>
      </c>
      <c r="AE105" s="896">
        <v>0</v>
      </c>
      <c r="AF105" s="896">
        <v>0</v>
      </c>
      <c r="AG105" s="896">
        <v>0</v>
      </c>
      <c r="AH105" s="896">
        <v>0</v>
      </c>
      <c r="AI105" s="896">
        <v>0</v>
      </c>
      <c r="AJ105" s="896">
        <v>0</v>
      </c>
      <c r="AK105" s="896">
        <v>0</v>
      </c>
      <c r="AL105" s="896">
        <v>0</v>
      </c>
      <c r="AM105" s="896">
        <v>0</v>
      </c>
      <c r="AN105" s="1076">
        <v>0</v>
      </c>
      <c r="AO105" s="1076">
        <v>0</v>
      </c>
      <c r="AP105" s="1076">
        <v>0</v>
      </c>
      <c r="AQ105" s="1076">
        <v>0</v>
      </c>
      <c r="AR105" s="1076">
        <v>0</v>
      </c>
      <c r="AS105" s="1076">
        <v>0</v>
      </c>
      <c r="AT105" s="1076">
        <v>0</v>
      </c>
      <c r="AU105" s="1076">
        <v>0</v>
      </c>
      <c r="AV105" s="1076">
        <v>0</v>
      </c>
      <c r="AW105" s="1076">
        <v>0</v>
      </c>
      <c r="AX105" s="868"/>
      <c r="AY105" s="868"/>
      <c r="AZ105" s="868"/>
      <c r="BA105" s="1033"/>
    </row>
    <row r="106" spans="1:53" ht="11.25">
      <c r="A106" s="895">
        <v>1</v>
      </c>
      <c r="B106" s="1033"/>
      <c r="C106" s="1033"/>
      <c r="D106" s="1033"/>
      <c r="E106" s="1033"/>
      <c r="F106" s="1033"/>
      <c r="G106" s="1033"/>
      <c r="H106" s="1033"/>
      <c r="I106" s="1033"/>
      <c r="J106" s="1033"/>
      <c r="K106" s="1033"/>
      <c r="L106" s="1067" t="s">
        <v>396</v>
      </c>
      <c r="M106" s="1068" t="s">
        <v>663</v>
      </c>
      <c r="N106" s="1069" t="s">
        <v>370</v>
      </c>
      <c r="O106" s="896">
        <v>0</v>
      </c>
      <c r="P106" s="896">
        <v>0</v>
      </c>
      <c r="Q106" s="896">
        <v>0</v>
      </c>
      <c r="R106" s="1076">
        <v>0</v>
      </c>
      <c r="S106" s="896">
        <v>0</v>
      </c>
      <c r="T106" s="896">
        <v>0</v>
      </c>
      <c r="U106" s="896">
        <v>0</v>
      </c>
      <c r="V106" s="896">
        <v>0</v>
      </c>
      <c r="W106" s="896">
        <v>0</v>
      </c>
      <c r="X106" s="896">
        <v>0</v>
      </c>
      <c r="Y106" s="896">
        <v>0</v>
      </c>
      <c r="Z106" s="896">
        <v>0</v>
      </c>
      <c r="AA106" s="896">
        <v>0</v>
      </c>
      <c r="AB106" s="896">
        <v>0</v>
      </c>
      <c r="AC106" s="896">
        <v>0</v>
      </c>
      <c r="AD106" s="896">
        <v>0</v>
      </c>
      <c r="AE106" s="896">
        <v>0</v>
      </c>
      <c r="AF106" s="896">
        <v>0</v>
      </c>
      <c r="AG106" s="896">
        <v>0</v>
      </c>
      <c r="AH106" s="896">
        <v>0</v>
      </c>
      <c r="AI106" s="896">
        <v>0</v>
      </c>
      <c r="AJ106" s="896">
        <v>0</v>
      </c>
      <c r="AK106" s="896">
        <v>0</v>
      </c>
      <c r="AL106" s="896">
        <v>0</v>
      </c>
      <c r="AM106" s="896">
        <v>0</v>
      </c>
      <c r="AN106" s="1076">
        <v>0</v>
      </c>
      <c r="AO106" s="1076">
        <v>0</v>
      </c>
      <c r="AP106" s="1076">
        <v>0</v>
      </c>
      <c r="AQ106" s="1076">
        <v>0</v>
      </c>
      <c r="AR106" s="1076">
        <v>0</v>
      </c>
      <c r="AS106" s="1076">
        <v>0</v>
      </c>
      <c r="AT106" s="1076">
        <v>0</v>
      </c>
      <c r="AU106" s="1076">
        <v>0</v>
      </c>
      <c r="AV106" s="1076">
        <v>0</v>
      </c>
      <c r="AW106" s="1076">
        <v>0</v>
      </c>
      <c r="AX106" s="868"/>
      <c r="AY106" s="868"/>
      <c r="AZ106" s="868"/>
      <c r="BA106" s="1033"/>
    </row>
    <row r="107" spans="1:53" ht="22.5">
      <c r="A107" s="895">
        <v>1</v>
      </c>
      <c r="B107" s="1033" t="s">
        <v>1398</v>
      </c>
      <c r="C107" s="1033"/>
      <c r="D107" s="1033"/>
      <c r="E107" s="1033"/>
      <c r="F107" s="1033"/>
      <c r="G107" s="1033"/>
      <c r="H107" s="1033"/>
      <c r="I107" s="1033"/>
      <c r="J107" s="1033"/>
      <c r="K107" s="1033"/>
      <c r="L107" s="1067" t="s">
        <v>397</v>
      </c>
      <c r="M107" s="1068" t="s">
        <v>664</v>
      </c>
      <c r="N107" s="1069" t="s">
        <v>370</v>
      </c>
      <c r="O107" s="896"/>
      <c r="P107" s="896">
        <v>275.97500000000002</v>
      </c>
      <c r="Q107" s="896">
        <v>575.73</v>
      </c>
      <c r="R107" s="1076">
        <v>299.755</v>
      </c>
      <c r="S107" s="896">
        <v>1034.4100000000001</v>
      </c>
      <c r="T107" s="896">
        <v>907.58</v>
      </c>
      <c r="U107" s="896"/>
      <c r="V107" s="896"/>
      <c r="W107" s="896"/>
      <c r="X107" s="896"/>
      <c r="Y107" s="896"/>
      <c r="Z107" s="896"/>
      <c r="AA107" s="896"/>
      <c r="AB107" s="896"/>
      <c r="AC107" s="896"/>
      <c r="AD107" s="896">
        <v>921.38</v>
      </c>
      <c r="AE107" s="896"/>
      <c r="AF107" s="896"/>
      <c r="AG107" s="896"/>
      <c r="AH107" s="896"/>
      <c r="AI107" s="896"/>
      <c r="AJ107" s="896"/>
      <c r="AK107" s="896"/>
      <c r="AL107" s="896"/>
      <c r="AM107" s="896"/>
      <c r="AN107" s="1076">
        <v>-10.927001865797902</v>
      </c>
      <c r="AO107" s="1076">
        <v>-100</v>
      </c>
      <c r="AP107" s="1076">
        <v>0</v>
      </c>
      <c r="AQ107" s="1076">
        <v>0</v>
      </c>
      <c r="AR107" s="1076">
        <v>0</v>
      </c>
      <c r="AS107" s="1076">
        <v>0</v>
      </c>
      <c r="AT107" s="1076">
        <v>0</v>
      </c>
      <c r="AU107" s="1076">
        <v>0</v>
      </c>
      <c r="AV107" s="1076">
        <v>0</v>
      </c>
      <c r="AW107" s="1076">
        <v>0</v>
      </c>
      <c r="AX107" s="868"/>
      <c r="AY107" s="868"/>
      <c r="AZ107" s="868"/>
      <c r="BA107" s="1033"/>
    </row>
    <row r="108" spans="1:53" ht="11.25">
      <c r="A108" s="895">
        <v>1</v>
      </c>
      <c r="B108" s="1033" t="s">
        <v>665</v>
      </c>
      <c r="C108" s="1033"/>
      <c r="D108" s="1033"/>
      <c r="E108" s="1033"/>
      <c r="F108" s="1033"/>
      <c r="G108" s="1033"/>
      <c r="H108" s="1033"/>
      <c r="I108" s="1033"/>
      <c r="J108" s="1033"/>
      <c r="K108" s="1033"/>
      <c r="L108" s="1067" t="s">
        <v>124</v>
      </c>
      <c r="M108" s="1090" t="s">
        <v>665</v>
      </c>
      <c r="N108" s="1069" t="s">
        <v>370</v>
      </c>
      <c r="O108" s="896"/>
      <c r="P108" s="896"/>
      <c r="Q108" s="896"/>
      <c r="R108" s="1076">
        <v>0</v>
      </c>
      <c r="S108" s="896"/>
      <c r="T108" s="896"/>
      <c r="U108" s="896"/>
      <c r="V108" s="896"/>
      <c r="W108" s="896"/>
      <c r="X108" s="896"/>
      <c r="Y108" s="896"/>
      <c r="Z108" s="896"/>
      <c r="AA108" s="896"/>
      <c r="AB108" s="896"/>
      <c r="AC108" s="896"/>
      <c r="AD108" s="896"/>
      <c r="AE108" s="896"/>
      <c r="AF108" s="896"/>
      <c r="AG108" s="896"/>
      <c r="AH108" s="896"/>
      <c r="AI108" s="896"/>
      <c r="AJ108" s="896"/>
      <c r="AK108" s="896"/>
      <c r="AL108" s="896"/>
      <c r="AM108" s="896"/>
      <c r="AN108" s="1076">
        <v>0</v>
      </c>
      <c r="AO108" s="1076">
        <v>0</v>
      </c>
      <c r="AP108" s="1076">
        <v>0</v>
      </c>
      <c r="AQ108" s="1076">
        <v>0</v>
      </c>
      <c r="AR108" s="1076">
        <v>0</v>
      </c>
      <c r="AS108" s="1076">
        <v>0</v>
      </c>
      <c r="AT108" s="1076">
        <v>0</v>
      </c>
      <c r="AU108" s="1076">
        <v>0</v>
      </c>
      <c r="AV108" s="1076">
        <v>0</v>
      </c>
      <c r="AW108" s="1076">
        <v>0</v>
      </c>
      <c r="AX108" s="868"/>
      <c r="AY108" s="868"/>
      <c r="AZ108" s="868"/>
      <c r="BA108" s="1033"/>
    </row>
    <row r="109" spans="1:53" ht="22.5">
      <c r="A109" s="895">
        <v>1</v>
      </c>
      <c r="B109" s="1033"/>
      <c r="C109" s="1033"/>
      <c r="D109" s="1033"/>
      <c r="E109" s="1033"/>
      <c r="F109" s="1033"/>
      <c r="G109" s="1033"/>
      <c r="H109" s="1033"/>
      <c r="I109" s="1033"/>
      <c r="J109" s="1033"/>
      <c r="K109" s="1033"/>
      <c r="L109" s="1067" t="s">
        <v>125</v>
      </c>
      <c r="M109" s="1090" t="s">
        <v>666</v>
      </c>
      <c r="N109" s="1069" t="s">
        <v>370</v>
      </c>
      <c r="O109" s="896"/>
      <c r="P109" s="896"/>
      <c r="Q109" s="896"/>
      <c r="R109" s="1076">
        <v>0</v>
      </c>
      <c r="S109" s="896"/>
      <c r="T109" s="896">
        <v>0</v>
      </c>
      <c r="U109" s="896"/>
      <c r="V109" s="896"/>
      <c r="W109" s="896"/>
      <c r="X109" s="896"/>
      <c r="Y109" s="896"/>
      <c r="Z109" s="896"/>
      <c r="AA109" s="896"/>
      <c r="AB109" s="896"/>
      <c r="AC109" s="896"/>
      <c r="AD109" s="896">
        <v>0</v>
      </c>
      <c r="AE109" s="896"/>
      <c r="AF109" s="896"/>
      <c r="AG109" s="896"/>
      <c r="AH109" s="896"/>
      <c r="AI109" s="896"/>
      <c r="AJ109" s="896"/>
      <c r="AK109" s="896"/>
      <c r="AL109" s="896"/>
      <c r="AM109" s="896"/>
      <c r="AN109" s="443"/>
      <c r="AO109" s="443"/>
      <c r="AP109" s="443"/>
      <c r="AQ109" s="443"/>
      <c r="AR109" s="443"/>
      <c r="AS109" s="443"/>
      <c r="AT109" s="443"/>
      <c r="AU109" s="443"/>
      <c r="AV109" s="443"/>
      <c r="AW109" s="443"/>
      <c r="AX109" s="868"/>
      <c r="AY109" s="868"/>
      <c r="AZ109" s="868"/>
      <c r="BA109" s="1033"/>
    </row>
    <row r="110" spans="1:53" ht="101.25">
      <c r="A110" s="895">
        <v>1</v>
      </c>
      <c r="B110" s="1033"/>
      <c r="C110" s="1033"/>
      <c r="D110" s="1033"/>
      <c r="E110" s="1033"/>
      <c r="F110" s="1033"/>
      <c r="G110" s="1033"/>
      <c r="H110" s="1033"/>
      <c r="I110" s="1033"/>
      <c r="J110" s="1033"/>
      <c r="K110" s="1033"/>
      <c r="L110" s="1067" t="s">
        <v>126</v>
      </c>
      <c r="M110" s="1090" t="s">
        <v>667</v>
      </c>
      <c r="N110" s="1069" t="s">
        <v>370</v>
      </c>
      <c r="O110" s="896"/>
      <c r="P110" s="896"/>
      <c r="Q110" s="896"/>
      <c r="R110" s="1076">
        <v>0</v>
      </c>
      <c r="S110" s="896"/>
      <c r="T110" s="896">
        <v>0</v>
      </c>
      <c r="U110" s="896"/>
      <c r="V110" s="896"/>
      <c r="W110" s="896"/>
      <c r="X110" s="896"/>
      <c r="Y110" s="896"/>
      <c r="Z110" s="896"/>
      <c r="AA110" s="896"/>
      <c r="AB110" s="896"/>
      <c r="AC110" s="896"/>
      <c r="AD110" s="896">
        <v>0</v>
      </c>
      <c r="AE110" s="896"/>
      <c r="AF110" s="896"/>
      <c r="AG110" s="896"/>
      <c r="AH110" s="896"/>
      <c r="AI110" s="896"/>
      <c r="AJ110" s="896"/>
      <c r="AK110" s="896"/>
      <c r="AL110" s="896"/>
      <c r="AM110" s="896"/>
      <c r="AN110" s="443"/>
      <c r="AO110" s="443"/>
      <c r="AP110" s="443"/>
      <c r="AQ110" s="443"/>
      <c r="AR110" s="443"/>
      <c r="AS110" s="443"/>
      <c r="AT110" s="443"/>
      <c r="AU110" s="443"/>
      <c r="AV110" s="443"/>
      <c r="AW110" s="443"/>
      <c r="AX110" s="868"/>
      <c r="AY110" s="868"/>
      <c r="AZ110" s="868"/>
      <c r="BA110" s="1033"/>
    </row>
    <row r="111" spans="1:53" ht="45">
      <c r="A111" s="895">
        <v>1</v>
      </c>
      <c r="B111" s="1033"/>
      <c r="C111" s="1033"/>
      <c r="D111" s="1033"/>
      <c r="E111" s="1033"/>
      <c r="F111" s="1033"/>
      <c r="G111" s="1033"/>
      <c r="H111" s="1033"/>
      <c r="I111" s="1033"/>
      <c r="J111" s="1033"/>
      <c r="K111" s="1033"/>
      <c r="L111" s="1067" t="s">
        <v>127</v>
      </c>
      <c r="M111" s="1090" t="s">
        <v>1228</v>
      </c>
      <c r="N111" s="1069" t="s">
        <v>370</v>
      </c>
      <c r="O111" s="896"/>
      <c r="P111" s="896"/>
      <c r="Q111" s="896">
        <v>3409.77</v>
      </c>
      <c r="R111" s="1076">
        <v>3409.77</v>
      </c>
      <c r="S111" s="896">
        <v>14593.05</v>
      </c>
      <c r="T111" s="896">
        <v>1004.53</v>
      </c>
      <c r="U111" s="896"/>
      <c r="V111" s="896"/>
      <c r="W111" s="896"/>
      <c r="X111" s="896"/>
      <c r="Y111" s="896"/>
      <c r="Z111" s="896"/>
      <c r="AA111" s="896"/>
      <c r="AB111" s="896"/>
      <c r="AC111" s="896"/>
      <c r="AD111" s="896">
        <v>1356.55</v>
      </c>
      <c r="AE111" s="896"/>
      <c r="AF111" s="896"/>
      <c r="AG111" s="896"/>
      <c r="AH111" s="896"/>
      <c r="AI111" s="896"/>
      <c r="AJ111" s="896"/>
      <c r="AK111" s="896"/>
      <c r="AL111" s="896"/>
      <c r="AM111" s="896"/>
      <c r="AN111" s="443"/>
      <c r="AO111" s="443"/>
      <c r="AP111" s="443"/>
      <c r="AQ111" s="443"/>
      <c r="AR111" s="443"/>
      <c r="AS111" s="443"/>
      <c r="AT111" s="443"/>
      <c r="AU111" s="443"/>
      <c r="AV111" s="443"/>
      <c r="AW111" s="443"/>
      <c r="AX111" s="868"/>
      <c r="AY111" s="868"/>
      <c r="AZ111" s="868"/>
      <c r="BA111" s="1033"/>
    </row>
    <row r="112" spans="1:53" ht="11.25">
      <c r="A112" s="895">
        <v>1</v>
      </c>
      <c r="B112" s="1033"/>
      <c r="C112" s="1033"/>
      <c r="D112" s="1033"/>
      <c r="E112" s="1033"/>
      <c r="F112" s="1033"/>
      <c r="G112" s="1033"/>
      <c r="H112" s="1033"/>
      <c r="I112" s="1033"/>
      <c r="J112" s="1033"/>
      <c r="K112" s="1033"/>
      <c r="L112" s="1067" t="s">
        <v>128</v>
      </c>
      <c r="M112" s="1091" t="s">
        <v>668</v>
      </c>
      <c r="N112" s="1069" t="s">
        <v>370</v>
      </c>
      <c r="O112" s="896"/>
      <c r="P112" s="896"/>
      <c r="Q112" s="896"/>
      <c r="R112" s="1076">
        <v>0</v>
      </c>
      <c r="S112" s="896">
        <v>-20651.25</v>
      </c>
      <c r="T112" s="896">
        <v>-2135</v>
      </c>
      <c r="U112" s="896"/>
      <c r="V112" s="896"/>
      <c r="W112" s="896"/>
      <c r="X112" s="896"/>
      <c r="Y112" s="896"/>
      <c r="Z112" s="896"/>
      <c r="AA112" s="896"/>
      <c r="AB112" s="896"/>
      <c r="AC112" s="896"/>
      <c r="AD112" s="896">
        <v>-3536.42</v>
      </c>
      <c r="AE112" s="896"/>
      <c r="AF112" s="896"/>
      <c r="AG112" s="896"/>
      <c r="AH112" s="896"/>
      <c r="AI112" s="896"/>
      <c r="AJ112" s="896"/>
      <c r="AK112" s="896"/>
      <c r="AL112" s="896"/>
      <c r="AM112" s="896"/>
      <c r="AN112" s="443"/>
      <c r="AO112" s="443"/>
      <c r="AP112" s="443"/>
      <c r="AQ112" s="443"/>
      <c r="AR112" s="443"/>
      <c r="AS112" s="443"/>
      <c r="AT112" s="443"/>
      <c r="AU112" s="443"/>
      <c r="AV112" s="443"/>
      <c r="AW112" s="443"/>
      <c r="AX112" s="868"/>
      <c r="AY112" s="868"/>
      <c r="AZ112" s="868"/>
      <c r="BA112" s="1033"/>
    </row>
    <row r="113" spans="1:53" ht="11.25">
      <c r="A113" s="895">
        <v>1</v>
      </c>
      <c r="B113" s="1033"/>
      <c r="C113" s="1033"/>
      <c r="D113" s="1033"/>
      <c r="E113" s="1033"/>
      <c r="F113" s="1033"/>
      <c r="G113" s="1033"/>
      <c r="H113" s="1033"/>
      <c r="I113" s="1033"/>
      <c r="J113" s="1033"/>
      <c r="K113" s="1033"/>
      <c r="L113" s="1067" t="s">
        <v>1237</v>
      </c>
      <c r="M113" s="1068" t="s">
        <v>1238</v>
      </c>
      <c r="N113" s="1069" t="s">
        <v>145</v>
      </c>
      <c r="O113" s="443">
        <v>0</v>
      </c>
      <c r="P113" s="443">
        <v>0</v>
      </c>
      <c r="Q113" s="443">
        <v>0</v>
      </c>
      <c r="R113" s="1076">
        <v>0</v>
      </c>
      <c r="S113" s="443">
        <v>-69.525126677886504</v>
      </c>
      <c r="T113" s="443">
        <v>-7.0832479030600286</v>
      </c>
      <c r="U113" s="443">
        <v>0</v>
      </c>
      <c r="V113" s="443">
        <v>0</v>
      </c>
      <c r="W113" s="443">
        <v>0</v>
      </c>
      <c r="X113" s="443">
        <v>0</v>
      </c>
      <c r="Y113" s="443">
        <v>0</v>
      </c>
      <c r="Z113" s="443">
        <v>0</v>
      </c>
      <c r="AA113" s="443">
        <v>0</v>
      </c>
      <c r="AB113" s="443">
        <v>0</v>
      </c>
      <c r="AC113" s="443">
        <v>0</v>
      </c>
      <c r="AD113" s="443">
        <v>-11.964276531421438</v>
      </c>
      <c r="AE113" s="443">
        <v>0</v>
      </c>
      <c r="AF113" s="443">
        <v>0</v>
      </c>
      <c r="AG113" s="443">
        <v>0</v>
      </c>
      <c r="AH113" s="443">
        <v>0</v>
      </c>
      <c r="AI113" s="443">
        <v>0</v>
      </c>
      <c r="AJ113" s="443">
        <v>0</v>
      </c>
      <c r="AK113" s="443">
        <v>0</v>
      </c>
      <c r="AL113" s="443">
        <v>0</v>
      </c>
      <c r="AM113" s="443">
        <v>0</v>
      </c>
      <c r="AN113" s="443"/>
      <c r="AO113" s="443"/>
      <c r="AP113" s="443"/>
      <c r="AQ113" s="443"/>
      <c r="AR113" s="443"/>
      <c r="AS113" s="443"/>
      <c r="AT113" s="443"/>
      <c r="AU113" s="443"/>
      <c r="AV113" s="443"/>
      <c r="AW113" s="443"/>
      <c r="AX113" s="868"/>
      <c r="AY113" s="868"/>
      <c r="AZ113" s="868"/>
      <c r="BA113" s="1033"/>
    </row>
    <row r="114" spans="1:53" s="116" customFormat="1" ht="11.25">
      <c r="A114" s="895">
        <v>1</v>
      </c>
      <c r="B114" s="1082"/>
      <c r="C114" s="1082"/>
      <c r="D114" s="1082"/>
      <c r="E114" s="1082"/>
      <c r="F114" s="1082"/>
      <c r="G114" s="1082"/>
      <c r="H114" s="1082"/>
      <c r="I114" s="1082"/>
      <c r="J114" s="1082"/>
      <c r="K114" s="1082"/>
      <c r="L114" s="1083" t="s">
        <v>129</v>
      </c>
      <c r="M114" s="1089" t="s">
        <v>669</v>
      </c>
      <c r="N114" s="1063" t="s">
        <v>370</v>
      </c>
      <c r="O114" s="1064">
        <v>0</v>
      </c>
      <c r="P114" s="1064">
        <v>24976.244999999999</v>
      </c>
      <c r="Q114" s="1064">
        <v>22843.940000000002</v>
      </c>
      <c r="R114" s="1064">
        <v>-2132.3049999999967</v>
      </c>
      <c r="S114" s="1064">
        <v>29703.290000000008</v>
      </c>
      <c r="T114" s="1064">
        <v>30141.54</v>
      </c>
      <c r="U114" s="1064">
        <v>21031.25</v>
      </c>
      <c r="V114" s="1064">
        <v>21031.25</v>
      </c>
      <c r="W114" s="1064">
        <v>21031.25</v>
      </c>
      <c r="X114" s="1064">
        <v>21031.25</v>
      </c>
      <c r="Y114" s="1064">
        <v>21031.25</v>
      </c>
      <c r="Z114" s="1064">
        <v>21031.25</v>
      </c>
      <c r="AA114" s="1064">
        <v>21031.25</v>
      </c>
      <c r="AB114" s="1064">
        <v>21031.25</v>
      </c>
      <c r="AC114" s="1064">
        <v>21031.25</v>
      </c>
      <c r="AD114" s="1064">
        <v>29558.160000000011</v>
      </c>
      <c r="AE114" s="1064">
        <v>33549.631600000001</v>
      </c>
      <c r="AF114" s="1064">
        <v>34030.279664000002</v>
      </c>
      <c r="AG114" s="1064">
        <v>34530.153650560002</v>
      </c>
      <c r="AH114" s="1064">
        <v>21533.43</v>
      </c>
      <c r="AI114" s="1064">
        <v>21533.43</v>
      </c>
      <c r="AJ114" s="1064">
        <v>21533.43</v>
      </c>
      <c r="AK114" s="1064">
        <v>21533.43</v>
      </c>
      <c r="AL114" s="1064">
        <v>21533.43</v>
      </c>
      <c r="AM114" s="1064">
        <v>21533.43</v>
      </c>
      <c r="AN114" s="1064">
        <v>-0.48859907437862049</v>
      </c>
      <c r="AO114" s="1064">
        <v>13.503789139784034</v>
      </c>
      <c r="AP114" s="1064">
        <v>1.4326478148272748</v>
      </c>
      <c r="AQ114" s="1064">
        <v>1.4689094285898785</v>
      </c>
      <c r="AR114" s="1064">
        <v>-37.638765764221333</v>
      </c>
      <c r="AS114" s="1064">
        <v>0</v>
      </c>
      <c r="AT114" s="1064">
        <v>0</v>
      </c>
      <c r="AU114" s="1064">
        <v>0</v>
      </c>
      <c r="AV114" s="1064">
        <v>0</v>
      </c>
      <c r="AW114" s="1064">
        <v>0</v>
      </c>
      <c r="AX114" s="868"/>
      <c r="AY114" s="868"/>
      <c r="AZ114" s="868"/>
      <c r="BA114" s="1082"/>
    </row>
    <row r="115" spans="1:53" ht="78.75">
      <c r="A115" s="895">
        <v>1</v>
      </c>
      <c r="B115" s="1033"/>
      <c r="C115" s="1033"/>
      <c r="D115" s="1033"/>
      <c r="E115" s="1033"/>
      <c r="F115" s="1033"/>
      <c r="G115" s="1033"/>
      <c r="H115" s="1033"/>
      <c r="I115" s="1033"/>
      <c r="J115" s="1033"/>
      <c r="K115" s="1033"/>
      <c r="L115" s="1067" t="s">
        <v>130</v>
      </c>
      <c r="M115" s="1091" t="s">
        <v>1183</v>
      </c>
      <c r="N115" s="1079" t="s">
        <v>370</v>
      </c>
      <c r="O115" s="896"/>
      <c r="P115" s="896"/>
      <c r="Q115" s="896"/>
      <c r="R115" s="1076">
        <v>0</v>
      </c>
      <c r="S115" s="896"/>
      <c r="T115" s="896"/>
      <c r="U115" s="896"/>
      <c r="V115" s="896"/>
      <c r="W115" s="896"/>
      <c r="X115" s="896"/>
      <c r="Y115" s="896"/>
      <c r="Z115" s="896"/>
      <c r="AA115" s="896"/>
      <c r="AB115" s="896"/>
      <c r="AC115" s="896"/>
      <c r="AD115" s="896">
        <v>0</v>
      </c>
      <c r="AE115" s="896"/>
      <c r="AF115" s="896"/>
      <c r="AG115" s="896"/>
      <c r="AH115" s="896"/>
      <c r="AI115" s="896"/>
      <c r="AJ115" s="896"/>
      <c r="AK115" s="896"/>
      <c r="AL115" s="896"/>
      <c r="AM115" s="896"/>
      <c r="AN115" s="443"/>
      <c r="AO115" s="443"/>
      <c r="AP115" s="443"/>
      <c r="AQ115" s="443"/>
      <c r="AR115" s="443"/>
      <c r="AS115" s="443"/>
      <c r="AT115" s="443"/>
      <c r="AU115" s="443"/>
      <c r="AV115" s="443"/>
      <c r="AW115" s="443"/>
      <c r="AX115" s="868"/>
      <c r="AY115" s="868"/>
      <c r="AZ115" s="868"/>
      <c r="BA115" s="1033"/>
    </row>
    <row r="116" spans="1:53" ht="56.25">
      <c r="A116" s="895">
        <v>1</v>
      </c>
      <c r="B116" s="1033"/>
      <c r="C116" s="1033"/>
      <c r="D116" s="1033"/>
      <c r="E116" s="1033"/>
      <c r="F116" s="1033"/>
      <c r="G116" s="1033"/>
      <c r="H116" s="1033"/>
      <c r="I116" s="1033"/>
      <c r="J116" s="1033"/>
      <c r="K116" s="1033"/>
      <c r="L116" s="1067" t="s">
        <v>131</v>
      </c>
      <c r="M116" s="1091" t="s">
        <v>670</v>
      </c>
      <c r="N116" s="1079" t="s">
        <v>370</v>
      </c>
      <c r="O116" s="896"/>
      <c r="P116" s="896"/>
      <c r="Q116" s="896"/>
      <c r="R116" s="1076">
        <v>0</v>
      </c>
      <c r="S116" s="896"/>
      <c r="T116" s="896"/>
      <c r="U116" s="896"/>
      <c r="V116" s="896"/>
      <c r="W116" s="896"/>
      <c r="X116" s="896"/>
      <c r="Y116" s="896"/>
      <c r="Z116" s="896"/>
      <c r="AA116" s="896"/>
      <c r="AB116" s="896"/>
      <c r="AC116" s="896"/>
      <c r="AD116" s="896">
        <v>0</v>
      </c>
      <c r="AE116" s="896"/>
      <c r="AF116" s="896"/>
      <c r="AG116" s="896"/>
      <c r="AH116" s="896"/>
      <c r="AI116" s="896"/>
      <c r="AJ116" s="896"/>
      <c r="AK116" s="896"/>
      <c r="AL116" s="896"/>
      <c r="AM116" s="896"/>
      <c r="AN116" s="443"/>
      <c r="AO116" s="443"/>
      <c r="AP116" s="443"/>
      <c r="AQ116" s="443"/>
      <c r="AR116" s="443"/>
      <c r="AS116" s="443"/>
      <c r="AT116" s="443"/>
      <c r="AU116" s="443"/>
      <c r="AV116" s="443"/>
      <c r="AW116" s="443"/>
      <c r="AX116" s="868"/>
      <c r="AY116" s="868"/>
      <c r="AZ116" s="868"/>
      <c r="BA116" s="1033"/>
    </row>
    <row r="117" spans="1:53" ht="11.25">
      <c r="A117" s="895">
        <v>1</v>
      </c>
      <c r="B117" s="1033"/>
      <c r="C117" s="1033"/>
      <c r="D117" s="1033"/>
      <c r="E117" s="1033"/>
      <c r="F117" s="1033"/>
      <c r="G117" s="1033"/>
      <c r="H117" s="1033"/>
      <c r="I117" s="1033"/>
      <c r="J117" s="1033"/>
      <c r="K117" s="1033"/>
      <c r="L117" s="1067" t="s">
        <v>132</v>
      </c>
      <c r="M117" s="1091" t="s">
        <v>671</v>
      </c>
      <c r="N117" s="1069" t="s">
        <v>370</v>
      </c>
      <c r="O117" s="896"/>
      <c r="P117" s="896"/>
      <c r="Q117" s="896"/>
      <c r="R117" s="1076">
        <v>0</v>
      </c>
      <c r="S117" s="896"/>
      <c r="T117" s="896"/>
      <c r="U117" s="896"/>
      <c r="V117" s="896"/>
      <c r="W117" s="896"/>
      <c r="X117" s="896"/>
      <c r="Y117" s="896"/>
      <c r="Z117" s="896"/>
      <c r="AA117" s="896"/>
      <c r="AB117" s="896"/>
      <c r="AC117" s="896"/>
      <c r="AD117" s="896"/>
      <c r="AE117" s="896"/>
      <c r="AF117" s="896"/>
      <c r="AG117" s="896"/>
      <c r="AH117" s="896"/>
      <c r="AI117" s="896"/>
      <c r="AJ117" s="896"/>
      <c r="AK117" s="896"/>
      <c r="AL117" s="896"/>
      <c r="AM117" s="896"/>
      <c r="AN117" s="443"/>
      <c r="AO117" s="443"/>
      <c r="AP117" s="443"/>
      <c r="AQ117" s="443"/>
      <c r="AR117" s="443"/>
      <c r="AS117" s="443"/>
      <c r="AT117" s="443"/>
      <c r="AU117" s="443"/>
      <c r="AV117" s="443"/>
      <c r="AW117" s="443"/>
      <c r="AX117" s="868"/>
      <c r="AY117" s="868"/>
      <c r="AZ117" s="868"/>
      <c r="BA117" s="1033"/>
    </row>
    <row r="118" spans="1:53" s="116" customFormat="1" ht="11.25">
      <c r="A118" s="895">
        <v>1</v>
      </c>
      <c r="B118" s="1082"/>
      <c r="C118" s="1082"/>
      <c r="D118" s="1082"/>
      <c r="E118" s="1082"/>
      <c r="F118" s="1082"/>
      <c r="G118" s="1082"/>
      <c r="H118" s="1082"/>
      <c r="I118" s="1082"/>
      <c r="J118" s="1082"/>
      <c r="K118" s="1082"/>
      <c r="L118" s="1083" t="s">
        <v>133</v>
      </c>
      <c r="M118" s="1089" t="s">
        <v>672</v>
      </c>
      <c r="N118" s="1085" t="s">
        <v>370</v>
      </c>
      <c r="O118" s="1065">
        <v>0</v>
      </c>
      <c r="P118" s="1065">
        <v>324.32499999999999</v>
      </c>
      <c r="Q118" s="1065">
        <v>0.08</v>
      </c>
      <c r="R118" s="1064">
        <v>-324.245</v>
      </c>
      <c r="S118" s="1065">
        <v>246.7</v>
      </c>
      <c r="T118" s="1065">
        <v>111.73</v>
      </c>
      <c r="U118" s="1065">
        <v>0</v>
      </c>
      <c r="V118" s="1065">
        <v>0</v>
      </c>
      <c r="W118" s="1065">
        <v>0</v>
      </c>
      <c r="X118" s="1065">
        <v>0</v>
      </c>
      <c r="Y118" s="1065">
        <v>0</v>
      </c>
      <c r="Z118" s="1065">
        <v>0</v>
      </c>
      <c r="AA118" s="1065">
        <v>0</v>
      </c>
      <c r="AB118" s="1065">
        <v>0</v>
      </c>
      <c r="AC118" s="1065">
        <v>0</v>
      </c>
      <c r="AD118" s="1065">
        <v>104.13000000000001</v>
      </c>
      <c r="AE118" s="1065">
        <v>0</v>
      </c>
      <c r="AF118" s="1065">
        <v>0</v>
      </c>
      <c r="AG118" s="1065">
        <v>0</v>
      </c>
      <c r="AH118" s="1065">
        <v>0</v>
      </c>
      <c r="AI118" s="1065">
        <v>0</v>
      </c>
      <c r="AJ118" s="1065">
        <v>0</v>
      </c>
      <c r="AK118" s="1065">
        <v>0</v>
      </c>
      <c r="AL118" s="1065">
        <v>0</v>
      </c>
      <c r="AM118" s="1065">
        <v>0</v>
      </c>
      <c r="AN118" s="1064">
        <v>-57.790839075800569</v>
      </c>
      <c r="AO118" s="1064">
        <v>-100</v>
      </c>
      <c r="AP118" s="1064">
        <v>0</v>
      </c>
      <c r="AQ118" s="1064">
        <v>0</v>
      </c>
      <c r="AR118" s="1064">
        <v>0</v>
      </c>
      <c r="AS118" s="1064">
        <v>0</v>
      </c>
      <c r="AT118" s="1064">
        <v>0</v>
      </c>
      <c r="AU118" s="1064">
        <v>0</v>
      </c>
      <c r="AV118" s="1064">
        <v>0</v>
      </c>
      <c r="AW118" s="1064">
        <v>0</v>
      </c>
      <c r="AX118" s="868"/>
      <c r="AY118" s="868"/>
      <c r="AZ118" s="868"/>
      <c r="BA118" s="1082"/>
    </row>
    <row r="119" spans="1:53" ht="22.5">
      <c r="A119" s="895">
        <v>1</v>
      </c>
      <c r="B119" s="1033"/>
      <c r="C119" s="1033"/>
      <c r="D119" s="1033"/>
      <c r="E119" s="1033"/>
      <c r="F119" s="1033"/>
      <c r="G119" s="1033"/>
      <c r="H119" s="1033"/>
      <c r="I119" s="1033"/>
      <c r="J119" s="1033"/>
      <c r="K119" s="1033"/>
      <c r="L119" s="1067" t="s">
        <v>200</v>
      </c>
      <c r="M119" s="1092" t="s">
        <v>673</v>
      </c>
      <c r="N119" s="1069" t="s">
        <v>370</v>
      </c>
      <c r="O119" s="896"/>
      <c r="P119" s="896">
        <v>324.32499999999999</v>
      </c>
      <c r="Q119" s="896">
        <v>0.08</v>
      </c>
      <c r="R119" s="1076">
        <v>-324.245</v>
      </c>
      <c r="S119" s="896">
        <v>246.7</v>
      </c>
      <c r="T119" s="896">
        <v>111.73</v>
      </c>
      <c r="U119" s="896">
        <v>0</v>
      </c>
      <c r="V119" s="896">
        <v>0</v>
      </c>
      <c r="W119" s="896">
        <v>0</v>
      </c>
      <c r="X119" s="896">
        <v>0</v>
      </c>
      <c r="Y119" s="896">
        <v>0</v>
      </c>
      <c r="Z119" s="896">
        <v>0</v>
      </c>
      <c r="AA119" s="896">
        <v>0</v>
      </c>
      <c r="AB119" s="896">
        <v>0</v>
      </c>
      <c r="AC119" s="896">
        <v>0</v>
      </c>
      <c r="AD119" s="896">
        <v>104.13000000000001</v>
      </c>
      <c r="AE119" s="896"/>
      <c r="AF119" s="896"/>
      <c r="AG119" s="896"/>
      <c r="AH119" s="896"/>
      <c r="AI119" s="896"/>
      <c r="AJ119" s="896"/>
      <c r="AK119" s="896"/>
      <c r="AL119" s="896"/>
      <c r="AM119" s="896"/>
      <c r="AN119" s="443"/>
      <c r="AO119" s="443"/>
      <c r="AP119" s="443"/>
      <c r="AQ119" s="443"/>
      <c r="AR119" s="443"/>
      <c r="AS119" s="443"/>
      <c r="AT119" s="443"/>
      <c r="AU119" s="443"/>
      <c r="AV119" s="443"/>
      <c r="AW119" s="443"/>
      <c r="AX119" s="868"/>
      <c r="AY119" s="868"/>
      <c r="AZ119" s="868"/>
      <c r="BA119" s="1033"/>
    </row>
    <row r="120" spans="1:53" ht="22.5">
      <c r="A120" s="895">
        <v>1</v>
      </c>
      <c r="B120" s="1033"/>
      <c r="C120" s="1033"/>
      <c r="D120" s="1033"/>
      <c r="E120" s="1033"/>
      <c r="F120" s="1033"/>
      <c r="G120" s="1033"/>
      <c r="H120" s="1033"/>
      <c r="I120" s="1033"/>
      <c r="J120" s="1033"/>
      <c r="K120" s="1033"/>
      <c r="L120" s="1067" t="s">
        <v>201</v>
      </c>
      <c r="M120" s="1068" t="s">
        <v>674</v>
      </c>
      <c r="N120" s="1069" t="s">
        <v>370</v>
      </c>
      <c r="O120" s="896"/>
      <c r="P120" s="896"/>
      <c r="Q120" s="896"/>
      <c r="R120" s="1076">
        <v>0</v>
      </c>
      <c r="S120" s="896"/>
      <c r="T120" s="896"/>
      <c r="U120" s="896"/>
      <c r="V120" s="896"/>
      <c r="W120" s="896"/>
      <c r="X120" s="896"/>
      <c r="Y120" s="896"/>
      <c r="Z120" s="896"/>
      <c r="AA120" s="896"/>
      <c r="AB120" s="896"/>
      <c r="AC120" s="896"/>
      <c r="AD120" s="896"/>
      <c r="AE120" s="896"/>
      <c r="AF120" s="896"/>
      <c r="AG120" s="896"/>
      <c r="AH120" s="896"/>
      <c r="AI120" s="896"/>
      <c r="AJ120" s="896"/>
      <c r="AK120" s="896"/>
      <c r="AL120" s="896"/>
      <c r="AM120" s="896"/>
      <c r="AN120" s="443"/>
      <c r="AO120" s="443"/>
      <c r="AP120" s="443"/>
      <c r="AQ120" s="443"/>
      <c r="AR120" s="443"/>
      <c r="AS120" s="443"/>
      <c r="AT120" s="443"/>
      <c r="AU120" s="443"/>
      <c r="AV120" s="443"/>
      <c r="AW120" s="443"/>
      <c r="AX120" s="868"/>
      <c r="AY120" s="868"/>
      <c r="AZ120" s="868"/>
      <c r="BA120" s="1033"/>
    </row>
    <row r="121" spans="1:53" ht="11.25">
      <c r="A121" s="895">
        <v>1</v>
      </c>
      <c r="B121" s="1033"/>
      <c r="C121" s="1033"/>
      <c r="D121" s="1033"/>
      <c r="E121" s="1033"/>
      <c r="F121" s="1033"/>
      <c r="G121" s="1033"/>
      <c r="H121" s="1033"/>
      <c r="I121" s="1033"/>
      <c r="J121" s="1033"/>
      <c r="K121" s="1033"/>
      <c r="L121" s="1067" t="s">
        <v>134</v>
      </c>
      <c r="M121" s="1091" t="s">
        <v>675</v>
      </c>
      <c r="N121" s="1069" t="s">
        <v>370</v>
      </c>
      <c r="O121" s="896"/>
      <c r="P121" s="896"/>
      <c r="Q121" s="896"/>
      <c r="R121" s="1076">
        <v>0</v>
      </c>
      <c r="S121" s="896"/>
      <c r="T121" s="896"/>
      <c r="U121" s="896"/>
      <c r="V121" s="896"/>
      <c r="W121" s="896"/>
      <c r="X121" s="896"/>
      <c r="Y121" s="896"/>
      <c r="Z121" s="896"/>
      <c r="AA121" s="896"/>
      <c r="AB121" s="896"/>
      <c r="AC121" s="896"/>
      <c r="AD121" s="896"/>
      <c r="AE121" s="896"/>
      <c r="AF121" s="896"/>
      <c r="AG121" s="896"/>
      <c r="AH121" s="896"/>
      <c r="AI121" s="896"/>
      <c r="AJ121" s="896"/>
      <c r="AK121" s="896"/>
      <c r="AL121" s="896"/>
      <c r="AM121" s="896"/>
      <c r="AN121" s="443"/>
      <c r="AO121" s="443"/>
      <c r="AP121" s="443"/>
      <c r="AQ121" s="443"/>
      <c r="AR121" s="443"/>
      <c r="AS121" s="443"/>
      <c r="AT121" s="443"/>
      <c r="AU121" s="443"/>
      <c r="AV121" s="443"/>
      <c r="AW121" s="443"/>
      <c r="AX121" s="868"/>
      <c r="AY121" s="868"/>
      <c r="AZ121" s="868"/>
      <c r="BA121" s="1033"/>
    </row>
    <row r="122" spans="1:53" ht="11.25">
      <c r="A122" s="895">
        <v>1</v>
      </c>
      <c r="B122" s="1033"/>
      <c r="C122" s="1033"/>
      <c r="D122" s="1033"/>
      <c r="E122" s="1033"/>
      <c r="F122" s="1033"/>
      <c r="G122" s="1033"/>
      <c r="H122" s="1033"/>
      <c r="I122" s="1033"/>
      <c r="J122" s="1033"/>
      <c r="K122" s="1033"/>
      <c r="L122" s="1067" t="s">
        <v>135</v>
      </c>
      <c r="M122" s="1091" t="s">
        <v>676</v>
      </c>
      <c r="N122" s="1069" t="s">
        <v>370</v>
      </c>
      <c r="O122" s="896"/>
      <c r="P122" s="896"/>
      <c r="Q122" s="896"/>
      <c r="R122" s="1076">
        <v>0</v>
      </c>
      <c r="S122" s="896"/>
      <c r="T122" s="896"/>
      <c r="U122" s="896"/>
      <c r="V122" s="896"/>
      <c r="W122" s="896"/>
      <c r="X122" s="896"/>
      <c r="Y122" s="896"/>
      <c r="Z122" s="896"/>
      <c r="AA122" s="896"/>
      <c r="AB122" s="896"/>
      <c r="AC122" s="896"/>
      <c r="AD122" s="896"/>
      <c r="AE122" s="896"/>
      <c r="AF122" s="896"/>
      <c r="AG122" s="896"/>
      <c r="AH122" s="896"/>
      <c r="AI122" s="896"/>
      <c r="AJ122" s="896"/>
      <c r="AK122" s="896"/>
      <c r="AL122" s="896"/>
      <c r="AM122" s="896"/>
      <c r="AN122" s="443"/>
      <c r="AO122" s="443"/>
      <c r="AP122" s="443"/>
      <c r="AQ122" s="443"/>
      <c r="AR122" s="443"/>
      <c r="AS122" s="443"/>
      <c r="AT122" s="443"/>
      <c r="AU122" s="443"/>
      <c r="AV122" s="443"/>
      <c r="AW122" s="443"/>
      <c r="AX122" s="868"/>
      <c r="AY122" s="868"/>
      <c r="AZ122" s="868"/>
      <c r="BA122" s="1033"/>
    </row>
    <row r="123" spans="1:53" s="116" customFormat="1" ht="11.25">
      <c r="A123" s="895">
        <v>1</v>
      </c>
      <c r="B123" s="1082"/>
      <c r="C123" s="1082"/>
      <c r="D123" s="1082"/>
      <c r="E123" s="1082"/>
      <c r="F123" s="1082"/>
      <c r="G123" s="1082"/>
      <c r="H123" s="1082"/>
      <c r="I123" s="1082"/>
      <c r="J123" s="1082"/>
      <c r="K123" s="1082"/>
      <c r="L123" s="1083" t="s">
        <v>138</v>
      </c>
      <c r="M123" s="1089" t="s">
        <v>677</v>
      </c>
      <c r="N123" s="1085" t="s">
        <v>370</v>
      </c>
      <c r="O123" s="1064">
        <v>0</v>
      </c>
      <c r="P123" s="1064">
        <v>24651.919999999998</v>
      </c>
      <c r="Q123" s="1064">
        <v>22843.86</v>
      </c>
      <c r="R123" s="1064">
        <v>-1808.0599999999968</v>
      </c>
      <c r="S123" s="1064">
        <v>29456.590000000007</v>
      </c>
      <c r="T123" s="1064">
        <v>30029.81</v>
      </c>
      <c r="U123" s="1064">
        <v>21031.25</v>
      </c>
      <c r="V123" s="1064">
        <v>21031.25</v>
      </c>
      <c r="W123" s="1064">
        <v>21031.25</v>
      </c>
      <c r="X123" s="1064">
        <v>21031.25</v>
      </c>
      <c r="Y123" s="1064">
        <v>21031.25</v>
      </c>
      <c r="Z123" s="1064">
        <v>21031.25</v>
      </c>
      <c r="AA123" s="1064">
        <v>21031.25</v>
      </c>
      <c r="AB123" s="1064">
        <v>21031.25</v>
      </c>
      <c r="AC123" s="1064">
        <v>21031.25</v>
      </c>
      <c r="AD123" s="1064">
        <v>29454.03000000001</v>
      </c>
      <c r="AE123" s="1064">
        <v>33549.631600000001</v>
      </c>
      <c r="AF123" s="1064">
        <v>34030.279664000002</v>
      </c>
      <c r="AG123" s="1064">
        <v>34530.153650560002</v>
      </c>
      <c r="AH123" s="1064">
        <v>21533.43</v>
      </c>
      <c r="AI123" s="1064">
        <v>21533.43</v>
      </c>
      <c r="AJ123" s="1064">
        <v>21533.43</v>
      </c>
      <c r="AK123" s="1064">
        <v>21533.43</v>
      </c>
      <c r="AL123" s="1064">
        <v>21533.43</v>
      </c>
      <c r="AM123" s="1064">
        <v>21533.43</v>
      </c>
      <c r="AN123" s="1064">
        <v>-8.6907547682799364E-3</v>
      </c>
      <c r="AO123" s="1064">
        <v>13.905063585526293</v>
      </c>
      <c r="AP123" s="1064">
        <v>1.4326478148272748</v>
      </c>
      <c r="AQ123" s="1064">
        <v>1.4689094285898785</v>
      </c>
      <c r="AR123" s="1064">
        <v>-37.638765764221333</v>
      </c>
      <c r="AS123" s="1064">
        <v>0</v>
      </c>
      <c r="AT123" s="1064">
        <v>0</v>
      </c>
      <c r="AU123" s="1064">
        <v>0</v>
      </c>
      <c r="AV123" s="1064">
        <v>0</v>
      </c>
      <c r="AW123" s="1064">
        <v>0</v>
      </c>
      <c r="AX123" s="868"/>
      <c r="AY123" s="868"/>
      <c r="AZ123" s="868"/>
      <c r="BA123" s="1082"/>
    </row>
    <row r="124" spans="1:53" ht="15">
      <c r="A124" s="895">
        <v>1</v>
      </c>
      <c r="B124" s="1033"/>
      <c r="C124" s="1093" t="b">
        <v>0</v>
      </c>
      <c r="D124" s="1033"/>
      <c r="E124" s="1033"/>
      <c r="F124" s="1033"/>
      <c r="G124" s="1033"/>
      <c r="H124" s="1033"/>
      <c r="I124" s="1033"/>
      <c r="J124" s="1033"/>
      <c r="K124" s="1033"/>
      <c r="L124" s="1067" t="s">
        <v>1240</v>
      </c>
      <c r="M124" s="1068" t="s">
        <v>1336</v>
      </c>
      <c r="N124" s="1069" t="s">
        <v>370</v>
      </c>
      <c r="O124" s="896"/>
      <c r="P124" s="896"/>
      <c r="Q124" s="896"/>
      <c r="R124" s="1076">
        <v>0</v>
      </c>
      <c r="S124" s="896"/>
      <c r="T124" s="896"/>
      <c r="U124" s="896"/>
      <c r="V124" s="896"/>
      <c r="W124" s="896"/>
      <c r="X124" s="896"/>
      <c r="Y124" s="896"/>
      <c r="Z124" s="896"/>
      <c r="AA124" s="896"/>
      <c r="AB124" s="896"/>
      <c r="AC124" s="896"/>
      <c r="AD124" s="896"/>
      <c r="AE124" s="896"/>
      <c r="AF124" s="896"/>
      <c r="AG124" s="896"/>
      <c r="AH124" s="896"/>
      <c r="AI124" s="896"/>
      <c r="AJ124" s="896"/>
      <c r="AK124" s="896"/>
      <c r="AL124" s="896"/>
      <c r="AM124" s="896"/>
      <c r="AN124" s="443"/>
      <c r="AO124" s="443"/>
      <c r="AP124" s="443"/>
      <c r="AQ124" s="443"/>
      <c r="AR124" s="443"/>
      <c r="AS124" s="443"/>
      <c r="AT124" s="443"/>
      <c r="AU124" s="443"/>
      <c r="AV124" s="443"/>
      <c r="AW124" s="443"/>
      <c r="AX124" s="868"/>
      <c r="AY124" s="868"/>
      <c r="AZ124" s="868"/>
      <c r="BA124" s="1033"/>
    </row>
    <row r="125" spans="1:53" ht="15">
      <c r="A125" s="895">
        <v>1</v>
      </c>
      <c r="B125" s="1033"/>
      <c r="C125" s="1093" t="b">
        <v>0</v>
      </c>
      <c r="D125" s="1033"/>
      <c r="E125" s="1033"/>
      <c r="F125" s="1033"/>
      <c r="G125" s="1033"/>
      <c r="H125" s="1033"/>
      <c r="I125" s="1033"/>
      <c r="J125" s="1033"/>
      <c r="K125" s="1033"/>
      <c r="L125" s="1067" t="s">
        <v>1241</v>
      </c>
      <c r="M125" s="1068" t="s">
        <v>1337</v>
      </c>
      <c r="N125" s="1069" t="s">
        <v>370</v>
      </c>
      <c r="O125" s="896"/>
      <c r="P125" s="896"/>
      <c r="Q125" s="896"/>
      <c r="R125" s="1076">
        <v>0</v>
      </c>
      <c r="S125" s="896"/>
      <c r="T125" s="896"/>
      <c r="U125" s="896"/>
      <c r="V125" s="896"/>
      <c r="W125" s="896"/>
      <c r="X125" s="896"/>
      <c r="Y125" s="896"/>
      <c r="Z125" s="896"/>
      <c r="AA125" s="896"/>
      <c r="AB125" s="896"/>
      <c r="AC125" s="896"/>
      <c r="AD125" s="896"/>
      <c r="AE125" s="896"/>
      <c r="AF125" s="896"/>
      <c r="AG125" s="896"/>
      <c r="AH125" s="896"/>
      <c r="AI125" s="896"/>
      <c r="AJ125" s="896"/>
      <c r="AK125" s="896"/>
      <c r="AL125" s="896"/>
      <c r="AM125" s="896"/>
      <c r="AN125" s="443"/>
      <c r="AO125" s="443"/>
      <c r="AP125" s="443"/>
      <c r="AQ125" s="443"/>
      <c r="AR125" s="443"/>
      <c r="AS125" s="443"/>
      <c r="AT125" s="443"/>
      <c r="AU125" s="443"/>
      <c r="AV125" s="443"/>
      <c r="AW125" s="443"/>
      <c r="AX125" s="868"/>
      <c r="AY125" s="868"/>
      <c r="AZ125" s="868"/>
      <c r="BA125" s="1033"/>
    </row>
    <row r="126" spans="1:53" s="116" customFormat="1" ht="11.25">
      <c r="A126" s="895">
        <v>1</v>
      </c>
      <c r="B126" s="1033" t="s">
        <v>1217</v>
      </c>
      <c r="C126" s="1082"/>
      <c r="D126" s="1082"/>
      <c r="E126" s="1082"/>
      <c r="F126" s="1082"/>
      <c r="G126" s="1082"/>
      <c r="H126" s="1082"/>
      <c r="I126" s="1082"/>
      <c r="J126" s="1082"/>
      <c r="K126" s="1082"/>
      <c r="L126" s="1083" t="s">
        <v>139</v>
      </c>
      <c r="M126" s="1089" t="s">
        <v>678</v>
      </c>
      <c r="N126" s="1085" t="s">
        <v>329</v>
      </c>
      <c r="O126" s="1094">
        <v>0</v>
      </c>
      <c r="P126" s="1094">
        <v>2066.08</v>
      </c>
      <c r="Q126" s="1094">
        <v>2066.08</v>
      </c>
      <c r="R126" s="1094">
        <v>0</v>
      </c>
      <c r="S126" s="1094">
        <v>2231.56</v>
      </c>
      <c r="T126" s="1094">
        <v>2066.08</v>
      </c>
      <c r="U126" s="1094">
        <v>0</v>
      </c>
      <c r="V126" s="1094">
        <v>0</v>
      </c>
      <c r="W126" s="1094">
        <v>0</v>
      </c>
      <c r="X126" s="1094">
        <v>0</v>
      </c>
      <c r="Y126" s="1094">
        <v>0</v>
      </c>
      <c r="Z126" s="1094">
        <v>0</v>
      </c>
      <c r="AA126" s="1094">
        <v>0</v>
      </c>
      <c r="AB126" s="1094">
        <v>0</v>
      </c>
      <c r="AC126" s="1094">
        <v>0</v>
      </c>
      <c r="AD126" s="1094">
        <v>2066.08</v>
      </c>
      <c r="AE126" s="1094">
        <v>0</v>
      </c>
      <c r="AF126" s="1094">
        <v>0</v>
      </c>
      <c r="AG126" s="1094">
        <v>0</v>
      </c>
      <c r="AH126" s="1094">
        <v>0</v>
      </c>
      <c r="AI126" s="1094">
        <v>0</v>
      </c>
      <c r="AJ126" s="1094">
        <v>0</v>
      </c>
      <c r="AK126" s="1094">
        <v>0</v>
      </c>
      <c r="AL126" s="1094">
        <v>0</v>
      </c>
      <c r="AM126" s="1094">
        <v>0</v>
      </c>
      <c r="AN126" s="537"/>
      <c r="AO126" s="537"/>
      <c r="AP126" s="537"/>
      <c r="AQ126" s="537"/>
      <c r="AR126" s="537"/>
      <c r="AS126" s="537"/>
      <c r="AT126" s="537"/>
      <c r="AU126" s="537"/>
      <c r="AV126" s="537"/>
      <c r="AW126" s="537"/>
      <c r="AX126" s="868"/>
      <c r="AY126" s="868"/>
      <c r="AZ126" s="868"/>
      <c r="BA126" s="1082"/>
    </row>
    <row r="127" spans="1:53" ht="11.25">
      <c r="A127" s="895">
        <v>1</v>
      </c>
      <c r="B127" s="1033" t="s">
        <v>1213</v>
      </c>
      <c r="C127" s="1033"/>
      <c r="D127" s="1033"/>
      <c r="E127" s="1033"/>
      <c r="F127" s="1033"/>
      <c r="G127" s="1033"/>
      <c r="H127" s="1033"/>
      <c r="I127" s="1033"/>
      <c r="J127" s="1033"/>
      <c r="K127" s="1033"/>
      <c r="L127" s="1067" t="s">
        <v>150</v>
      </c>
      <c r="M127" s="1092" t="s">
        <v>1136</v>
      </c>
      <c r="N127" s="1069" t="s">
        <v>329</v>
      </c>
      <c r="O127" s="1095">
        <v>0</v>
      </c>
      <c r="P127" s="1095">
        <v>1091.72</v>
      </c>
      <c r="Q127" s="1095">
        <v>1033.04</v>
      </c>
      <c r="R127" s="1071">
        <v>-58.680000000000064</v>
      </c>
      <c r="S127" s="1095">
        <v>1115.78</v>
      </c>
      <c r="T127" s="1095">
        <v>1091.72</v>
      </c>
      <c r="U127" s="1095">
        <v>0</v>
      </c>
      <c r="V127" s="1095">
        <v>0</v>
      </c>
      <c r="W127" s="1095">
        <v>0</v>
      </c>
      <c r="X127" s="1095">
        <v>0</v>
      </c>
      <c r="Y127" s="1095">
        <v>0</v>
      </c>
      <c r="Z127" s="1095">
        <v>0</v>
      </c>
      <c r="AA127" s="1095">
        <v>0</v>
      </c>
      <c r="AB127" s="1095">
        <v>0</v>
      </c>
      <c r="AC127" s="1095">
        <v>0</v>
      </c>
      <c r="AD127" s="1095">
        <v>1033.04</v>
      </c>
      <c r="AE127" s="1095">
        <v>0</v>
      </c>
      <c r="AF127" s="1095">
        <v>0</v>
      </c>
      <c r="AG127" s="1095">
        <v>0</v>
      </c>
      <c r="AH127" s="1095">
        <v>0</v>
      </c>
      <c r="AI127" s="1095">
        <v>0</v>
      </c>
      <c r="AJ127" s="1095">
        <v>0</v>
      </c>
      <c r="AK127" s="1095">
        <v>0</v>
      </c>
      <c r="AL127" s="1095">
        <v>0</v>
      </c>
      <c r="AM127" s="1095">
        <v>0</v>
      </c>
      <c r="AN127" s="443"/>
      <c r="AO127" s="443"/>
      <c r="AP127" s="443"/>
      <c r="AQ127" s="443"/>
      <c r="AR127" s="443"/>
      <c r="AS127" s="443"/>
      <c r="AT127" s="443"/>
      <c r="AU127" s="443"/>
      <c r="AV127" s="443"/>
      <c r="AW127" s="443"/>
      <c r="AX127" s="868"/>
      <c r="AY127" s="868"/>
      <c r="AZ127" s="868"/>
      <c r="BA127" s="1033"/>
    </row>
    <row r="128" spans="1:53" ht="11.25">
      <c r="A128" s="895">
        <v>1</v>
      </c>
      <c r="B128" s="1033" t="s">
        <v>1208</v>
      </c>
      <c r="C128" s="1033"/>
      <c r="D128" s="1033"/>
      <c r="E128" s="1033"/>
      <c r="F128" s="1033"/>
      <c r="G128" s="1033"/>
      <c r="H128" s="1033"/>
      <c r="I128" s="1033"/>
      <c r="J128" s="1033"/>
      <c r="K128" s="1033"/>
      <c r="L128" s="1067" t="s">
        <v>151</v>
      </c>
      <c r="M128" s="1092" t="s">
        <v>1135</v>
      </c>
      <c r="N128" s="1069" t="s">
        <v>679</v>
      </c>
      <c r="O128" s="896"/>
      <c r="P128" s="896">
        <v>9.5</v>
      </c>
      <c r="Q128" s="896"/>
      <c r="R128" s="1076">
        <v>-9.5</v>
      </c>
      <c r="S128" s="896">
        <v>13.2</v>
      </c>
      <c r="T128" s="896">
        <v>13.2</v>
      </c>
      <c r="U128" s="896"/>
      <c r="V128" s="896"/>
      <c r="W128" s="896"/>
      <c r="X128" s="896"/>
      <c r="Y128" s="896"/>
      <c r="Z128" s="896"/>
      <c r="AA128" s="896"/>
      <c r="AB128" s="896"/>
      <c r="AC128" s="896"/>
      <c r="AD128" s="896">
        <v>13.2</v>
      </c>
      <c r="AE128" s="896"/>
      <c r="AF128" s="896"/>
      <c r="AG128" s="896"/>
      <c r="AH128" s="896"/>
      <c r="AI128" s="896"/>
      <c r="AJ128" s="896"/>
      <c r="AK128" s="896"/>
      <c r="AL128" s="896"/>
      <c r="AM128" s="896"/>
      <c r="AN128" s="443"/>
      <c r="AO128" s="443"/>
      <c r="AP128" s="443"/>
      <c r="AQ128" s="443"/>
      <c r="AR128" s="443"/>
      <c r="AS128" s="443"/>
      <c r="AT128" s="443"/>
      <c r="AU128" s="443"/>
      <c r="AV128" s="443"/>
      <c r="AW128" s="443"/>
      <c r="AX128" s="868"/>
      <c r="AY128" s="868"/>
      <c r="AZ128" s="868"/>
      <c r="BA128" s="1033"/>
    </row>
    <row r="129" spans="1:53" ht="11.25">
      <c r="A129" s="895">
        <v>1</v>
      </c>
      <c r="B129" s="1033" t="s">
        <v>1214</v>
      </c>
      <c r="C129" s="1033"/>
      <c r="D129" s="1033"/>
      <c r="E129" s="1033"/>
      <c r="F129" s="1033"/>
      <c r="G129" s="1033"/>
      <c r="H129" s="1033"/>
      <c r="I129" s="1033"/>
      <c r="J129" s="1033"/>
      <c r="K129" s="1033"/>
      <c r="L129" s="1067" t="s">
        <v>152</v>
      </c>
      <c r="M129" s="1092" t="s">
        <v>1137</v>
      </c>
      <c r="N129" s="1069" t="s">
        <v>329</v>
      </c>
      <c r="O129" s="1096">
        <v>0</v>
      </c>
      <c r="P129" s="1096">
        <v>974.3599999999999</v>
      </c>
      <c r="Q129" s="1096">
        <v>1033.04</v>
      </c>
      <c r="R129" s="1071">
        <v>58.680000000000064</v>
      </c>
      <c r="S129" s="1096">
        <v>1115.78</v>
      </c>
      <c r="T129" s="1096">
        <v>974.3599999999999</v>
      </c>
      <c r="U129" s="1096">
        <v>0</v>
      </c>
      <c r="V129" s="1096">
        <v>0</v>
      </c>
      <c r="W129" s="1096">
        <v>0</v>
      </c>
      <c r="X129" s="1096">
        <v>0</v>
      </c>
      <c r="Y129" s="1096">
        <v>0</v>
      </c>
      <c r="Z129" s="1096">
        <v>0</v>
      </c>
      <c r="AA129" s="1096">
        <v>0</v>
      </c>
      <c r="AB129" s="1096">
        <v>0</v>
      </c>
      <c r="AC129" s="1096">
        <v>0</v>
      </c>
      <c r="AD129" s="1096">
        <v>1033.04</v>
      </c>
      <c r="AE129" s="1096">
        <v>0</v>
      </c>
      <c r="AF129" s="1096">
        <v>0</v>
      </c>
      <c r="AG129" s="1096">
        <v>0</v>
      </c>
      <c r="AH129" s="1096">
        <v>0</v>
      </c>
      <c r="AI129" s="1096">
        <v>0</v>
      </c>
      <c r="AJ129" s="1096">
        <v>0</v>
      </c>
      <c r="AK129" s="1096">
        <v>0</v>
      </c>
      <c r="AL129" s="1096">
        <v>0</v>
      </c>
      <c r="AM129" s="1096">
        <v>0</v>
      </c>
      <c r="AN129" s="443"/>
      <c r="AO129" s="443"/>
      <c r="AP129" s="443"/>
      <c r="AQ129" s="443"/>
      <c r="AR129" s="443"/>
      <c r="AS129" s="443"/>
      <c r="AT129" s="443"/>
      <c r="AU129" s="443"/>
      <c r="AV129" s="443"/>
      <c r="AW129" s="443"/>
      <c r="AX129" s="868"/>
      <c r="AY129" s="868"/>
      <c r="AZ129" s="868"/>
      <c r="BA129" s="1033"/>
    </row>
    <row r="130" spans="1:53" ht="11.25">
      <c r="A130" s="895">
        <v>1</v>
      </c>
      <c r="B130" s="1033" t="s">
        <v>1209</v>
      </c>
      <c r="C130" s="1033"/>
      <c r="D130" s="1033"/>
      <c r="E130" s="1033"/>
      <c r="F130" s="1033"/>
      <c r="G130" s="1033"/>
      <c r="H130" s="1033"/>
      <c r="I130" s="1033"/>
      <c r="J130" s="1033"/>
      <c r="K130" s="1033"/>
      <c r="L130" s="1067" t="s">
        <v>153</v>
      </c>
      <c r="M130" s="1092" t="s">
        <v>1138</v>
      </c>
      <c r="N130" s="1069" t="s">
        <v>679</v>
      </c>
      <c r="O130" s="1097"/>
      <c r="P130" s="1097">
        <v>11.75</v>
      </c>
      <c r="Q130" s="1097">
        <v>22.113238596762955</v>
      </c>
      <c r="R130" s="1076">
        <v>10.363238596762955</v>
      </c>
      <c r="S130" s="1097">
        <v>13.199998207531959</v>
      </c>
      <c r="T130" s="1097">
        <v>16.030118231454498</v>
      </c>
      <c r="U130" s="1097">
        <v>0</v>
      </c>
      <c r="V130" s="1097">
        <v>0</v>
      </c>
      <c r="W130" s="1097">
        <v>0</v>
      </c>
      <c r="X130" s="1097">
        <v>0</v>
      </c>
      <c r="Y130" s="1097">
        <v>0</v>
      </c>
      <c r="Z130" s="1097">
        <v>0</v>
      </c>
      <c r="AA130" s="1097">
        <v>0</v>
      </c>
      <c r="AB130" s="1097">
        <v>0</v>
      </c>
      <c r="AC130" s="1097">
        <v>0</v>
      </c>
      <c r="AD130" s="1097">
        <v>15.311993727251618</v>
      </c>
      <c r="AE130" s="1097">
        <v>0</v>
      </c>
      <c r="AF130" s="1097">
        <v>0</v>
      </c>
      <c r="AG130" s="1097">
        <v>0</v>
      </c>
      <c r="AH130" s="1097">
        <v>0</v>
      </c>
      <c r="AI130" s="1097">
        <v>0</v>
      </c>
      <c r="AJ130" s="1097">
        <v>0</v>
      </c>
      <c r="AK130" s="1097">
        <v>0</v>
      </c>
      <c r="AL130" s="1097">
        <v>0</v>
      </c>
      <c r="AM130" s="1097">
        <v>0</v>
      </c>
      <c r="AN130" s="443"/>
      <c r="AO130" s="443"/>
      <c r="AP130" s="443"/>
      <c r="AQ130" s="443"/>
      <c r="AR130" s="443"/>
      <c r="AS130" s="443"/>
      <c r="AT130" s="443"/>
      <c r="AU130" s="443"/>
      <c r="AV130" s="443"/>
      <c r="AW130" s="443"/>
      <c r="AX130" s="868"/>
      <c r="AY130" s="868"/>
      <c r="AZ130" s="868"/>
      <c r="BA130" s="1033"/>
    </row>
    <row r="131" spans="1:53" ht="11.25">
      <c r="A131" s="895">
        <v>1</v>
      </c>
      <c r="B131" s="1033"/>
      <c r="C131" s="1033"/>
      <c r="D131" s="1033"/>
      <c r="E131" s="1033"/>
      <c r="F131" s="1033"/>
      <c r="G131" s="1033"/>
      <c r="H131" s="1033"/>
      <c r="I131" s="1033"/>
      <c r="J131" s="1033"/>
      <c r="K131" s="1033"/>
      <c r="L131" s="1067" t="s">
        <v>680</v>
      </c>
      <c r="M131" s="1068" t="s">
        <v>681</v>
      </c>
      <c r="N131" s="1069" t="s">
        <v>145</v>
      </c>
      <c r="O131" s="1098">
        <v>0</v>
      </c>
      <c r="P131" s="1098">
        <v>123.68421052631579</v>
      </c>
      <c r="Q131" s="1098">
        <v>0</v>
      </c>
      <c r="R131" s="443"/>
      <c r="S131" s="1098">
        <v>99.999986420696658</v>
      </c>
      <c r="T131" s="1098">
        <v>121.44028963223106</v>
      </c>
      <c r="U131" s="1098">
        <v>0</v>
      </c>
      <c r="V131" s="1098">
        <v>0</v>
      </c>
      <c r="W131" s="1098">
        <v>0</v>
      </c>
      <c r="X131" s="1098">
        <v>0</v>
      </c>
      <c r="Y131" s="1098">
        <v>0</v>
      </c>
      <c r="Z131" s="1098">
        <v>0</v>
      </c>
      <c r="AA131" s="1098">
        <v>0</v>
      </c>
      <c r="AB131" s="1098">
        <v>0</v>
      </c>
      <c r="AC131" s="1098">
        <v>0</v>
      </c>
      <c r="AD131" s="1098">
        <v>115.99995247917893</v>
      </c>
      <c r="AE131" s="1098">
        <v>0</v>
      </c>
      <c r="AF131" s="1098">
        <v>0</v>
      </c>
      <c r="AG131" s="1098">
        <v>0</v>
      </c>
      <c r="AH131" s="1098">
        <v>0</v>
      </c>
      <c r="AI131" s="1098">
        <v>0</v>
      </c>
      <c r="AJ131" s="1098">
        <v>0</v>
      </c>
      <c r="AK131" s="1098">
        <v>0</v>
      </c>
      <c r="AL131" s="1098">
        <v>0</v>
      </c>
      <c r="AM131" s="1098">
        <v>0</v>
      </c>
      <c r="AN131" s="443"/>
      <c r="AO131" s="443"/>
      <c r="AP131" s="443"/>
      <c r="AQ131" s="443"/>
      <c r="AR131" s="443"/>
      <c r="AS131" s="443"/>
      <c r="AT131" s="443"/>
      <c r="AU131" s="443"/>
      <c r="AV131" s="443"/>
      <c r="AW131" s="443"/>
      <c r="AX131" s="868"/>
      <c r="AY131" s="868"/>
      <c r="AZ131" s="868"/>
      <c r="BA131" s="1033"/>
    </row>
    <row r="132" spans="1:53" ht="11.25">
      <c r="A132" s="895">
        <v>1</v>
      </c>
      <c r="B132" s="1033"/>
      <c r="C132" s="1033"/>
      <c r="D132" s="1033"/>
      <c r="E132" s="1033"/>
      <c r="F132" s="1033"/>
      <c r="G132" s="1033"/>
      <c r="H132" s="1033"/>
      <c r="I132" s="1033"/>
      <c r="J132" s="1033"/>
      <c r="K132" s="1033"/>
      <c r="L132" s="1067" t="s">
        <v>682</v>
      </c>
      <c r="M132" s="1068" t="s">
        <v>683</v>
      </c>
      <c r="N132" s="1069" t="s">
        <v>679</v>
      </c>
      <c r="O132" s="896">
        <v>0</v>
      </c>
      <c r="P132" s="896">
        <v>11.931735460388754</v>
      </c>
      <c r="Q132" s="896">
        <v>11.056619298381477</v>
      </c>
      <c r="R132" s="1076">
        <v>-0.87511616200727715</v>
      </c>
      <c r="S132" s="896">
        <v>13.199999103765979</v>
      </c>
      <c r="T132" s="896"/>
      <c r="U132" s="896">
        <v>0</v>
      </c>
      <c r="V132" s="896">
        <v>0</v>
      </c>
      <c r="W132" s="896">
        <v>0</v>
      </c>
      <c r="X132" s="896">
        <v>0</v>
      </c>
      <c r="Y132" s="896">
        <v>0</v>
      </c>
      <c r="Z132" s="896">
        <v>0</v>
      </c>
      <c r="AA132" s="896">
        <v>0</v>
      </c>
      <c r="AB132" s="896">
        <v>0</v>
      </c>
      <c r="AC132" s="896">
        <v>0</v>
      </c>
      <c r="AD132" s="896"/>
      <c r="AE132" s="896">
        <v>0</v>
      </c>
      <c r="AF132" s="896">
        <v>0</v>
      </c>
      <c r="AG132" s="896">
        <v>0</v>
      </c>
      <c r="AH132" s="896">
        <v>0</v>
      </c>
      <c r="AI132" s="896">
        <v>0</v>
      </c>
      <c r="AJ132" s="896">
        <v>0</v>
      </c>
      <c r="AK132" s="896">
        <v>0</v>
      </c>
      <c r="AL132" s="896">
        <v>0</v>
      </c>
      <c r="AM132" s="896">
        <v>0</v>
      </c>
      <c r="AN132" s="443"/>
      <c r="AO132" s="443"/>
      <c r="AP132" s="443"/>
      <c r="AQ132" s="443"/>
      <c r="AR132" s="443"/>
      <c r="AS132" s="443"/>
      <c r="AT132" s="443"/>
      <c r="AU132" s="443"/>
      <c r="AV132" s="443"/>
      <c r="AW132" s="443"/>
      <c r="AX132" s="868"/>
      <c r="AY132" s="868"/>
      <c r="AZ132" s="868"/>
      <c r="BA132" s="1033"/>
    </row>
    <row r="133" spans="1:53" s="116" customFormat="1" ht="11.25">
      <c r="A133" s="895">
        <v>1</v>
      </c>
      <c r="B133" s="1082"/>
      <c r="C133" s="1082"/>
      <c r="D133" s="1082"/>
      <c r="E133" s="1082"/>
      <c r="F133" s="1082"/>
      <c r="G133" s="1082"/>
      <c r="H133" s="1082"/>
      <c r="I133" s="1082"/>
      <c r="J133" s="1082"/>
      <c r="K133" s="1082"/>
      <c r="L133" s="1083" t="s">
        <v>140</v>
      </c>
      <c r="M133" s="1089" t="s">
        <v>1342</v>
      </c>
      <c r="N133" s="1085" t="s">
        <v>370</v>
      </c>
      <c r="O133" s="1099">
        <v>0</v>
      </c>
      <c r="P133" s="1099">
        <v>0</v>
      </c>
      <c r="Q133" s="1099">
        <v>0</v>
      </c>
      <c r="R133" s="1064">
        <v>0</v>
      </c>
      <c r="S133" s="1099">
        <v>0</v>
      </c>
      <c r="T133" s="1099">
        <v>0</v>
      </c>
      <c r="U133" s="1099">
        <v>0</v>
      </c>
      <c r="V133" s="1099">
        <v>0</v>
      </c>
      <c r="W133" s="1099">
        <v>0</v>
      </c>
      <c r="X133" s="1099">
        <v>0</v>
      </c>
      <c r="Y133" s="1099">
        <v>0</v>
      </c>
      <c r="Z133" s="1099">
        <v>0</v>
      </c>
      <c r="AA133" s="1099">
        <v>0</v>
      </c>
      <c r="AB133" s="1099">
        <v>0</v>
      </c>
      <c r="AC133" s="1099">
        <v>0</v>
      </c>
      <c r="AD133" s="1099">
        <v>0</v>
      </c>
      <c r="AE133" s="1099">
        <v>0</v>
      </c>
      <c r="AF133" s="1099">
        <v>0</v>
      </c>
      <c r="AG133" s="1099">
        <v>0</v>
      </c>
      <c r="AH133" s="1099">
        <v>0</v>
      </c>
      <c r="AI133" s="1099">
        <v>0</v>
      </c>
      <c r="AJ133" s="1099">
        <v>0</v>
      </c>
      <c r="AK133" s="1099">
        <v>0</v>
      </c>
      <c r="AL133" s="1099">
        <v>0</v>
      </c>
      <c r="AM133" s="1099">
        <v>0</v>
      </c>
      <c r="AN133" s="1064">
        <v>0</v>
      </c>
      <c r="AO133" s="1064">
        <v>0</v>
      </c>
      <c r="AP133" s="1064">
        <v>0</v>
      </c>
      <c r="AQ133" s="1064">
        <v>0</v>
      </c>
      <c r="AR133" s="1064">
        <v>0</v>
      </c>
      <c r="AS133" s="1064">
        <v>0</v>
      </c>
      <c r="AT133" s="1064">
        <v>0</v>
      </c>
      <c r="AU133" s="1064">
        <v>0</v>
      </c>
      <c r="AV133" s="1064">
        <v>0</v>
      </c>
      <c r="AW133" s="1064">
        <v>0</v>
      </c>
      <c r="AX133" s="868"/>
      <c r="AY133" s="868"/>
      <c r="AZ133" s="868"/>
      <c r="BA133" s="1082"/>
    </row>
    <row r="134" spans="1:53" s="116" customFormat="1" ht="11.25">
      <c r="A134" s="895">
        <v>1</v>
      </c>
      <c r="B134" s="1033" t="s">
        <v>1218</v>
      </c>
      <c r="C134" s="1082"/>
      <c r="D134" s="1082"/>
      <c r="E134" s="1082"/>
      <c r="F134" s="1082"/>
      <c r="G134" s="1082"/>
      <c r="H134" s="1082"/>
      <c r="I134" s="1082"/>
      <c r="J134" s="1082"/>
      <c r="K134" s="1082"/>
      <c r="L134" s="1083" t="s">
        <v>141</v>
      </c>
      <c r="M134" s="1089" t="s">
        <v>684</v>
      </c>
      <c r="N134" s="1085" t="s">
        <v>329</v>
      </c>
      <c r="O134" s="1094">
        <v>0</v>
      </c>
      <c r="P134" s="1094">
        <v>0</v>
      </c>
      <c r="Q134" s="1094">
        <v>0</v>
      </c>
      <c r="R134" s="1094">
        <v>0</v>
      </c>
      <c r="S134" s="1094">
        <v>0</v>
      </c>
      <c r="T134" s="1094">
        <v>0</v>
      </c>
      <c r="U134" s="1094">
        <v>0</v>
      </c>
      <c r="V134" s="1094">
        <v>0</v>
      </c>
      <c r="W134" s="1094">
        <v>0</v>
      </c>
      <c r="X134" s="1094">
        <v>0</v>
      </c>
      <c r="Y134" s="1094">
        <v>0</v>
      </c>
      <c r="Z134" s="1094">
        <v>0</v>
      </c>
      <c r="AA134" s="1094">
        <v>0</v>
      </c>
      <c r="AB134" s="1094">
        <v>0</v>
      </c>
      <c r="AC134" s="1094">
        <v>0</v>
      </c>
      <c r="AD134" s="1094">
        <v>0</v>
      </c>
      <c r="AE134" s="1094">
        <v>0</v>
      </c>
      <c r="AF134" s="1094">
        <v>0</v>
      </c>
      <c r="AG134" s="1094">
        <v>0</v>
      </c>
      <c r="AH134" s="1094">
        <v>0</v>
      </c>
      <c r="AI134" s="1094">
        <v>0</v>
      </c>
      <c r="AJ134" s="1094">
        <v>0</v>
      </c>
      <c r="AK134" s="1094">
        <v>0</v>
      </c>
      <c r="AL134" s="1094">
        <v>0</v>
      </c>
      <c r="AM134" s="1094">
        <v>0</v>
      </c>
      <c r="AN134" s="537"/>
      <c r="AO134" s="537"/>
      <c r="AP134" s="537"/>
      <c r="AQ134" s="537"/>
      <c r="AR134" s="537"/>
      <c r="AS134" s="537"/>
      <c r="AT134" s="537"/>
      <c r="AU134" s="537"/>
      <c r="AV134" s="537"/>
      <c r="AW134" s="537"/>
      <c r="AX134" s="868"/>
      <c r="AY134" s="868"/>
      <c r="AZ134" s="868"/>
      <c r="BA134" s="1082"/>
    </row>
    <row r="135" spans="1:53" ht="11.25">
      <c r="A135" s="895">
        <v>1</v>
      </c>
      <c r="B135" s="1033" t="s">
        <v>1215</v>
      </c>
      <c r="C135" s="1033"/>
      <c r="D135" s="1033"/>
      <c r="E135" s="1033"/>
      <c r="F135" s="1033"/>
      <c r="G135" s="1033"/>
      <c r="H135" s="1033"/>
      <c r="I135" s="1033"/>
      <c r="J135" s="1033"/>
      <c r="K135" s="1033"/>
      <c r="L135" s="1100" t="s">
        <v>154</v>
      </c>
      <c r="M135" s="1092" t="s">
        <v>1200</v>
      </c>
      <c r="N135" s="1101" t="s">
        <v>329</v>
      </c>
      <c r="O135" s="1095">
        <v>0</v>
      </c>
      <c r="P135" s="1095">
        <v>0</v>
      </c>
      <c r="Q135" s="1095">
        <v>0</v>
      </c>
      <c r="R135" s="1071">
        <v>0</v>
      </c>
      <c r="S135" s="1095">
        <v>0</v>
      </c>
      <c r="T135" s="1095">
        <v>0</v>
      </c>
      <c r="U135" s="1095">
        <v>0</v>
      </c>
      <c r="V135" s="1095">
        <v>0</v>
      </c>
      <c r="W135" s="1095">
        <v>0</v>
      </c>
      <c r="X135" s="1095">
        <v>0</v>
      </c>
      <c r="Y135" s="1095">
        <v>0</v>
      </c>
      <c r="Z135" s="1095">
        <v>0</v>
      </c>
      <c r="AA135" s="1095">
        <v>0</v>
      </c>
      <c r="AB135" s="1095">
        <v>0</v>
      </c>
      <c r="AC135" s="1095">
        <v>0</v>
      </c>
      <c r="AD135" s="1095">
        <v>0</v>
      </c>
      <c r="AE135" s="1095">
        <v>0</v>
      </c>
      <c r="AF135" s="1095">
        <v>0</v>
      </c>
      <c r="AG135" s="1095">
        <v>0</v>
      </c>
      <c r="AH135" s="1095">
        <v>0</v>
      </c>
      <c r="AI135" s="1095">
        <v>0</v>
      </c>
      <c r="AJ135" s="1095">
        <v>0</v>
      </c>
      <c r="AK135" s="1095">
        <v>0</v>
      </c>
      <c r="AL135" s="1095">
        <v>0</v>
      </c>
      <c r="AM135" s="1095">
        <v>0</v>
      </c>
      <c r="AN135" s="443"/>
      <c r="AO135" s="443"/>
      <c r="AP135" s="443"/>
      <c r="AQ135" s="443"/>
      <c r="AR135" s="443"/>
      <c r="AS135" s="443"/>
      <c r="AT135" s="443"/>
      <c r="AU135" s="443"/>
      <c r="AV135" s="443"/>
      <c r="AW135" s="443"/>
      <c r="AX135" s="868"/>
      <c r="AY135" s="868"/>
      <c r="AZ135" s="868"/>
      <c r="BA135" s="1033"/>
    </row>
    <row r="136" spans="1:53" ht="11.25">
      <c r="A136" s="895">
        <v>1</v>
      </c>
      <c r="B136" s="1033" t="s">
        <v>1211</v>
      </c>
      <c r="C136" s="1033"/>
      <c r="D136" s="1033"/>
      <c r="E136" s="1033"/>
      <c r="F136" s="1033"/>
      <c r="G136" s="1033"/>
      <c r="H136" s="1033"/>
      <c r="I136" s="1033"/>
      <c r="J136" s="1033"/>
      <c r="K136" s="1033"/>
      <c r="L136" s="1100" t="s">
        <v>155</v>
      </c>
      <c r="M136" s="1092" t="s">
        <v>1201</v>
      </c>
      <c r="N136" s="1101" t="s">
        <v>679</v>
      </c>
      <c r="O136" s="1097">
        <v>0</v>
      </c>
      <c r="P136" s="1097">
        <v>0</v>
      </c>
      <c r="Q136" s="1097">
        <v>0</v>
      </c>
      <c r="R136" s="1076">
        <v>0</v>
      </c>
      <c r="S136" s="1097">
        <v>0</v>
      </c>
      <c r="T136" s="1097">
        <v>0</v>
      </c>
      <c r="U136" s="1097">
        <v>0</v>
      </c>
      <c r="V136" s="1097">
        <v>0</v>
      </c>
      <c r="W136" s="1097">
        <v>0</v>
      </c>
      <c r="X136" s="1097">
        <v>0</v>
      </c>
      <c r="Y136" s="1097">
        <v>0</v>
      </c>
      <c r="Z136" s="1097">
        <v>0</v>
      </c>
      <c r="AA136" s="1097">
        <v>0</v>
      </c>
      <c r="AB136" s="1097">
        <v>0</v>
      </c>
      <c r="AC136" s="1097">
        <v>0</v>
      </c>
      <c r="AD136" s="1097">
        <v>0</v>
      </c>
      <c r="AE136" s="1097">
        <v>0</v>
      </c>
      <c r="AF136" s="1097">
        <v>0</v>
      </c>
      <c r="AG136" s="1097">
        <v>0</v>
      </c>
      <c r="AH136" s="1097">
        <v>0</v>
      </c>
      <c r="AI136" s="1097">
        <v>0</v>
      </c>
      <c r="AJ136" s="1097">
        <v>0</v>
      </c>
      <c r="AK136" s="1097">
        <v>0</v>
      </c>
      <c r="AL136" s="1097">
        <v>0</v>
      </c>
      <c r="AM136" s="1097">
        <v>0</v>
      </c>
      <c r="AN136" s="443"/>
      <c r="AO136" s="443"/>
      <c r="AP136" s="443"/>
      <c r="AQ136" s="443"/>
      <c r="AR136" s="443"/>
      <c r="AS136" s="443"/>
      <c r="AT136" s="443"/>
      <c r="AU136" s="443"/>
      <c r="AV136" s="443"/>
      <c r="AW136" s="443"/>
      <c r="AX136" s="868"/>
      <c r="AY136" s="868"/>
      <c r="AZ136" s="868"/>
      <c r="BA136" s="1033"/>
    </row>
    <row r="137" spans="1:53" ht="11.25">
      <c r="A137" s="895">
        <v>1</v>
      </c>
      <c r="B137" s="1033" t="s">
        <v>1216</v>
      </c>
      <c r="C137" s="1033"/>
      <c r="D137" s="1033"/>
      <c r="E137" s="1033"/>
      <c r="F137" s="1033"/>
      <c r="G137" s="1033"/>
      <c r="H137" s="1033"/>
      <c r="I137" s="1033"/>
      <c r="J137" s="1033"/>
      <c r="K137" s="1033"/>
      <c r="L137" s="1100" t="s">
        <v>156</v>
      </c>
      <c r="M137" s="1092" t="s">
        <v>1202</v>
      </c>
      <c r="N137" s="1101" t="s">
        <v>329</v>
      </c>
      <c r="O137" s="1096">
        <v>0</v>
      </c>
      <c r="P137" s="1096">
        <v>0</v>
      </c>
      <c r="Q137" s="1096">
        <v>0</v>
      </c>
      <c r="R137" s="1071">
        <v>0</v>
      </c>
      <c r="S137" s="1096">
        <v>0</v>
      </c>
      <c r="T137" s="1096">
        <v>0</v>
      </c>
      <c r="U137" s="1096">
        <v>0</v>
      </c>
      <c r="V137" s="1096">
        <v>0</v>
      </c>
      <c r="W137" s="1096">
        <v>0</v>
      </c>
      <c r="X137" s="1096">
        <v>0</v>
      </c>
      <c r="Y137" s="1096">
        <v>0</v>
      </c>
      <c r="Z137" s="1096">
        <v>0</v>
      </c>
      <c r="AA137" s="1096">
        <v>0</v>
      </c>
      <c r="AB137" s="1096">
        <v>0</v>
      </c>
      <c r="AC137" s="1096">
        <v>0</v>
      </c>
      <c r="AD137" s="1096">
        <v>0</v>
      </c>
      <c r="AE137" s="1096">
        <v>0</v>
      </c>
      <c r="AF137" s="1096">
        <v>0</v>
      </c>
      <c r="AG137" s="1096">
        <v>0</v>
      </c>
      <c r="AH137" s="1096">
        <v>0</v>
      </c>
      <c r="AI137" s="1096">
        <v>0</v>
      </c>
      <c r="AJ137" s="1096">
        <v>0</v>
      </c>
      <c r="AK137" s="1096">
        <v>0</v>
      </c>
      <c r="AL137" s="1096">
        <v>0</v>
      </c>
      <c r="AM137" s="1096">
        <v>0</v>
      </c>
      <c r="AN137" s="443"/>
      <c r="AO137" s="443"/>
      <c r="AP137" s="443"/>
      <c r="AQ137" s="443"/>
      <c r="AR137" s="443"/>
      <c r="AS137" s="443"/>
      <c r="AT137" s="443"/>
      <c r="AU137" s="443"/>
      <c r="AV137" s="443"/>
      <c r="AW137" s="443"/>
      <c r="AX137" s="868"/>
      <c r="AY137" s="868"/>
      <c r="AZ137" s="868"/>
      <c r="BA137" s="1033"/>
    </row>
    <row r="138" spans="1:53" ht="11.25">
      <c r="A138" s="895">
        <v>1</v>
      </c>
      <c r="B138" s="1033" t="s">
        <v>1210</v>
      </c>
      <c r="C138" s="1033"/>
      <c r="D138" s="1033"/>
      <c r="E138" s="1033"/>
      <c r="F138" s="1033"/>
      <c r="G138" s="1033"/>
      <c r="H138" s="1033"/>
      <c r="I138" s="1033"/>
      <c r="J138" s="1033"/>
      <c r="K138" s="1033"/>
      <c r="L138" s="1100" t="s">
        <v>157</v>
      </c>
      <c r="M138" s="1092" t="s">
        <v>1203</v>
      </c>
      <c r="N138" s="1101" t="s">
        <v>679</v>
      </c>
      <c r="O138" s="1097">
        <v>0</v>
      </c>
      <c r="P138" s="1097">
        <v>0</v>
      </c>
      <c r="Q138" s="1097">
        <v>0</v>
      </c>
      <c r="R138" s="1076">
        <v>0</v>
      </c>
      <c r="S138" s="1097">
        <v>0</v>
      </c>
      <c r="T138" s="1097">
        <v>0</v>
      </c>
      <c r="U138" s="1097">
        <v>0</v>
      </c>
      <c r="V138" s="1097">
        <v>0</v>
      </c>
      <c r="W138" s="1097">
        <v>0</v>
      </c>
      <c r="X138" s="1097">
        <v>0</v>
      </c>
      <c r="Y138" s="1097">
        <v>0</v>
      </c>
      <c r="Z138" s="1097">
        <v>0</v>
      </c>
      <c r="AA138" s="1097">
        <v>0</v>
      </c>
      <c r="AB138" s="1097">
        <v>0</v>
      </c>
      <c r="AC138" s="1097">
        <v>0</v>
      </c>
      <c r="AD138" s="1097">
        <v>0</v>
      </c>
      <c r="AE138" s="1097">
        <v>0</v>
      </c>
      <c r="AF138" s="1097">
        <v>0</v>
      </c>
      <c r="AG138" s="1097">
        <v>0</v>
      </c>
      <c r="AH138" s="1097">
        <v>0</v>
      </c>
      <c r="AI138" s="1097">
        <v>0</v>
      </c>
      <c r="AJ138" s="1097">
        <v>0</v>
      </c>
      <c r="AK138" s="1097">
        <v>0</v>
      </c>
      <c r="AL138" s="1097">
        <v>0</v>
      </c>
      <c r="AM138" s="1097">
        <v>0</v>
      </c>
      <c r="AN138" s="443"/>
      <c r="AO138" s="443"/>
      <c r="AP138" s="443"/>
      <c r="AQ138" s="443"/>
      <c r="AR138" s="443"/>
      <c r="AS138" s="443"/>
      <c r="AT138" s="443"/>
      <c r="AU138" s="443"/>
      <c r="AV138" s="443"/>
      <c r="AW138" s="443"/>
      <c r="AX138" s="868"/>
      <c r="AY138" s="868"/>
      <c r="AZ138" s="868"/>
      <c r="BA138" s="1033"/>
    </row>
    <row r="139" spans="1:53">
      <c r="A139" s="1033"/>
      <c r="B139" s="1033"/>
      <c r="C139" s="1033"/>
      <c r="D139" s="1033"/>
      <c r="E139" s="1033"/>
      <c r="F139" s="1033"/>
      <c r="G139" s="1033"/>
      <c r="H139" s="1033"/>
      <c r="I139" s="1033"/>
      <c r="J139" s="1033"/>
      <c r="K139" s="1033"/>
      <c r="L139" s="1049"/>
      <c r="M139" s="1050"/>
      <c r="N139" s="1049"/>
      <c r="O139" s="1033"/>
      <c r="P139" s="1033"/>
      <c r="Q139" s="1033"/>
      <c r="R139" s="1033"/>
      <c r="S139" s="1033"/>
      <c r="T139" s="1033"/>
      <c r="U139" s="1033"/>
      <c r="V139" s="1033"/>
      <c r="W139" s="1033"/>
      <c r="X139" s="1033"/>
      <c r="Y139" s="1033"/>
      <c r="Z139" s="1033"/>
      <c r="AA139" s="1033"/>
      <c r="AB139" s="1033"/>
      <c r="AC139" s="1033"/>
      <c r="AD139" s="1033"/>
      <c r="AE139" s="1033"/>
      <c r="AF139" s="1033"/>
      <c r="AG139" s="1033"/>
      <c r="AH139" s="1033"/>
      <c r="AI139" s="1033"/>
      <c r="AJ139" s="1033"/>
      <c r="AK139" s="1033"/>
      <c r="AL139" s="1033"/>
      <c r="AM139" s="1033"/>
      <c r="AN139" s="1033"/>
      <c r="AO139" s="1033"/>
      <c r="AP139" s="1033"/>
      <c r="AQ139" s="1033"/>
      <c r="AR139" s="1033"/>
      <c r="AS139" s="1033"/>
      <c r="AT139" s="1033"/>
      <c r="AU139" s="1033"/>
      <c r="AV139" s="1033"/>
      <c r="AW139" s="1033"/>
      <c r="AX139" s="1033"/>
      <c r="AY139" s="1033"/>
      <c r="AZ139" s="1033"/>
      <c r="BA139" s="1033"/>
    </row>
    <row r="140" spans="1:53" ht="15" customHeight="1">
      <c r="A140" s="1033"/>
      <c r="B140" s="1033"/>
      <c r="C140" s="1033"/>
      <c r="D140" s="1033"/>
      <c r="E140" s="1033"/>
      <c r="F140" s="1033"/>
      <c r="G140" s="1033"/>
      <c r="H140" s="1033"/>
      <c r="I140" s="1033"/>
      <c r="J140" s="1033"/>
      <c r="K140" s="1033"/>
      <c r="L140" s="985" t="s">
        <v>1402</v>
      </c>
      <c r="M140" s="985"/>
      <c r="N140" s="985"/>
      <c r="O140" s="985"/>
      <c r="P140" s="985"/>
      <c r="Q140" s="985"/>
      <c r="R140" s="985"/>
      <c r="S140" s="985"/>
      <c r="T140" s="985"/>
      <c r="U140" s="985"/>
      <c r="V140" s="985"/>
      <c r="W140" s="985"/>
      <c r="X140" s="985"/>
      <c r="Y140" s="985"/>
      <c r="Z140" s="985"/>
      <c r="AA140" s="985"/>
      <c r="AB140" s="985"/>
      <c r="AC140" s="985"/>
      <c r="AD140" s="985"/>
      <c r="AE140" s="985"/>
      <c r="AF140" s="985"/>
      <c r="AG140" s="985"/>
      <c r="AH140" s="985"/>
      <c r="AI140" s="985"/>
      <c r="AJ140" s="985"/>
      <c r="AK140" s="985"/>
      <c r="AL140" s="985"/>
      <c r="AM140" s="985"/>
      <c r="AN140" s="985"/>
      <c r="AO140" s="985"/>
      <c r="AP140" s="985"/>
      <c r="AQ140" s="985"/>
      <c r="AR140" s="985"/>
      <c r="AS140" s="985"/>
      <c r="AT140" s="985"/>
      <c r="AU140" s="985"/>
      <c r="AV140" s="985"/>
      <c r="AW140" s="985"/>
      <c r="AX140" s="985"/>
      <c r="AY140" s="985"/>
      <c r="AZ140" s="985"/>
      <c r="BA140" s="1033"/>
    </row>
    <row r="141" spans="1:53" ht="39.75" customHeight="1">
      <c r="A141" s="1033"/>
      <c r="B141" s="1033"/>
      <c r="C141" s="1033"/>
      <c r="D141" s="1033"/>
      <c r="E141" s="1033"/>
      <c r="F141" s="1033"/>
      <c r="G141" s="1033"/>
      <c r="H141" s="1033"/>
      <c r="I141" s="1033"/>
      <c r="J141" s="1033"/>
      <c r="K141" s="724"/>
      <c r="L141" s="1102" t="s">
        <v>2536</v>
      </c>
      <c r="M141" s="1003"/>
      <c r="N141" s="1003"/>
      <c r="O141" s="1003"/>
      <c r="P141" s="1003"/>
      <c r="Q141" s="1003"/>
      <c r="R141" s="1003"/>
      <c r="S141" s="1003"/>
      <c r="T141" s="1003"/>
      <c r="U141" s="1003"/>
      <c r="V141" s="1003"/>
      <c r="W141" s="1003"/>
      <c r="X141" s="1003"/>
      <c r="Y141" s="1003"/>
      <c r="Z141" s="1003"/>
      <c r="AA141" s="1003"/>
      <c r="AB141" s="1003"/>
      <c r="AC141" s="1003"/>
      <c r="AD141" s="1003"/>
      <c r="AE141" s="1003"/>
      <c r="AF141" s="1003"/>
      <c r="AG141" s="1003"/>
      <c r="AH141" s="1003"/>
      <c r="AI141" s="1003"/>
      <c r="AJ141" s="1003"/>
      <c r="AK141" s="1003"/>
      <c r="AL141" s="1003"/>
      <c r="AM141" s="1003"/>
      <c r="AN141" s="1003"/>
      <c r="AO141" s="1003"/>
      <c r="AP141" s="1003"/>
      <c r="AQ141" s="1003"/>
      <c r="AR141" s="1003"/>
      <c r="AS141" s="1003"/>
      <c r="AT141" s="1003"/>
      <c r="AU141" s="1003"/>
      <c r="AV141" s="1003"/>
      <c r="AW141" s="1003"/>
      <c r="AX141" s="1003"/>
      <c r="AY141" s="1003"/>
      <c r="AZ141" s="1003"/>
      <c r="BA141" s="1033"/>
    </row>
  </sheetData>
  <sheetProtection formatColumns="0" formatRows="0" autoFilter="0"/>
  <mergeCells count="9">
    <mergeCell ref="L141:AZ141"/>
    <mergeCell ref="AZ14:AZ15"/>
    <mergeCell ref="AX14:AX15"/>
    <mergeCell ref="AY14:AY15"/>
    <mergeCell ref="L140:AZ140"/>
    <mergeCell ref="L14:L15"/>
    <mergeCell ref="M14:M15"/>
    <mergeCell ref="N14:N15"/>
    <mergeCell ref="AN15:AW15"/>
  </mergeCells>
  <dataValidations count="2">
    <dataValidation type="textLength" operator="lessThanOrEqual" allowBlank="1" showInputMessage="1" showErrorMessage="1" errorTitle="Ошибка" error="Допускается ввод не более 900 символов!" sqref="AX66:AZ138 AX17:AZ65">
      <formula1>900</formula1>
    </dataValidation>
    <dataValidation type="decimal" allowBlank="1" showErrorMessage="1" errorTitle="Ошибка" error="Допускается ввод только действительных чисел!" sqref="S107:AM112 O107:Q112 O86:Q86 S115:AM122 O115:Q122 S97:AM99 O97:Q99 O89:Q89 O91:Q95 S91:AM95 S73:AM74 O73:Q74 S89:AM89 S86:AM86 S127:AM132 AD64:AE64 O124:Q125 O37:Q40 O44:Q50 O54:Q63 S37:AM41 O27:Q27 O29:Q35 S44:AM50 S25:AM27 O18:Q18 S21:AM23 O21:Q23 O25:Q25 O52:Q52 O127:Q132 S124:AM125 S135:AM138 S64:T64 O135:Q138 S52:AM63 S29:AM35">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BF61"/>
  <sheetViews>
    <sheetView showGridLines="0" view="pageBreakPreview" topLeftCell="K11" zoomScale="70" zoomScaleNormal="100" zoomScaleSheetLayoutView="70" workbookViewId="0">
      <selection activeCell="N26" sqref="N26"/>
    </sheetView>
  </sheetViews>
  <sheetFormatPr defaultColWidth="9.140625" defaultRowHeight="11.25"/>
  <cols>
    <col min="1" max="5" width="2.7109375" style="322" hidden="1" customWidth="1"/>
    <col min="6" max="6" width="8.42578125" style="322" hidden="1" customWidth="1"/>
    <col min="7" max="7" width="12.85546875" style="322" hidden="1" customWidth="1"/>
    <col min="8" max="10" width="2.7109375" style="322" hidden="1" customWidth="1"/>
    <col min="11" max="11" width="3.7109375" style="322" hidden="1" customWidth="1"/>
    <col min="12" max="12" width="56.7109375" style="321" customWidth="1"/>
    <col min="13" max="13" width="13.28515625" style="324" customWidth="1"/>
    <col min="14" max="16" width="14.85546875" style="322" customWidth="1"/>
    <col min="17" max="43" width="14.85546875" style="322" hidden="1" customWidth="1"/>
    <col min="44" max="44" width="14.85546875" style="322" customWidth="1"/>
    <col min="45" max="16384" width="9.140625" style="322"/>
  </cols>
  <sheetData>
    <row r="1" spans="1:58" hidden="1">
      <c r="A1" s="1057"/>
      <c r="B1" s="1057"/>
      <c r="C1" s="1057"/>
      <c r="D1" s="1057"/>
      <c r="E1" s="1057"/>
      <c r="F1" s="1057"/>
      <c r="G1" s="1057"/>
      <c r="H1" s="1057"/>
      <c r="I1" s="1057"/>
      <c r="J1" s="1057"/>
      <c r="K1" s="1057"/>
      <c r="L1" s="1103"/>
      <c r="M1" s="1104"/>
      <c r="N1" s="1057">
        <v>2024</v>
      </c>
      <c r="O1" s="1057">
        <v>2024</v>
      </c>
      <c r="P1" s="1057">
        <v>2024</v>
      </c>
      <c r="Q1" s="1057">
        <v>2025</v>
      </c>
      <c r="R1" s="1057">
        <v>2025</v>
      </c>
      <c r="S1" s="1057">
        <v>2025</v>
      </c>
      <c r="T1" s="1057">
        <v>2026</v>
      </c>
      <c r="U1" s="1057">
        <v>2026</v>
      </c>
      <c r="V1" s="1057">
        <v>2026</v>
      </c>
      <c r="W1" s="1057">
        <v>2027</v>
      </c>
      <c r="X1" s="1057">
        <v>2027</v>
      </c>
      <c r="Y1" s="1057">
        <v>2027</v>
      </c>
      <c r="Z1" s="1057">
        <v>2028</v>
      </c>
      <c r="AA1" s="1057">
        <v>2028</v>
      </c>
      <c r="AB1" s="1057">
        <v>2028</v>
      </c>
      <c r="AC1" s="1057">
        <v>2029</v>
      </c>
      <c r="AD1" s="1057">
        <v>2029</v>
      </c>
      <c r="AE1" s="1057">
        <v>2029</v>
      </c>
      <c r="AF1" s="1057">
        <v>2030</v>
      </c>
      <c r="AG1" s="1057">
        <v>2030</v>
      </c>
      <c r="AH1" s="1057">
        <v>2030</v>
      </c>
      <c r="AI1" s="1057">
        <v>2031</v>
      </c>
      <c r="AJ1" s="1057">
        <v>2031</v>
      </c>
      <c r="AK1" s="1057">
        <v>2031</v>
      </c>
      <c r="AL1" s="1057">
        <v>2032</v>
      </c>
      <c r="AM1" s="1057">
        <v>2032</v>
      </c>
      <c r="AN1" s="1057">
        <v>2032</v>
      </c>
      <c r="AO1" s="1057">
        <v>2033</v>
      </c>
      <c r="AP1" s="1057">
        <v>2033</v>
      </c>
      <c r="AQ1" s="1057">
        <v>2033</v>
      </c>
      <c r="AR1" s="1057"/>
      <c r="AS1" s="1057"/>
      <c r="AT1" s="1057"/>
      <c r="AU1" s="1057"/>
      <c r="AV1" s="1057"/>
      <c r="AW1" s="1057"/>
      <c r="AX1" s="1057"/>
      <c r="AY1" s="1057"/>
      <c r="AZ1" s="1057"/>
      <c r="BA1" s="1057"/>
      <c r="BB1" s="1057"/>
      <c r="BC1" s="1057"/>
      <c r="BD1" s="1057"/>
      <c r="BE1" s="1057"/>
      <c r="BF1" s="1057"/>
    </row>
    <row r="2" spans="1:58" hidden="1">
      <c r="A2" s="1057"/>
      <c r="B2" s="1057"/>
      <c r="C2" s="1057"/>
      <c r="D2" s="1057"/>
      <c r="E2" s="1057"/>
      <c r="F2" s="1057"/>
      <c r="G2" s="1057"/>
      <c r="H2" s="1057"/>
      <c r="I2" s="1057"/>
      <c r="J2" s="1057"/>
      <c r="K2" s="1057"/>
      <c r="L2" s="1103"/>
      <c r="M2" s="1104"/>
      <c r="N2" s="1057" t="s">
        <v>287</v>
      </c>
      <c r="O2" s="1057" t="s">
        <v>286</v>
      </c>
      <c r="P2" s="1057" t="s">
        <v>1335</v>
      </c>
      <c r="Q2" s="1057" t="s">
        <v>287</v>
      </c>
      <c r="R2" s="1057" t="s">
        <v>286</v>
      </c>
      <c r="S2" s="1057" t="s">
        <v>1335</v>
      </c>
      <c r="T2" s="1057" t="s">
        <v>287</v>
      </c>
      <c r="U2" s="1057" t="s">
        <v>286</v>
      </c>
      <c r="V2" s="1057" t="s">
        <v>1335</v>
      </c>
      <c r="W2" s="1057" t="s">
        <v>287</v>
      </c>
      <c r="X2" s="1057" t="s">
        <v>286</v>
      </c>
      <c r="Y2" s="1057" t="s">
        <v>1335</v>
      </c>
      <c r="Z2" s="1057" t="s">
        <v>287</v>
      </c>
      <c r="AA2" s="1057" t="s">
        <v>286</v>
      </c>
      <c r="AB2" s="1057" t="s">
        <v>1335</v>
      </c>
      <c r="AC2" s="1057" t="s">
        <v>287</v>
      </c>
      <c r="AD2" s="1057" t="s">
        <v>286</v>
      </c>
      <c r="AE2" s="1057" t="s">
        <v>1335</v>
      </c>
      <c r="AF2" s="1057" t="s">
        <v>287</v>
      </c>
      <c r="AG2" s="1057" t="s">
        <v>286</v>
      </c>
      <c r="AH2" s="1057" t="s">
        <v>1335</v>
      </c>
      <c r="AI2" s="1057" t="s">
        <v>287</v>
      </c>
      <c r="AJ2" s="1057" t="s">
        <v>286</v>
      </c>
      <c r="AK2" s="1057" t="s">
        <v>1335</v>
      </c>
      <c r="AL2" s="1057" t="s">
        <v>287</v>
      </c>
      <c r="AM2" s="1057" t="s">
        <v>286</v>
      </c>
      <c r="AN2" s="1057" t="s">
        <v>1335</v>
      </c>
      <c r="AO2" s="1057" t="s">
        <v>287</v>
      </c>
      <c r="AP2" s="1057" t="s">
        <v>286</v>
      </c>
      <c r="AQ2" s="1057" t="s">
        <v>1335</v>
      </c>
      <c r="AR2" s="1057"/>
      <c r="AS2" s="1057"/>
      <c r="AT2" s="1057"/>
      <c r="AU2" s="1057"/>
      <c r="AV2" s="1057"/>
      <c r="AW2" s="1057"/>
      <c r="AX2" s="1057"/>
      <c r="AY2" s="1057"/>
      <c r="AZ2" s="1057"/>
      <c r="BA2" s="1057"/>
      <c r="BB2" s="1057"/>
      <c r="BC2" s="1057"/>
      <c r="BD2" s="1057"/>
      <c r="BE2" s="1057"/>
      <c r="BF2" s="1057"/>
    </row>
    <row r="3" spans="1:58" hidden="1">
      <c r="A3" s="1057"/>
      <c r="B3" s="1057"/>
      <c r="C3" s="1057"/>
      <c r="D3" s="1057"/>
      <c r="E3" s="1057"/>
      <c r="F3" s="1057"/>
      <c r="G3" s="1057"/>
      <c r="H3" s="1057"/>
      <c r="I3" s="1057"/>
      <c r="J3" s="1057"/>
      <c r="K3" s="1057"/>
      <c r="L3" s="1103"/>
      <c r="M3" s="1104"/>
      <c r="N3" s="1057" t="s">
        <v>2575</v>
      </c>
      <c r="O3" s="1057" t="s">
        <v>2576</v>
      </c>
      <c r="P3" s="1057" t="s">
        <v>2624</v>
      </c>
      <c r="Q3" s="1057" t="s">
        <v>2580</v>
      </c>
      <c r="R3" s="1057" t="s">
        <v>2581</v>
      </c>
      <c r="S3" s="1057" t="s">
        <v>2625</v>
      </c>
      <c r="T3" s="1057" t="s">
        <v>2582</v>
      </c>
      <c r="U3" s="1057" t="s">
        <v>2583</v>
      </c>
      <c r="V3" s="1057" t="s">
        <v>2626</v>
      </c>
      <c r="W3" s="1057" t="s">
        <v>2584</v>
      </c>
      <c r="X3" s="1057" t="s">
        <v>2585</v>
      </c>
      <c r="Y3" s="1057" t="s">
        <v>2627</v>
      </c>
      <c r="Z3" s="1057" t="s">
        <v>2586</v>
      </c>
      <c r="AA3" s="1057" t="s">
        <v>2587</v>
      </c>
      <c r="AB3" s="1057" t="s">
        <v>2628</v>
      </c>
      <c r="AC3" s="1057" t="s">
        <v>2588</v>
      </c>
      <c r="AD3" s="1057" t="s">
        <v>2589</v>
      </c>
      <c r="AE3" s="1057" t="s">
        <v>2629</v>
      </c>
      <c r="AF3" s="1057" t="s">
        <v>2590</v>
      </c>
      <c r="AG3" s="1057" t="s">
        <v>2591</v>
      </c>
      <c r="AH3" s="1057" t="s">
        <v>2630</v>
      </c>
      <c r="AI3" s="1057" t="s">
        <v>2592</v>
      </c>
      <c r="AJ3" s="1057" t="s">
        <v>2593</v>
      </c>
      <c r="AK3" s="1057" t="s">
        <v>2631</v>
      </c>
      <c r="AL3" s="1057" t="s">
        <v>2594</v>
      </c>
      <c r="AM3" s="1057" t="s">
        <v>2595</v>
      </c>
      <c r="AN3" s="1057" t="s">
        <v>2632</v>
      </c>
      <c r="AO3" s="1057" t="s">
        <v>2596</v>
      </c>
      <c r="AP3" s="1057" t="s">
        <v>2597</v>
      </c>
      <c r="AQ3" s="1057" t="s">
        <v>2633</v>
      </c>
      <c r="AR3" s="1057"/>
      <c r="AS3" s="1057"/>
      <c r="AT3" s="1057"/>
      <c r="AU3" s="1057"/>
      <c r="AV3" s="1057"/>
      <c r="AW3" s="1057"/>
      <c r="AX3" s="1057"/>
      <c r="AY3" s="1057"/>
      <c r="AZ3" s="1057"/>
      <c r="BA3" s="1057"/>
      <c r="BB3" s="1057"/>
      <c r="BC3" s="1057"/>
      <c r="BD3" s="1057"/>
      <c r="BE3" s="1057"/>
      <c r="BF3" s="1057"/>
    </row>
    <row r="4" spans="1:58" hidden="1">
      <c r="A4" s="1057"/>
      <c r="B4" s="1057"/>
      <c r="C4" s="1057"/>
      <c r="D4" s="1057"/>
      <c r="E4" s="1057"/>
      <c r="F4" s="1057"/>
      <c r="G4" s="1057"/>
      <c r="H4" s="1057"/>
      <c r="I4" s="1057"/>
      <c r="J4" s="1057"/>
      <c r="K4" s="1057"/>
      <c r="L4" s="1103"/>
      <c r="M4" s="1104"/>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1057"/>
      <c r="BA4" s="1057"/>
      <c r="BB4" s="1057"/>
      <c r="BC4" s="1057"/>
      <c r="BD4" s="1057"/>
      <c r="BE4" s="1057"/>
      <c r="BF4" s="1057"/>
    </row>
    <row r="5" spans="1:58" hidden="1">
      <c r="A5" s="1057"/>
      <c r="B5" s="1057"/>
      <c r="C5" s="1057"/>
      <c r="D5" s="1057"/>
      <c r="E5" s="1057"/>
      <c r="F5" s="1057"/>
      <c r="G5" s="1057"/>
      <c r="H5" s="1057"/>
      <c r="I5" s="1057"/>
      <c r="J5" s="1057"/>
      <c r="K5" s="1057"/>
      <c r="L5" s="1103"/>
      <c r="M5" s="1104"/>
      <c r="N5" s="1057"/>
      <c r="O5" s="1057"/>
      <c r="P5" s="1057"/>
      <c r="Q5" s="1057"/>
      <c r="R5" s="1057"/>
      <c r="S5" s="1057"/>
      <c r="T5" s="1057"/>
      <c r="U5" s="1057"/>
      <c r="V5" s="1057"/>
      <c r="W5" s="1057"/>
      <c r="X5" s="1057"/>
      <c r="Y5" s="1057"/>
      <c r="Z5" s="1057"/>
      <c r="AA5" s="1057"/>
      <c r="AB5" s="1057"/>
      <c r="AC5" s="1057"/>
      <c r="AD5" s="1057"/>
      <c r="AE5" s="1057"/>
      <c r="AF5" s="1057"/>
      <c r="AG5" s="1057"/>
      <c r="AH5" s="1057"/>
      <c r="AI5" s="1057"/>
      <c r="AJ5" s="1057"/>
      <c r="AK5" s="1057"/>
      <c r="AL5" s="1057"/>
      <c r="AM5" s="1057"/>
      <c r="AN5" s="1057"/>
      <c r="AO5" s="1057"/>
      <c r="AP5" s="1057"/>
      <c r="AQ5" s="1057"/>
      <c r="AR5" s="1057"/>
      <c r="AS5" s="1057"/>
      <c r="AT5" s="1057"/>
      <c r="AU5" s="1057"/>
      <c r="AV5" s="1057"/>
      <c r="AW5" s="1057"/>
      <c r="AX5" s="1057"/>
      <c r="AY5" s="1057"/>
      <c r="AZ5" s="1057"/>
      <c r="BA5" s="1057"/>
      <c r="BB5" s="1057"/>
      <c r="BC5" s="1057"/>
      <c r="BD5" s="1057"/>
      <c r="BE5" s="1057"/>
      <c r="BF5" s="1057"/>
    </row>
    <row r="6" spans="1:58" hidden="1">
      <c r="A6" s="1057"/>
      <c r="B6" s="1057"/>
      <c r="C6" s="1057"/>
      <c r="D6" s="1057"/>
      <c r="E6" s="1057"/>
      <c r="F6" s="1057"/>
      <c r="G6" s="1057"/>
      <c r="H6" s="1057"/>
      <c r="I6" s="1057"/>
      <c r="J6" s="1057"/>
      <c r="K6" s="1057"/>
      <c r="L6" s="1103"/>
      <c r="M6" s="1104"/>
      <c r="N6" s="1057"/>
      <c r="O6" s="1057"/>
      <c r="P6" s="1057"/>
      <c r="Q6" s="1057"/>
      <c r="R6" s="1057"/>
      <c r="S6" s="1057"/>
      <c r="T6" s="1057"/>
      <c r="U6" s="1057"/>
      <c r="V6" s="1057"/>
      <c r="W6" s="1057"/>
      <c r="X6" s="1057"/>
      <c r="Y6" s="1057"/>
      <c r="Z6" s="1057"/>
      <c r="AA6" s="1057"/>
      <c r="AB6" s="1057"/>
      <c r="AC6" s="1057"/>
      <c r="AD6" s="1057"/>
      <c r="AE6" s="1057"/>
      <c r="AF6" s="1057"/>
      <c r="AG6" s="1057"/>
      <c r="AH6" s="1057"/>
      <c r="AI6" s="1057"/>
      <c r="AJ6" s="1057"/>
      <c r="AK6" s="1057"/>
      <c r="AL6" s="1057"/>
      <c r="AM6" s="1057"/>
      <c r="AN6" s="1057"/>
      <c r="AO6" s="1057"/>
      <c r="AP6" s="1057"/>
      <c r="AQ6" s="1057"/>
      <c r="AR6" s="1057"/>
      <c r="AS6" s="1057"/>
      <c r="AT6" s="1057"/>
      <c r="AU6" s="1057"/>
      <c r="AV6" s="1057"/>
      <c r="AW6" s="1057"/>
      <c r="AX6" s="1057"/>
      <c r="AY6" s="1057"/>
      <c r="AZ6" s="1057"/>
      <c r="BA6" s="1057"/>
      <c r="BB6" s="1057"/>
      <c r="BC6" s="1057"/>
      <c r="BD6" s="1057"/>
      <c r="BE6" s="1057"/>
      <c r="BF6" s="1057"/>
    </row>
    <row r="7" spans="1:58" hidden="1">
      <c r="A7" s="1057"/>
      <c r="B7" s="1057"/>
      <c r="C7" s="1057"/>
      <c r="D7" s="1057"/>
      <c r="E7" s="1057"/>
      <c r="F7" s="1057"/>
      <c r="G7" s="1057"/>
      <c r="H7" s="1057"/>
      <c r="I7" s="1057"/>
      <c r="J7" s="1057"/>
      <c r="K7" s="1057"/>
      <c r="L7" s="1103"/>
      <c r="M7" s="1104"/>
      <c r="N7" s="1057"/>
      <c r="O7" s="1057"/>
      <c r="P7" s="1057"/>
      <c r="Q7" s="800" t="b">
        <v>0</v>
      </c>
      <c r="R7" s="800" t="b">
        <v>0</v>
      </c>
      <c r="S7" s="800" t="b">
        <v>0</v>
      </c>
      <c r="T7" s="800" t="b">
        <v>0</v>
      </c>
      <c r="U7" s="800" t="b">
        <v>0</v>
      </c>
      <c r="V7" s="800" t="b">
        <v>0</v>
      </c>
      <c r="W7" s="800" t="b">
        <v>0</v>
      </c>
      <c r="X7" s="800" t="b">
        <v>0</v>
      </c>
      <c r="Y7" s="800" t="b">
        <v>0</v>
      </c>
      <c r="Z7" s="800" t="b">
        <v>0</v>
      </c>
      <c r="AA7" s="800" t="b">
        <v>0</v>
      </c>
      <c r="AB7" s="800" t="b">
        <v>0</v>
      </c>
      <c r="AC7" s="800" t="b">
        <v>0</v>
      </c>
      <c r="AD7" s="800" t="b">
        <v>0</v>
      </c>
      <c r="AE7" s="800" t="b">
        <v>0</v>
      </c>
      <c r="AF7" s="800" t="b">
        <v>0</v>
      </c>
      <c r="AG7" s="800" t="b">
        <v>0</v>
      </c>
      <c r="AH7" s="800" t="b">
        <v>0</v>
      </c>
      <c r="AI7" s="800" t="b">
        <v>0</v>
      </c>
      <c r="AJ7" s="800" t="b">
        <v>0</v>
      </c>
      <c r="AK7" s="800" t="b">
        <v>0</v>
      </c>
      <c r="AL7" s="800" t="b">
        <v>0</v>
      </c>
      <c r="AM7" s="800" t="b">
        <v>0</v>
      </c>
      <c r="AN7" s="800" t="b">
        <v>0</v>
      </c>
      <c r="AO7" s="800" t="b">
        <v>0</v>
      </c>
      <c r="AP7" s="800" t="b">
        <v>0</v>
      </c>
      <c r="AQ7" s="800" t="b">
        <v>0</v>
      </c>
      <c r="AR7" s="1057"/>
      <c r="AS7" s="1057"/>
      <c r="AT7" s="1057"/>
      <c r="AU7" s="1057"/>
      <c r="AV7" s="1057"/>
      <c r="AW7" s="1057"/>
      <c r="AX7" s="1057"/>
      <c r="AY7" s="1057"/>
      <c r="AZ7" s="1057"/>
      <c r="BA7" s="1057"/>
      <c r="BB7" s="1057"/>
      <c r="BC7" s="1057"/>
      <c r="BD7" s="1057"/>
      <c r="BE7" s="1057"/>
      <c r="BF7" s="1057"/>
    </row>
    <row r="8" spans="1:58" hidden="1">
      <c r="A8" s="1057"/>
      <c r="B8" s="1057"/>
      <c r="C8" s="1057"/>
      <c r="D8" s="1057"/>
      <c r="E8" s="1057"/>
      <c r="F8" s="1057"/>
      <c r="G8" s="1057"/>
      <c r="H8" s="1057"/>
      <c r="I8" s="1057"/>
      <c r="J8" s="1057"/>
      <c r="K8" s="1057"/>
      <c r="L8" s="1103"/>
      <c r="M8" s="1104"/>
      <c r="N8" s="1057"/>
      <c r="O8" s="1057"/>
      <c r="P8" s="1057"/>
      <c r="Q8" s="1057"/>
      <c r="R8" s="1057"/>
      <c r="S8" s="1057"/>
      <c r="T8" s="1057"/>
      <c r="U8" s="1057"/>
      <c r="V8" s="1057"/>
      <c r="W8" s="1057"/>
      <c r="X8" s="1057"/>
      <c r="Y8" s="1057"/>
      <c r="Z8" s="1057"/>
      <c r="AA8" s="1057"/>
      <c r="AB8" s="1057"/>
      <c r="AC8" s="1057"/>
      <c r="AD8" s="1057"/>
      <c r="AE8" s="1057"/>
      <c r="AF8" s="1057"/>
      <c r="AG8" s="1057"/>
      <c r="AH8" s="1057"/>
      <c r="AI8" s="1057"/>
      <c r="AJ8" s="1057"/>
      <c r="AK8" s="1057"/>
      <c r="AL8" s="1057"/>
      <c r="AM8" s="1057"/>
      <c r="AN8" s="1057"/>
      <c r="AO8" s="1057"/>
      <c r="AP8" s="1057"/>
      <c r="AQ8" s="1057"/>
      <c r="AR8" s="1057"/>
      <c r="AS8" s="1057"/>
      <c r="AT8" s="1057"/>
      <c r="AU8" s="1057"/>
      <c r="AV8" s="1057"/>
      <c r="AW8" s="1057"/>
      <c r="AX8" s="1057"/>
      <c r="AY8" s="1057"/>
      <c r="AZ8" s="1057"/>
      <c r="BA8" s="1057"/>
      <c r="BB8" s="1057"/>
      <c r="BC8" s="1057"/>
      <c r="BD8" s="1057"/>
      <c r="BE8" s="1057"/>
      <c r="BF8" s="1057"/>
    </row>
    <row r="9" spans="1:58" hidden="1">
      <c r="A9" s="1057"/>
      <c r="B9" s="1057"/>
      <c r="C9" s="1057"/>
      <c r="D9" s="1057"/>
      <c r="E9" s="1057"/>
      <c r="F9" s="1057"/>
      <c r="G9" s="1057"/>
      <c r="H9" s="1057"/>
      <c r="I9" s="1057"/>
      <c r="J9" s="1057"/>
      <c r="K9" s="1057"/>
      <c r="L9" s="1103"/>
      <c r="M9" s="1104"/>
      <c r="N9" s="1057"/>
      <c r="O9" s="1057"/>
      <c r="P9" s="1057"/>
      <c r="Q9" s="1057"/>
      <c r="R9" s="1057"/>
      <c r="S9" s="1057"/>
      <c r="T9" s="1057"/>
      <c r="U9" s="1057"/>
      <c r="V9" s="1057"/>
      <c r="W9" s="1057"/>
      <c r="X9" s="1057"/>
      <c r="Y9" s="1057"/>
      <c r="Z9" s="1057"/>
      <c r="AA9" s="1057"/>
      <c r="AB9" s="1057"/>
      <c r="AC9" s="1057"/>
      <c r="AD9" s="1057"/>
      <c r="AE9" s="1057"/>
      <c r="AF9" s="1057"/>
      <c r="AG9" s="1057"/>
      <c r="AH9" s="1057"/>
      <c r="AI9" s="1057"/>
      <c r="AJ9" s="1057"/>
      <c r="AK9" s="1057"/>
      <c r="AL9" s="1057"/>
      <c r="AM9" s="1057"/>
      <c r="AN9" s="1057"/>
      <c r="AO9" s="1057"/>
      <c r="AP9" s="1057"/>
      <c r="AQ9" s="1057"/>
      <c r="AR9" s="1057"/>
      <c r="AS9" s="1057"/>
      <c r="AT9" s="1057"/>
      <c r="AU9" s="1057"/>
      <c r="AV9" s="1057"/>
      <c r="AW9" s="1057"/>
      <c r="AX9" s="1057"/>
      <c r="AY9" s="1057"/>
      <c r="AZ9" s="1057"/>
      <c r="BA9" s="1057"/>
      <c r="BB9" s="1057"/>
      <c r="BC9" s="1057"/>
      <c r="BD9" s="1057"/>
      <c r="BE9" s="1057"/>
      <c r="BF9" s="1057"/>
    </row>
    <row r="10" spans="1:58" hidden="1">
      <c r="A10" s="1057"/>
      <c r="B10" s="1057"/>
      <c r="C10" s="1057"/>
      <c r="D10" s="1057"/>
      <c r="E10" s="1057"/>
      <c r="F10" s="1057"/>
      <c r="G10" s="1057"/>
      <c r="H10" s="1057"/>
      <c r="I10" s="1057"/>
      <c r="J10" s="1057"/>
      <c r="K10" s="1057"/>
      <c r="L10" s="1103"/>
      <c r="M10" s="1104"/>
      <c r="N10" s="1057"/>
      <c r="O10" s="1057"/>
      <c r="P10" s="1057"/>
      <c r="Q10" s="1057"/>
      <c r="R10" s="1057"/>
      <c r="S10" s="1057"/>
      <c r="T10" s="1057"/>
      <c r="U10" s="1057"/>
      <c r="V10" s="1057"/>
      <c r="W10" s="1057"/>
      <c r="X10" s="1057"/>
      <c r="Y10" s="1057"/>
      <c r="Z10" s="1057"/>
      <c r="AA10" s="1057"/>
      <c r="AB10" s="1057"/>
      <c r="AC10" s="1057"/>
      <c r="AD10" s="1057"/>
      <c r="AE10" s="1057"/>
      <c r="AF10" s="1057"/>
      <c r="AG10" s="1057"/>
      <c r="AH10" s="1057"/>
      <c r="AI10" s="1057"/>
      <c r="AJ10" s="1057"/>
      <c r="AK10" s="1057"/>
      <c r="AL10" s="1057"/>
      <c r="AM10" s="1057"/>
      <c r="AN10" s="1057"/>
      <c r="AO10" s="1057"/>
      <c r="AP10" s="1057"/>
      <c r="AQ10" s="1057"/>
      <c r="AR10" s="1057"/>
      <c r="AS10" s="1057"/>
      <c r="AT10" s="1057"/>
      <c r="AU10" s="1057"/>
      <c r="AV10" s="1057"/>
      <c r="AW10" s="1057"/>
      <c r="AX10" s="1057"/>
      <c r="AY10" s="1057"/>
      <c r="AZ10" s="1057"/>
      <c r="BA10" s="1057"/>
      <c r="BB10" s="1057"/>
      <c r="BC10" s="1057"/>
      <c r="BD10" s="1057"/>
      <c r="BE10" s="1057"/>
      <c r="BF10" s="1057"/>
    </row>
    <row r="11" spans="1:58" ht="15" hidden="1" customHeight="1">
      <c r="A11" s="1057"/>
      <c r="B11" s="1057"/>
      <c r="C11" s="1057"/>
      <c r="D11" s="1057"/>
      <c r="E11" s="1057"/>
      <c r="F11" s="1057"/>
      <c r="G11" s="1057"/>
      <c r="H11" s="1057"/>
      <c r="I11" s="1057"/>
      <c r="J11" s="1057"/>
      <c r="K11" s="1057"/>
      <c r="L11" s="1105"/>
      <c r="M11" s="1104"/>
      <c r="N11" s="1057"/>
      <c r="O11" s="1057"/>
      <c r="P11" s="1057"/>
      <c r="Q11" s="1057"/>
      <c r="R11" s="1057"/>
      <c r="S11" s="1057"/>
      <c r="T11" s="1057"/>
      <c r="U11" s="1057"/>
      <c r="V11" s="1057"/>
      <c r="W11" s="1057"/>
      <c r="X11" s="1057"/>
      <c r="Y11" s="1057"/>
      <c r="Z11" s="1057"/>
      <c r="AA11" s="1057"/>
      <c r="AB11" s="1057"/>
      <c r="AC11" s="1057"/>
      <c r="AD11" s="1057"/>
      <c r="AE11" s="1057"/>
      <c r="AF11" s="1057"/>
      <c r="AG11" s="1057"/>
      <c r="AH11" s="1057"/>
      <c r="AI11" s="1057"/>
      <c r="AJ11" s="1057"/>
      <c r="AK11" s="1057"/>
      <c r="AL11" s="1057"/>
      <c r="AM11" s="1057"/>
      <c r="AN11" s="1057"/>
      <c r="AO11" s="1057"/>
      <c r="AP11" s="1057"/>
      <c r="AQ11" s="1057"/>
      <c r="AR11" s="1057"/>
      <c r="AS11" s="1057"/>
      <c r="AT11" s="1057"/>
      <c r="AU11" s="1057"/>
      <c r="AV11" s="1057"/>
      <c r="AW11" s="1057"/>
      <c r="AX11" s="1057"/>
      <c r="AY11" s="1057"/>
      <c r="AZ11" s="1057"/>
      <c r="BA11" s="1057"/>
      <c r="BB11" s="1057"/>
      <c r="BC11" s="1057"/>
      <c r="BD11" s="1057"/>
      <c r="BE11" s="1057"/>
      <c r="BF11" s="1057"/>
    </row>
    <row r="12" spans="1:58" s="323" customFormat="1" ht="24" customHeight="1">
      <c r="A12" s="1106"/>
      <c r="B12" s="1106"/>
      <c r="C12" s="1106"/>
      <c r="D12" s="1106"/>
      <c r="E12" s="1106"/>
      <c r="F12" s="1106"/>
      <c r="G12" s="1106"/>
      <c r="H12" s="1106"/>
      <c r="I12" s="1106"/>
      <c r="J12" s="1106"/>
      <c r="K12" s="1106"/>
      <c r="L12" s="484" t="s">
        <v>1290</v>
      </c>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1106"/>
      <c r="AS12" s="1106"/>
      <c r="AT12" s="1106"/>
      <c r="AU12" s="1106"/>
      <c r="AV12" s="1106"/>
      <c r="AW12" s="1106"/>
      <c r="AX12" s="1106"/>
      <c r="AY12" s="1106"/>
      <c r="AZ12" s="1106"/>
      <c r="BA12" s="1106"/>
      <c r="BB12" s="1106"/>
      <c r="BC12" s="1106"/>
      <c r="BD12" s="1106"/>
      <c r="BE12" s="1106"/>
      <c r="BF12" s="1106"/>
    </row>
    <row r="13" spans="1:58">
      <c r="A13" s="1057"/>
      <c r="B13" s="1057"/>
      <c r="C13" s="1057"/>
      <c r="D13" s="1057"/>
      <c r="E13" s="1057"/>
      <c r="F13" s="1057"/>
      <c r="G13" s="1057"/>
      <c r="H13" s="1057"/>
      <c r="I13" s="1057"/>
      <c r="J13" s="1057"/>
      <c r="K13" s="1057"/>
      <c r="L13" s="1104"/>
      <c r="M13" s="1104"/>
      <c r="N13" s="1104"/>
      <c r="O13" s="1057"/>
      <c r="P13" s="1057"/>
      <c r="Q13" s="1057"/>
      <c r="R13" s="1057"/>
      <c r="S13" s="1057"/>
      <c r="T13" s="1057"/>
      <c r="U13" s="1057"/>
      <c r="V13" s="1057"/>
      <c r="W13" s="1057"/>
      <c r="X13" s="1057"/>
      <c r="Y13" s="1057"/>
      <c r="Z13" s="1057"/>
      <c r="AA13" s="1057"/>
      <c r="AB13" s="1057"/>
      <c r="AC13" s="1057"/>
      <c r="AD13" s="1057"/>
      <c r="AE13" s="1057"/>
      <c r="AF13" s="1057"/>
      <c r="AG13" s="1057"/>
      <c r="AH13" s="1057"/>
      <c r="AI13" s="1057"/>
      <c r="AJ13" s="1057"/>
      <c r="AK13" s="1057"/>
      <c r="AL13" s="1057"/>
      <c r="AM13" s="1057"/>
      <c r="AN13" s="1057"/>
      <c r="AO13" s="1057"/>
      <c r="AP13" s="1057"/>
      <c r="AQ13" s="1057"/>
      <c r="AR13" s="1057"/>
      <c r="AS13" s="1057"/>
      <c r="AT13" s="1057"/>
      <c r="AU13" s="1057"/>
      <c r="AV13" s="1057"/>
      <c r="AW13" s="1057"/>
      <c r="AX13" s="1057"/>
      <c r="AY13" s="1057"/>
      <c r="AZ13" s="1057"/>
      <c r="BA13" s="1057"/>
      <c r="BB13" s="1057"/>
      <c r="BC13" s="1057"/>
      <c r="BD13" s="1057"/>
      <c r="BE13" s="1057"/>
      <c r="BF13" s="1104"/>
    </row>
    <row r="14" spans="1:58" s="323" customFormat="1">
      <c r="A14" s="1106"/>
      <c r="B14" s="1106"/>
      <c r="C14" s="1106"/>
      <c r="D14" s="1106"/>
      <c r="E14" s="1106"/>
      <c r="F14" s="1106"/>
      <c r="G14" s="1106" t="b">
        <v>1</v>
      </c>
      <c r="H14" s="1106"/>
      <c r="I14" s="1106"/>
      <c r="J14" s="1106"/>
      <c r="K14" s="1106"/>
      <c r="L14" s="1107" t="s">
        <v>685</v>
      </c>
      <c r="M14" s="1108"/>
      <c r="N14" s="1108"/>
      <c r="O14" s="1108"/>
      <c r="P14" s="1108"/>
      <c r="Q14" s="1108"/>
      <c r="R14" s="1108"/>
      <c r="S14" s="1108"/>
      <c r="T14" s="1108"/>
      <c r="U14" s="1108"/>
      <c r="V14" s="1108"/>
      <c r="W14" s="1108"/>
      <c r="X14" s="1108"/>
      <c r="Y14" s="1108"/>
      <c r="Z14" s="1108"/>
      <c r="AA14" s="1108"/>
      <c r="AB14" s="1108"/>
      <c r="AC14" s="1108"/>
      <c r="AD14" s="1108"/>
      <c r="AE14" s="1108"/>
      <c r="AF14" s="1108"/>
      <c r="AG14" s="1108"/>
      <c r="AH14" s="1108"/>
      <c r="AI14" s="1108"/>
      <c r="AJ14" s="1108"/>
      <c r="AK14" s="1108"/>
      <c r="AL14" s="1108"/>
      <c r="AM14" s="1108"/>
      <c r="AN14" s="1108"/>
      <c r="AO14" s="1108"/>
      <c r="AP14" s="1108"/>
      <c r="AQ14" s="1109"/>
      <c r="AR14" s="1106"/>
      <c r="AS14" s="1106"/>
      <c r="AT14" s="1106"/>
      <c r="AU14" s="1106"/>
      <c r="AV14" s="1106"/>
      <c r="AW14" s="1106"/>
      <c r="AX14" s="1106"/>
      <c r="AY14" s="1106"/>
      <c r="AZ14" s="1106"/>
      <c r="BA14" s="1106"/>
      <c r="BB14" s="1106"/>
      <c r="BC14" s="1106"/>
      <c r="BD14" s="1106"/>
      <c r="BE14" s="1106"/>
      <c r="BF14" s="1106"/>
    </row>
    <row r="15" spans="1:58">
      <c r="A15" s="1057"/>
      <c r="B15" s="1057"/>
      <c r="C15" s="1057"/>
      <c r="D15" s="1057"/>
      <c r="E15" s="1057"/>
      <c r="F15" s="1057"/>
      <c r="G15" s="1106" t="b">
        <v>1</v>
      </c>
      <c r="H15" s="1057"/>
      <c r="I15" s="1057"/>
      <c r="J15" s="1057"/>
      <c r="K15" s="1057"/>
      <c r="L15" s="1110" t="s">
        <v>121</v>
      </c>
      <c r="M15" s="1110" t="s">
        <v>143</v>
      </c>
      <c r="N15" s="1111" t="s">
        <v>2569</v>
      </c>
      <c r="O15" s="1112"/>
      <c r="P15" s="1113"/>
      <c r="Q15" s="1111" t="s">
        <v>2598</v>
      </c>
      <c r="R15" s="1112"/>
      <c r="S15" s="1113"/>
      <c r="T15" s="1111" t="s">
        <v>2599</v>
      </c>
      <c r="U15" s="1112"/>
      <c r="V15" s="1113"/>
      <c r="W15" s="1111" t="s">
        <v>2600</v>
      </c>
      <c r="X15" s="1112"/>
      <c r="Y15" s="1113"/>
      <c r="Z15" s="1111" t="s">
        <v>2601</v>
      </c>
      <c r="AA15" s="1112"/>
      <c r="AB15" s="1113"/>
      <c r="AC15" s="1111" t="s">
        <v>2602</v>
      </c>
      <c r="AD15" s="1112"/>
      <c r="AE15" s="1113"/>
      <c r="AF15" s="1111" t="s">
        <v>2603</v>
      </c>
      <c r="AG15" s="1112"/>
      <c r="AH15" s="1113"/>
      <c r="AI15" s="1111" t="s">
        <v>2604</v>
      </c>
      <c r="AJ15" s="1112"/>
      <c r="AK15" s="1113"/>
      <c r="AL15" s="1111" t="s">
        <v>2605</v>
      </c>
      <c r="AM15" s="1112"/>
      <c r="AN15" s="1113"/>
      <c r="AO15" s="1111" t="s">
        <v>2606</v>
      </c>
      <c r="AP15" s="1112"/>
      <c r="AQ15" s="1113"/>
      <c r="AR15" s="1057"/>
      <c r="AS15" s="1057"/>
      <c r="AT15" s="1057"/>
      <c r="AU15" s="1057"/>
      <c r="AV15" s="1057"/>
      <c r="AW15" s="1057"/>
      <c r="AX15" s="1057"/>
      <c r="AY15" s="1057"/>
      <c r="AZ15" s="1057"/>
      <c r="BA15" s="1057"/>
      <c r="BB15" s="1057"/>
      <c r="BC15" s="1057"/>
      <c r="BD15" s="1057"/>
      <c r="BE15" s="1057"/>
      <c r="BF15" s="1057"/>
    </row>
    <row r="16" spans="1:58" ht="33.75">
      <c r="A16" s="1057"/>
      <c r="B16" s="1057"/>
      <c r="C16" s="1057"/>
      <c r="D16" s="1057"/>
      <c r="E16" s="1057"/>
      <c r="F16" s="1057"/>
      <c r="G16" s="1106" t="b">
        <v>1</v>
      </c>
      <c r="H16" s="1057"/>
      <c r="I16" s="1057"/>
      <c r="J16" s="1057"/>
      <c r="K16" s="1057"/>
      <c r="L16" s="1110"/>
      <c r="M16" s="1110"/>
      <c r="N16" s="1114" t="s">
        <v>287</v>
      </c>
      <c r="O16" s="1114" t="s">
        <v>286</v>
      </c>
      <c r="P16" s="1114" t="s">
        <v>1335</v>
      </c>
      <c r="Q16" s="1114" t="s">
        <v>287</v>
      </c>
      <c r="R16" s="1114" t="s">
        <v>286</v>
      </c>
      <c r="S16" s="1114" t="s">
        <v>1335</v>
      </c>
      <c r="T16" s="1114" t="s">
        <v>287</v>
      </c>
      <c r="U16" s="1114" t="s">
        <v>286</v>
      </c>
      <c r="V16" s="1114" t="s">
        <v>1335</v>
      </c>
      <c r="W16" s="1114" t="s">
        <v>287</v>
      </c>
      <c r="X16" s="1114" t="s">
        <v>286</v>
      </c>
      <c r="Y16" s="1114" t="s">
        <v>1335</v>
      </c>
      <c r="Z16" s="1114" t="s">
        <v>287</v>
      </c>
      <c r="AA16" s="1114" t="s">
        <v>286</v>
      </c>
      <c r="AB16" s="1114" t="s">
        <v>1335</v>
      </c>
      <c r="AC16" s="1114" t="s">
        <v>287</v>
      </c>
      <c r="AD16" s="1114" t="s">
        <v>286</v>
      </c>
      <c r="AE16" s="1114" t="s">
        <v>1335</v>
      </c>
      <c r="AF16" s="1114" t="s">
        <v>287</v>
      </c>
      <c r="AG16" s="1114" t="s">
        <v>286</v>
      </c>
      <c r="AH16" s="1114" t="s">
        <v>1335</v>
      </c>
      <c r="AI16" s="1114" t="s">
        <v>287</v>
      </c>
      <c r="AJ16" s="1114" t="s">
        <v>286</v>
      </c>
      <c r="AK16" s="1114" t="s">
        <v>1335</v>
      </c>
      <c r="AL16" s="1114" t="s">
        <v>287</v>
      </c>
      <c r="AM16" s="1114" t="s">
        <v>286</v>
      </c>
      <c r="AN16" s="1114" t="s">
        <v>1335</v>
      </c>
      <c r="AO16" s="1114" t="s">
        <v>287</v>
      </c>
      <c r="AP16" s="1114" t="s">
        <v>286</v>
      </c>
      <c r="AQ16" s="1114" t="s">
        <v>1335</v>
      </c>
      <c r="AR16" s="1057"/>
      <c r="AS16" s="1057"/>
      <c r="AT16" s="1057"/>
      <c r="AU16" s="1057"/>
      <c r="AV16" s="1057"/>
      <c r="AW16" s="1057"/>
      <c r="AX16" s="1057"/>
      <c r="AY16" s="1057"/>
      <c r="AZ16" s="1057"/>
      <c r="BA16" s="1057"/>
      <c r="BB16" s="1057"/>
      <c r="BC16" s="1057"/>
      <c r="BD16" s="1057"/>
      <c r="BE16" s="1057"/>
      <c r="BF16" s="1057"/>
    </row>
    <row r="17" spans="1:58" s="597" customFormat="1">
      <c r="A17" s="861" t="s">
        <v>18</v>
      </c>
      <c r="B17" s="1057"/>
      <c r="C17" s="1057"/>
      <c r="D17" s="1057"/>
      <c r="E17" s="1057"/>
      <c r="F17" s="1057" t="s">
        <v>1026</v>
      </c>
      <c r="G17" s="1106"/>
      <c r="H17" s="1057"/>
      <c r="I17" s="1057"/>
      <c r="J17" s="1057"/>
      <c r="K17" s="1057"/>
      <c r="L17" s="1115" t="s">
        <v>16</v>
      </c>
      <c r="M17" s="1116"/>
      <c r="N17" s="1117" t="s">
        <v>2544</v>
      </c>
      <c r="O17" s="1118"/>
      <c r="P17" s="1118"/>
      <c r="Q17" s="1118"/>
      <c r="R17" s="1118"/>
      <c r="S17" s="1118"/>
      <c r="T17" s="1118"/>
      <c r="U17" s="1118"/>
      <c r="V17" s="1118"/>
      <c r="W17" s="1118"/>
      <c r="X17" s="1118"/>
      <c r="Y17" s="1118"/>
      <c r="Z17" s="1118"/>
      <c r="AA17" s="1118"/>
      <c r="AB17" s="1118"/>
      <c r="AC17" s="1118"/>
      <c r="AD17" s="1118"/>
      <c r="AE17" s="1118"/>
      <c r="AF17" s="1118"/>
      <c r="AG17" s="1118"/>
      <c r="AH17" s="1118"/>
      <c r="AI17" s="1118"/>
      <c r="AJ17" s="1118"/>
      <c r="AK17" s="1118"/>
      <c r="AL17" s="1118"/>
      <c r="AM17" s="1118"/>
      <c r="AN17" s="1118"/>
      <c r="AO17" s="1118"/>
      <c r="AP17" s="1118"/>
      <c r="AQ17" s="1119"/>
      <c r="AR17" s="1057"/>
      <c r="AS17" s="1057"/>
      <c r="AT17" s="1057"/>
      <c r="AU17" s="1057"/>
      <c r="AV17" s="1057"/>
      <c r="AW17" s="1057"/>
      <c r="AX17" s="1057"/>
      <c r="AY17" s="1057"/>
      <c r="AZ17" s="1057"/>
      <c r="BA17" s="1057"/>
      <c r="BB17" s="1057"/>
      <c r="BC17" s="1057"/>
      <c r="BD17" s="1057"/>
      <c r="BE17" s="1057"/>
      <c r="BF17" s="1057"/>
    </row>
    <row r="18" spans="1:58" s="597" customFormat="1">
      <c r="A18" s="1057">
        <v>1</v>
      </c>
      <c r="B18" s="1057"/>
      <c r="C18" s="1057"/>
      <c r="D18" s="1057"/>
      <c r="E18" s="1057"/>
      <c r="F18" s="1057"/>
      <c r="G18" s="1057"/>
      <c r="H18" s="1057"/>
      <c r="I18" s="1057"/>
      <c r="J18" s="1057"/>
      <c r="K18" s="1057"/>
      <c r="L18" s="1120" t="s">
        <v>686</v>
      </c>
      <c r="M18" s="1121"/>
      <c r="N18" s="1117" t="s">
        <v>1029</v>
      </c>
      <c r="O18" s="1122"/>
      <c r="P18" s="1122"/>
      <c r="Q18" s="1122"/>
      <c r="R18" s="1122"/>
      <c r="S18" s="1122"/>
      <c r="T18" s="1122"/>
      <c r="U18" s="1122"/>
      <c r="V18" s="1122"/>
      <c r="W18" s="1122"/>
      <c r="X18" s="1122"/>
      <c r="Y18" s="1122"/>
      <c r="Z18" s="1122"/>
      <c r="AA18" s="1122"/>
      <c r="AB18" s="1122"/>
      <c r="AC18" s="1122"/>
      <c r="AD18" s="1122"/>
      <c r="AE18" s="1122"/>
      <c r="AF18" s="1122"/>
      <c r="AG18" s="1122"/>
      <c r="AH18" s="1122"/>
      <c r="AI18" s="1122"/>
      <c r="AJ18" s="1122"/>
      <c r="AK18" s="1122"/>
      <c r="AL18" s="1122"/>
      <c r="AM18" s="1122"/>
      <c r="AN18" s="1122"/>
      <c r="AO18" s="1122"/>
      <c r="AP18" s="1122"/>
      <c r="AQ18" s="1123"/>
      <c r="AR18" s="1057"/>
      <c r="AS18" s="1057"/>
      <c r="AT18" s="1057"/>
      <c r="AU18" s="1057"/>
      <c r="AV18" s="1057"/>
      <c r="AW18" s="1057"/>
      <c r="AX18" s="1057"/>
      <c r="AY18" s="1057"/>
      <c r="AZ18" s="1057"/>
      <c r="BA18" s="1057"/>
      <c r="BB18" s="1057"/>
      <c r="BC18" s="1057"/>
      <c r="BD18" s="1057"/>
      <c r="BE18" s="1057"/>
      <c r="BF18" s="1057"/>
    </row>
    <row r="19" spans="1:58" s="597" customFormat="1">
      <c r="A19" s="1057">
        <v>1</v>
      </c>
      <c r="B19" s="1057"/>
      <c r="C19" s="1057"/>
      <c r="D19" s="1057"/>
      <c r="E19" s="1057"/>
      <c r="F19" s="1057"/>
      <c r="G19" s="1057"/>
      <c r="H19" s="1057"/>
      <c r="I19" s="1057"/>
      <c r="J19" s="1057"/>
      <c r="K19" s="1057"/>
      <c r="L19" s="1120" t="s">
        <v>687</v>
      </c>
      <c r="M19" s="1121"/>
      <c r="N19" s="1117" t="s">
        <v>1132</v>
      </c>
      <c r="O19" s="1122"/>
      <c r="P19" s="1122"/>
      <c r="Q19" s="1122"/>
      <c r="R19" s="1122"/>
      <c r="S19" s="1122"/>
      <c r="T19" s="1122"/>
      <c r="U19" s="1122"/>
      <c r="V19" s="1122"/>
      <c r="W19" s="1122"/>
      <c r="X19" s="1122"/>
      <c r="Y19" s="1122"/>
      <c r="Z19" s="1122"/>
      <c r="AA19" s="1122"/>
      <c r="AB19" s="1122"/>
      <c r="AC19" s="1122"/>
      <c r="AD19" s="1122"/>
      <c r="AE19" s="1122"/>
      <c r="AF19" s="1122"/>
      <c r="AG19" s="1122"/>
      <c r="AH19" s="1122"/>
      <c r="AI19" s="1122"/>
      <c r="AJ19" s="1122"/>
      <c r="AK19" s="1122"/>
      <c r="AL19" s="1122"/>
      <c r="AM19" s="1122"/>
      <c r="AN19" s="1122"/>
      <c r="AO19" s="1122"/>
      <c r="AP19" s="1122"/>
      <c r="AQ19" s="1123"/>
      <c r="AR19" s="1057"/>
      <c r="AS19" s="1057"/>
      <c r="AT19" s="1057"/>
      <c r="AU19" s="1057"/>
      <c r="AV19" s="1057"/>
      <c r="AW19" s="1057"/>
      <c r="AX19" s="1057"/>
      <c r="AY19" s="1057"/>
      <c r="AZ19" s="1057"/>
      <c r="BA19" s="1057"/>
      <c r="BB19" s="1057"/>
      <c r="BC19" s="1057"/>
      <c r="BD19" s="1057"/>
      <c r="BE19" s="1057"/>
      <c r="BF19" s="1057"/>
    </row>
    <row r="20" spans="1:58" s="597" customFormat="1">
      <c r="A20" s="1057">
        <v>1</v>
      </c>
      <c r="B20" s="1057"/>
      <c r="C20" s="1057"/>
      <c r="D20" s="1057"/>
      <c r="E20" s="1057"/>
      <c r="F20" s="1057"/>
      <c r="G20" s="1057"/>
      <c r="H20" s="1057"/>
      <c r="I20" s="1057"/>
      <c r="J20" s="1057"/>
      <c r="K20" s="1057"/>
      <c r="L20" s="1120" t="s">
        <v>282</v>
      </c>
      <c r="M20" s="1121"/>
      <c r="N20" s="1117" t="s">
        <v>21</v>
      </c>
      <c r="O20" s="1122"/>
      <c r="P20" s="1122"/>
      <c r="Q20" s="1122"/>
      <c r="R20" s="1122"/>
      <c r="S20" s="1122"/>
      <c r="T20" s="1122"/>
      <c r="U20" s="1122"/>
      <c r="V20" s="1122"/>
      <c r="W20" s="1122"/>
      <c r="X20" s="1122"/>
      <c r="Y20" s="1122"/>
      <c r="Z20" s="1122"/>
      <c r="AA20" s="1122"/>
      <c r="AB20" s="1122"/>
      <c r="AC20" s="1122"/>
      <c r="AD20" s="1122"/>
      <c r="AE20" s="1122"/>
      <c r="AF20" s="1122"/>
      <c r="AG20" s="1122"/>
      <c r="AH20" s="1122"/>
      <c r="AI20" s="1122"/>
      <c r="AJ20" s="1122"/>
      <c r="AK20" s="1122"/>
      <c r="AL20" s="1122"/>
      <c r="AM20" s="1122"/>
      <c r="AN20" s="1122"/>
      <c r="AO20" s="1122"/>
      <c r="AP20" s="1122"/>
      <c r="AQ20" s="1123"/>
      <c r="AR20" s="1057"/>
      <c r="AS20" s="1057"/>
      <c r="AT20" s="1057"/>
      <c r="AU20" s="1057"/>
      <c r="AV20" s="1057"/>
      <c r="AW20" s="1057"/>
      <c r="AX20" s="1057"/>
      <c r="AY20" s="1057"/>
      <c r="AZ20" s="1057"/>
      <c r="BA20" s="1057"/>
      <c r="BB20" s="1057"/>
      <c r="BC20" s="1057"/>
      <c r="BD20" s="1057"/>
      <c r="BE20" s="1057"/>
      <c r="BF20" s="1057"/>
    </row>
    <row r="21" spans="1:58" s="597" customFormat="1">
      <c r="A21" s="1057">
        <v>1</v>
      </c>
      <c r="B21" s="1057"/>
      <c r="C21" s="1057"/>
      <c r="D21" s="1057"/>
      <c r="E21" s="1057"/>
      <c r="F21" s="1057"/>
      <c r="G21" s="1057" t="b">
        <v>1</v>
      </c>
      <c r="H21" s="1057"/>
      <c r="I21" s="1057"/>
      <c r="J21" s="1057"/>
      <c r="K21" s="1057"/>
      <c r="L21" s="1124" t="s">
        <v>688</v>
      </c>
      <c r="M21" s="1125"/>
      <c r="N21" s="1126"/>
      <c r="O21" s="1126"/>
      <c r="P21" s="1126"/>
      <c r="Q21" s="1126"/>
      <c r="R21" s="1126"/>
      <c r="S21" s="1126"/>
      <c r="T21" s="1126"/>
      <c r="U21" s="1126"/>
      <c r="V21" s="1126"/>
      <c r="W21" s="1126"/>
      <c r="X21" s="1126"/>
      <c r="Y21" s="1126"/>
      <c r="Z21" s="1126"/>
      <c r="AA21" s="1126"/>
      <c r="AB21" s="1126"/>
      <c r="AC21" s="1126"/>
      <c r="AD21" s="1126"/>
      <c r="AE21" s="1126"/>
      <c r="AF21" s="1126"/>
      <c r="AG21" s="1126"/>
      <c r="AH21" s="1126"/>
      <c r="AI21" s="1126"/>
      <c r="AJ21" s="1126"/>
      <c r="AK21" s="1126"/>
      <c r="AL21" s="1126"/>
      <c r="AM21" s="1126"/>
      <c r="AN21" s="1126"/>
      <c r="AO21" s="1126"/>
      <c r="AP21" s="1126"/>
      <c r="AQ21" s="1127"/>
      <c r="AR21" s="1057"/>
      <c r="AS21" s="1057"/>
      <c r="AT21" s="1057"/>
      <c r="AU21" s="1057"/>
      <c r="AV21" s="1057"/>
      <c r="AW21" s="1057"/>
      <c r="AX21" s="1057"/>
      <c r="AY21" s="1057"/>
      <c r="AZ21" s="1057"/>
      <c r="BA21" s="1057"/>
      <c r="BB21" s="1057"/>
      <c r="BC21" s="1057"/>
      <c r="BD21" s="1057"/>
      <c r="BE21" s="1057"/>
      <c r="BF21" s="1057"/>
    </row>
    <row r="22" spans="1:58" s="391" customFormat="1">
      <c r="A22" s="1057">
        <v>1</v>
      </c>
      <c r="B22" s="1057" t="s">
        <v>1208</v>
      </c>
      <c r="C22" s="1128"/>
      <c r="D22" s="1128"/>
      <c r="E22" s="1128"/>
      <c r="F22" s="1128"/>
      <c r="G22" s="1057" t="b">
        <v>1</v>
      </c>
      <c r="H22" s="1128"/>
      <c r="I22" s="1128"/>
      <c r="J22" s="1128"/>
      <c r="K22" s="1128"/>
      <c r="L22" s="1129" t="s">
        <v>1139</v>
      </c>
      <c r="M22" s="1130" t="s">
        <v>679</v>
      </c>
      <c r="N22" s="1131">
        <v>13.2</v>
      </c>
      <c r="O22" s="1131">
        <v>13.2</v>
      </c>
      <c r="P22" s="1132">
        <v>0</v>
      </c>
      <c r="Q22" s="1131">
        <v>0</v>
      </c>
      <c r="R22" s="1131">
        <v>0</v>
      </c>
      <c r="S22" s="1132">
        <v>0</v>
      </c>
      <c r="T22" s="1131">
        <v>0</v>
      </c>
      <c r="U22" s="1131">
        <v>0</v>
      </c>
      <c r="V22" s="1132">
        <v>0</v>
      </c>
      <c r="W22" s="1131">
        <v>0</v>
      </c>
      <c r="X22" s="1131">
        <v>0</v>
      </c>
      <c r="Y22" s="1132">
        <v>0</v>
      </c>
      <c r="Z22" s="1131">
        <v>0</v>
      </c>
      <c r="AA22" s="1131">
        <v>0</v>
      </c>
      <c r="AB22" s="1132">
        <v>0</v>
      </c>
      <c r="AC22" s="1131">
        <v>0</v>
      </c>
      <c r="AD22" s="1131">
        <v>0</v>
      </c>
      <c r="AE22" s="1132">
        <v>0</v>
      </c>
      <c r="AF22" s="1131">
        <v>0</v>
      </c>
      <c r="AG22" s="1131">
        <v>0</v>
      </c>
      <c r="AH22" s="1132">
        <v>0</v>
      </c>
      <c r="AI22" s="1131">
        <v>0</v>
      </c>
      <c r="AJ22" s="1131">
        <v>0</v>
      </c>
      <c r="AK22" s="1132">
        <v>0</v>
      </c>
      <c r="AL22" s="1131">
        <v>0</v>
      </c>
      <c r="AM22" s="1131">
        <v>0</v>
      </c>
      <c r="AN22" s="1132">
        <v>0</v>
      </c>
      <c r="AO22" s="1131">
        <v>0</v>
      </c>
      <c r="AP22" s="1131">
        <v>0</v>
      </c>
      <c r="AQ22" s="1132">
        <v>0</v>
      </c>
      <c r="AR22" s="1128"/>
      <c r="AS22" s="1128"/>
      <c r="AT22" s="1128"/>
      <c r="AU22" s="1128"/>
      <c r="AV22" s="1128"/>
      <c r="AW22" s="1128"/>
      <c r="AX22" s="1128"/>
      <c r="AY22" s="1128"/>
      <c r="AZ22" s="1128"/>
      <c r="BA22" s="1128"/>
      <c r="BB22" s="1128"/>
      <c r="BC22" s="1128"/>
      <c r="BD22" s="1128"/>
      <c r="BE22" s="1128"/>
      <c r="BF22" s="1128"/>
    </row>
    <row r="23" spans="1:58" s="391" customFormat="1">
      <c r="A23" s="1057">
        <v>1</v>
      </c>
      <c r="B23" s="1057" t="s">
        <v>1209</v>
      </c>
      <c r="C23" s="1128"/>
      <c r="D23" s="1128"/>
      <c r="E23" s="1128"/>
      <c r="F23" s="1128"/>
      <c r="G23" s="1057" t="b">
        <v>1</v>
      </c>
      <c r="H23" s="1128"/>
      <c r="I23" s="1128"/>
      <c r="J23" s="1128"/>
      <c r="K23" s="1128"/>
      <c r="L23" s="1129" t="s">
        <v>1140</v>
      </c>
      <c r="M23" s="1130" t="s">
        <v>679</v>
      </c>
      <c r="N23" s="1131">
        <v>16.030118231454498</v>
      </c>
      <c r="O23" s="1131">
        <v>15.311993727251618</v>
      </c>
      <c r="P23" s="1132">
        <v>-4.4798453375956209</v>
      </c>
      <c r="Q23" s="1131">
        <v>0</v>
      </c>
      <c r="R23" s="1131">
        <v>0</v>
      </c>
      <c r="S23" s="1132">
        <v>0</v>
      </c>
      <c r="T23" s="1131">
        <v>0</v>
      </c>
      <c r="U23" s="1131">
        <v>0</v>
      </c>
      <c r="V23" s="1132">
        <v>0</v>
      </c>
      <c r="W23" s="1131">
        <v>0</v>
      </c>
      <c r="X23" s="1131">
        <v>0</v>
      </c>
      <c r="Y23" s="1132">
        <v>0</v>
      </c>
      <c r="Z23" s="1131">
        <v>0</v>
      </c>
      <c r="AA23" s="1131">
        <v>0</v>
      </c>
      <c r="AB23" s="1132">
        <v>0</v>
      </c>
      <c r="AC23" s="1131">
        <v>0</v>
      </c>
      <c r="AD23" s="1131">
        <v>0</v>
      </c>
      <c r="AE23" s="1132">
        <v>0</v>
      </c>
      <c r="AF23" s="1131">
        <v>0</v>
      </c>
      <c r="AG23" s="1131">
        <v>0</v>
      </c>
      <c r="AH23" s="1132">
        <v>0</v>
      </c>
      <c r="AI23" s="1131">
        <v>0</v>
      </c>
      <c r="AJ23" s="1131">
        <v>0</v>
      </c>
      <c r="AK23" s="1132">
        <v>0</v>
      </c>
      <c r="AL23" s="1131">
        <v>0</v>
      </c>
      <c r="AM23" s="1131">
        <v>0</v>
      </c>
      <c r="AN23" s="1132">
        <v>0</v>
      </c>
      <c r="AO23" s="1131">
        <v>0</v>
      </c>
      <c r="AP23" s="1131">
        <v>0</v>
      </c>
      <c r="AQ23" s="1132">
        <v>0</v>
      </c>
      <c r="AR23" s="1128"/>
      <c r="AS23" s="1128"/>
      <c r="AT23" s="1128"/>
      <c r="AU23" s="1128"/>
      <c r="AV23" s="1128"/>
      <c r="AW23" s="1128"/>
      <c r="AX23" s="1128"/>
      <c r="AY23" s="1128"/>
      <c r="AZ23" s="1128"/>
      <c r="BA23" s="1128"/>
      <c r="BB23" s="1128"/>
      <c r="BC23" s="1128"/>
      <c r="BD23" s="1128"/>
      <c r="BE23" s="1128"/>
      <c r="BF23" s="1128"/>
    </row>
    <row r="24" spans="1:58" s="597" customFormat="1">
      <c r="A24" s="1057">
        <v>1</v>
      </c>
      <c r="B24" s="1057"/>
      <c r="C24" s="1057"/>
      <c r="D24" s="1057"/>
      <c r="E24" s="1057"/>
      <c r="F24" s="1057"/>
      <c r="G24" s="1057" t="b">
        <v>1</v>
      </c>
      <c r="H24" s="1057"/>
      <c r="I24" s="1057"/>
      <c r="J24" s="1057"/>
      <c r="K24" s="1057"/>
      <c r="L24" s="1133" t="s">
        <v>689</v>
      </c>
      <c r="M24" s="1134" t="s">
        <v>145</v>
      </c>
      <c r="N24" s="1135">
        <v>121.44028963223106</v>
      </c>
      <c r="O24" s="1135">
        <v>115.99995247917893</v>
      </c>
      <c r="P24" s="1136"/>
      <c r="Q24" s="1135">
        <v>0</v>
      </c>
      <c r="R24" s="1135">
        <v>0</v>
      </c>
      <c r="S24" s="1136"/>
      <c r="T24" s="1135">
        <v>0</v>
      </c>
      <c r="U24" s="1135">
        <v>0</v>
      </c>
      <c r="V24" s="1136"/>
      <c r="W24" s="1135">
        <v>0</v>
      </c>
      <c r="X24" s="1135">
        <v>0</v>
      </c>
      <c r="Y24" s="1136"/>
      <c r="Z24" s="1135">
        <v>0</v>
      </c>
      <c r="AA24" s="1135">
        <v>0</v>
      </c>
      <c r="AB24" s="1136"/>
      <c r="AC24" s="1135">
        <v>0</v>
      </c>
      <c r="AD24" s="1135">
        <v>0</v>
      </c>
      <c r="AE24" s="1136"/>
      <c r="AF24" s="1135">
        <v>0</v>
      </c>
      <c r="AG24" s="1135">
        <v>0</v>
      </c>
      <c r="AH24" s="1136"/>
      <c r="AI24" s="1135">
        <v>0</v>
      </c>
      <c r="AJ24" s="1135">
        <v>0</v>
      </c>
      <c r="AK24" s="1136"/>
      <c r="AL24" s="1135">
        <v>0</v>
      </c>
      <c r="AM24" s="1135">
        <v>0</v>
      </c>
      <c r="AN24" s="1136"/>
      <c r="AO24" s="1135">
        <v>0</v>
      </c>
      <c r="AP24" s="1135">
        <v>0</v>
      </c>
      <c r="AQ24" s="1136"/>
      <c r="AR24" s="1057"/>
      <c r="AS24" s="1057"/>
      <c r="AT24" s="1057"/>
      <c r="AU24" s="1057"/>
      <c r="AV24" s="1057"/>
      <c r="AW24" s="1057"/>
      <c r="AX24" s="1057"/>
      <c r="AY24" s="1057"/>
      <c r="AZ24" s="1057"/>
      <c r="BA24" s="1057"/>
      <c r="BB24" s="1057"/>
      <c r="BC24" s="1057"/>
      <c r="BD24" s="1057"/>
      <c r="BE24" s="1057"/>
      <c r="BF24" s="1057"/>
    </row>
    <row r="25" spans="1:58" s="597" customFormat="1">
      <c r="A25" s="1057">
        <v>1</v>
      </c>
      <c r="B25" s="1033" t="s">
        <v>1217</v>
      </c>
      <c r="C25" s="1057"/>
      <c r="D25" s="1057"/>
      <c r="E25" s="1057"/>
      <c r="F25" s="1057"/>
      <c r="G25" s="1057" t="b">
        <v>1</v>
      </c>
      <c r="H25" s="1057"/>
      <c r="I25" s="1057"/>
      <c r="J25" s="1057"/>
      <c r="K25" s="1057"/>
      <c r="L25" s="1133" t="s">
        <v>690</v>
      </c>
      <c r="M25" s="1134" t="s">
        <v>329</v>
      </c>
      <c r="N25" s="1137">
        <v>2066.08</v>
      </c>
      <c r="O25" s="1137">
        <v>2066.08</v>
      </c>
      <c r="P25" s="1138">
        <v>0</v>
      </c>
      <c r="Q25" s="1137">
        <v>0</v>
      </c>
      <c r="R25" s="1137">
        <v>0</v>
      </c>
      <c r="S25" s="1138">
        <v>0</v>
      </c>
      <c r="T25" s="1137">
        <v>0</v>
      </c>
      <c r="U25" s="1137">
        <v>0</v>
      </c>
      <c r="V25" s="1138">
        <v>0</v>
      </c>
      <c r="W25" s="1137">
        <v>0</v>
      </c>
      <c r="X25" s="1137">
        <v>0</v>
      </c>
      <c r="Y25" s="1138">
        <v>0</v>
      </c>
      <c r="Z25" s="1137">
        <v>0</v>
      </c>
      <c r="AA25" s="1137">
        <v>0</v>
      </c>
      <c r="AB25" s="1138">
        <v>0</v>
      </c>
      <c r="AC25" s="1137">
        <v>0</v>
      </c>
      <c r="AD25" s="1137">
        <v>0</v>
      </c>
      <c r="AE25" s="1138">
        <v>0</v>
      </c>
      <c r="AF25" s="1137">
        <v>0</v>
      </c>
      <c r="AG25" s="1137">
        <v>0</v>
      </c>
      <c r="AH25" s="1138">
        <v>0</v>
      </c>
      <c r="AI25" s="1137">
        <v>0</v>
      </c>
      <c r="AJ25" s="1137">
        <v>0</v>
      </c>
      <c r="AK25" s="1138">
        <v>0</v>
      </c>
      <c r="AL25" s="1137">
        <v>0</v>
      </c>
      <c r="AM25" s="1137">
        <v>0</v>
      </c>
      <c r="AN25" s="1138">
        <v>0</v>
      </c>
      <c r="AO25" s="1137">
        <v>0</v>
      </c>
      <c r="AP25" s="1137">
        <v>0</v>
      </c>
      <c r="AQ25" s="1138">
        <v>0</v>
      </c>
      <c r="AR25" s="1057"/>
      <c r="AS25" s="1057"/>
      <c r="AT25" s="1057"/>
      <c r="AU25" s="1057"/>
      <c r="AV25" s="1057"/>
      <c r="AW25" s="1057"/>
      <c r="AX25" s="1057"/>
      <c r="AY25" s="1057"/>
      <c r="AZ25" s="1057"/>
      <c r="BA25" s="1057"/>
      <c r="BB25" s="1057"/>
      <c r="BC25" s="1057"/>
      <c r="BD25" s="1057"/>
      <c r="BE25" s="1057"/>
      <c r="BF25" s="1057"/>
    </row>
    <row r="26" spans="1:58" s="391" customFormat="1">
      <c r="A26" s="1057">
        <v>1</v>
      </c>
      <c r="B26" s="1033" t="s">
        <v>1211</v>
      </c>
      <c r="C26" s="1128"/>
      <c r="D26" s="1128"/>
      <c r="E26" s="1128"/>
      <c r="F26" s="1128"/>
      <c r="G26" s="1057" t="b">
        <v>1</v>
      </c>
      <c r="H26" s="1128"/>
      <c r="I26" s="1128"/>
      <c r="J26" s="1128"/>
      <c r="K26" s="1128"/>
      <c r="L26" s="1129" t="s">
        <v>691</v>
      </c>
      <c r="M26" s="1130" t="s">
        <v>679</v>
      </c>
      <c r="N26" s="1131">
        <v>0</v>
      </c>
      <c r="O26" s="1131">
        <v>0</v>
      </c>
      <c r="P26" s="1132">
        <v>0</v>
      </c>
      <c r="Q26" s="1131">
        <v>0</v>
      </c>
      <c r="R26" s="1131">
        <v>0</v>
      </c>
      <c r="S26" s="1132">
        <v>0</v>
      </c>
      <c r="T26" s="1131">
        <v>0</v>
      </c>
      <c r="U26" s="1131">
        <v>0</v>
      </c>
      <c r="V26" s="1132">
        <v>0</v>
      </c>
      <c r="W26" s="1131">
        <v>0</v>
      </c>
      <c r="X26" s="1131">
        <v>0</v>
      </c>
      <c r="Y26" s="1132">
        <v>0</v>
      </c>
      <c r="Z26" s="1131">
        <v>0</v>
      </c>
      <c r="AA26" s="1131">
        <v>0</v>
      </c>
      <c r="AB26" s="1132">
        <v>0</v>
      </c>
      <c r="AC26" s="1131">
        <v>0</v>
      </c>
      <c r="AD26" s="1131">
        <v>0</v>
      </c>
      <c r="AE26" s="1132">
        <v>0</v>
      </c>
      <c r="AF26" s="1131">
        <v>0</v>
      </c>
      <c r="AG26" s="1131">
        <v>0</v>
      </c>
      <c r="AH26" s="1132">
        <v>0</v>
      </c>
      <c r="AI26" s="1131">
        <v>0</v>
      </c>
      <c r="AJ26" s="1131">
        <v>0</v>
      </c>
      <c r="AK26" s="1132">
        <v>0</v>
      </c>
      <c r="AL26" s="1131">
        <v>0</v>
      </c>
      <c r="AM26" s="1131">
        <v>0</v>
      </c>
      <c r="AN26" s="1132">
        <v>0</v>
      </c>
      <c r="AO26" s="1131">
        <v>0</v>
      </c>
      <c r="AP26" s="1131">
        <v>0</v>
      </c>
      <c r="AQ26" s="1132">
        <v>0</v>
      </c>
      <c r="AR26" s="1128"/>
      <c r="AS26" s="1128"/>
      <c r="AT26" s="1128"/>
      <c r="AU26" s="1128"/>
      <c r="AV26" s="1128"/>
      <c r="AW26" s="1128"/>
      <c r="AX26" s="1128"/>
      <c r="AY26" s="1128"/>
      <c r="AZ26" s="1128"/>
      <c r="BA26" s="1128"/>
      <c r="BB26" s="1128"/>
      <c r="BC26" s="1128"/>
      <c r="BD26" s="1128"/>
      <c r="BE26" s="1128"/>
      <c r="BF26" s="1128"/>
    </row>
    <row r="27" spans="1:58" s="391" customFormat="1">
      <c r="A27" s="1057">
        <v>1</v>
      </c>
      <c r="B27" s="1033" t="s">
        <v>1210</v>
      </c>
      <c r="C27" s="1128"/>
      <c r="D27" s="1128"/>
      <c r="E27" s="1128"/>
      <c r="F27" s="1128"/>
      <c r="G27" s="1057" t="b">
        <v>1</v>
      </c>
      <c r="H27" s="1128"/>
      <c r="I27" s="1128"/>
      <c r="J27" s="1128"/>
      <c r="K27" s="1128"/>
      <c r="L27" s="1129" t="s">
        <v>692</v>
      </c>
      <c r="M27" s="1130" t="s">
        <v>679</v>
      </c>
      <c r="N27" s="1131">
        <v>0</v>
      </c>
      <c r="O27" s="1131">
        <v>0</v>
      </c>
      <c r="P27" s="1132">
        <v>0</v>
      </c>
      <c r="Q27" s="1131">
        <v>0</v>
      </c>
      <c r="R27" s="1131">
        <v>0</v>
      </c>
      <c r="S27" s="1132">
        <v>0</v>
      </c>
      <c r="T27" s="1131">
        <v>0</v>
      </c>
      <c r="U27" s="1131">
        <v>0</v>
      </c>
      <c r="V27" s="1132">
        <v>0</v>
      </c>
      <c r="W27" s="1131">
        <v>0</v>
      </c>
      <c r="X27" s="1131">
        <v>0</v>
      </c>
      <c r="Y27" s="1132">
        <v>0</v>
      </c>
      <c r="Z27" s="1131">
        <v>0</v>
      </c>
      <c r="AA27" s="1131">
        <v>0</v>
      </c>
      <c r="AB27" s="1132">
        <v>0</v>
      </c>
      <c r="AC27" s="1131">
        <v>0</v>
      </c>
      <c r="AD27" s="1131">
        <v>0</v>
      </c>
      <c r="AE27" s="1132">
        <v>0</v>
      </c>
      <c r="AF27" s="1131">
        <v>0</v>
      </c>
      <c r="AG27" s="1131">
        <v>0</v>
      </c>
      <c r="AH27" s="1132">
        <v>0</v>
      </c>
      <c r="AI27" s="1131">
        <v>0</v>
      </c>
      <c r="AJ27" s="1131">
        <v>0</v>
      </c>
      <c r="AK27" s="1132">
        <v>0</v>
      </c>
      <c r="AL27" s="1131">
        <v>0</v>
      </c>
      <c r="AM27" s="1131">
        <v>0</v>
      </c>
      <c r="AN27" s="1132">
        <v>0</v>
      </c>
      <c r="AO27" s="1131">
        <v>0</v>
      </c>
      <c r="AP27" s="1131">
        <v>0</v>
      </c>
      <c r="AQ27" s="1132">
        <v>0</v>
      </c>
      <c r="AR27" s="1128"/>
      <c r="AS27" s="1128"/>
      <c r="AT27" s="1128"/>
      <c r="AU27" s="1128"/>
      <c r="AV27" s="1128"/>
      <c r="AW27" s="1128"/>
      <c r="AX27" s="1128"/>
      <c r="AY27" s="1128"/>
      <c r="AZ27" s="1128"/>
      <c r="BA27" s="1128"/>
      <c r="BB27" s="1128"/>
      <c r="BC27" s="1128"/>
      <c r="BD27" s="1128"/>
      <c r="BE27" s="1128"/>
      <c r="BF27" s="1128"/>
    </row>
    <row r="28" spans="1:58" s="597" customFormat="1">
      <c r="A28" s="1057">
        <v>1</v>
      </c>
      <c r="B28" s="1033"/>
      <c r="C28" s="1057"/>
      <c r="D28" s="1057"/>
      <c r="E28" s="1057"/>
      <c r="F28" s="1057"/>
      <c r="G28" s="1057" t="b">
        <v>1</v>
      </c>
      <c r="H28" s="1057"/>
      <c r="I28" s="1057"/>
      <c r="J28" s="1057"/>
      <c r="K28" s="1057"/>
      <c r="L28" s="1133" t="s">
        <v>689</v>
      </c>
      <c r="M28" s="1134" t="s">
        <v>145</v>
      </c>
      <c r="N28" s="1135">
        <v>0</v>
      </c>
      <c r="O28" s="1135">
        <v>0</v>
      </c>
      <c r="P28" s="1136"/>
      <c r="Q28" s="1135">
        <v>0</v>
      </c>
      <c r="R28" s="1135">
        <v>0</v>
      </c>
      <c r="S28" s="1136"/>
      <c r="T28" s="1135">
        <v>0</v>
      </c>
      <c r="U28" s="1135">
        <v>0</v>
      </c>
      <c r="V28" s="1136"/>
      <c r="W28" s="1135">
        <v>0</v>
      </c>
      <c r="X28" s="1135">
        <v>0</v>
      </c>
      <c r="Y28" s="1136"/>
      <c r="Z28" s="1135">
        <v>0</v>
      </c>
      <c r="AA28" s="1135">
        <v>0</v>
      </c>
      <c r="AB28" s="1136"/>
      <c r="AC28" s="1135">
        <v>0</v>
      </c>
      <c r="AD28" s="1135">
        <v>0</v>
      </c>
      <c r="AE28" s="1136"/>
      <c r="AF28" s="1135">
        <v>0</v>
      </c>
      <c r="AG28" s="1135">
        <v>0</v>
      </c>
      <c r="AH28" s="1136"/>
      <c r="AI28" s="1135">
        <v>0</v>
      </c>
      <c r="AJ28" s="1135">
        <v>0</v>
      </c>
      <c r="AK28" s="1136"/>
      <c r="AL28" s="1135">
        <v>0</v>
      </c>
      <c r="AM28" s="1135">
        <v>0</v>
      </c>
      <c r="AN28" s="1136"/>
      <c r="AO28" s="1135">
        <v>0</v>
      </c>
      <c r="AP28" s="1135">
        <v>0</v>
      </c>
      <c r="AQ28" s="1136"/>
      <c r="AR28" s="1057"/>
      <c r="AS28" s="1057"/>
      <c r="AT28" s="1057"/>
      <c r="AU28" s="1057"/>
      <c r="AV28" s="1057"/>
      <c r="AW28" s="1057"/>
      <c r="AX28" s="1057"/>
      <c r="AY28" s="1057"/>
      <c r="AZ28" s="1057"/>
      <c r="BA28" s="1057"/>
      <c r="BB28" s="1057"/>
      <c r="BC28" s="1057"/>
      <c r="BD28" s="1057"/>
      <c r="BE28" s="1057"/>
      <c r="BF28" s="1057"/>
    </row>
    <row r="29" spans="1:58" s="597" customFormat="1">
      <c r="A29" s="1057">
        <v>1</v>
      </c>
      <c r="B29" s="1033" t="s">
        <v>1218</v>
      </c>
      <c r="C29" s="1057"/>
      <c r="D29" s="1057"/>
      <c r="E29" s="1057"/>
      <c r="F29" s="1057"/>
      <c r="G29" s="1057" t="b">
        <v>1</v>
      </c>
      <c r="H29" s="1057"/>
      <c r="I29" s="1057"/>
      <c r="J29" s="1057"/>
      <c r="K29" s="1057"/>
      <c r="L29" s="1133" t="s">
        <v>1212</v>
      </c>
      <c r="M29" s="1134" t="s">
        <v>329</v>
      </c>
      <c r="N29" s="1137">
        <v>2066.08</v>
      </c>
      <c r="O29" s="1137">
        <v>2066.08</v>
      </c>
      <c r="P29" s="1138">
        <v>0</v>
      </c>
      <c r="Q29" s="1137">
        <v>0</v>
      </c>
      <c r="R29" s="1137">
        <v>0</v>
      </c>
      <c r="S29" s="1138">
        <v>0</v>
      </c>
      <c r="T29" s="1137">
        <v>0</v>
      </c>
      <c r="U29" s="1137">
        <v>0</v>
      </c>
      <c r="V29" s="1138">
        <v>0</v>
      </c>
      <c r="W29" s="1137">
        <v>0</v>
      </c>
      <c r="X29" s="1137">
        <v>0</v>
      </c>
      <c r="Y29" s="1138">
        <v>0</v>
      </c>
      <c r="Z29" s="1137">
        <v>0</v>
      </c>
      <c r="AA29" s="1137">
        <v>0</v>
      </c>
      <c r="AB29" s="1138">
        <v>0</v>
      </c>
      <c r="AC29" s="1137">
        <v>0</v>
      </c>
      <c r="AD29" s="1137">
        <v>0</v>
      </c>
      <c r="AE29" s="1138">
        <v>0</v>
      </c>
      <c r="AF29" s="1137">
        <v>0</v>
      </c>
      <c r="AG29" s="1137">
        <v>0</v>
      </c>
      <c r="AH29" s="1138">
        <v>0</v>
      </c>
      <c r="AI29" s="1137">
        <v>0</v>
      </c>
      <c r="AJ29" s="1137">
        <v>0</v>
      </c>
      <c r="AK29" s="1138">
        <v>0</v>
      </c>
      <c r="AL29" s="1137">
        <v>0</v>
      </c>
      <c r="AM29" s="1137">
        <v>0</v>
      </c>
      <c r="AN29" s="1138">
        <v>0</v>
      </c>
      <c r="AO29" s="1137">
        <v>0</v>
      </c>
      <c r="AP29" s="1137">
        <v>0</v>
      </c>
      <c r="AQ29" s="1138">
        <v>0</v>
      </c>
      <c r="AR29" s="1057"/>
      <c r="AS29" s="1057"/>
      <c r="AT29" s="1057"/>
      <c r="AU29" s="1057"/>
      <c r="AV29" s="1057"/>
      <c r="AW29" s="1057"/>
      <c r="AX29" s="1057"/>
      <c r="AY29" s="1057"/>
      <c r="AZ29" s="1057"/>
      <c r="BA29" s="1057"/>
      <c r="BB29" s="1057"/>
      <c r="BC29" s="1057"/>
      <c r="BD29" s="1057"/>
      <c r="BE29" s="1057"/>
      <c r="BF29" s="1057"/>
    </row>
    <row r="30" spans="1:58" s="597" customFormat="1" ht="0.2" customHeight="1">
      <c r="A30" s="1057">
        <v>1</v>
      </c>
      <c r="B30" s="1057"/>
      <c r="C30" s="1057"/>
      <c r="D30" s="1057"/>
      <c r="E30" s="1057"/>
      <c r="F30" s="1057"/>
      <c r="G30" s="1057" t="b">
        <v>0</v>
      </c>
      <c r="H30" s="1057"/>
      <c r="I30" s="1057"/>
      <c r="J30" s="1057"/>
      <c r="K30" s="1057"/>
      <c r="L30" s="1124" t="s">
        <v>693</v>
      </c>
      <c r="M30" s="1125"/>
      <c r="N30" s="1126"/>
      <c r="O30" s="1126"/>
      <c r="P30" s="1126"/>
      <c r="Q30" s="1126"/>
      <c r="R30" s="1126"/>
      <c r="S30" s="1126"/>
      <c r="T30" s="1126"/>
      <c r="U30" s="1126"/>
      <c r="V30" s="1126"/>
      <c r="W30" s="1126"/>
      <c r="X30" s="1126"/>
      <c r="Y30" s="1126"/>
      <c r="Z30" s="1126"/>
      <c r="AA30" s="1126"/>
      <c r="AB30" s="1126"/>
      <c r="AC30" s="1126"/>
      <c r="AD30" s="1126"/>
      <c r="AE30" s="1126"/>
      <c r="AF30" s="1126"/>
      <c r="AG30" s="1126"/>
      <c r="AH30" s="1126"/>
      <c r="AI30" s="1126"/>
      <c r="AJ30" s="1126"/>
      <c r="AK30" s="1126"/>
      <c r="AL30" s="1126"/>
      <c r="AM30" s="1126"/>
      <c r="AN30" s="1126"/>
      <c r="AO30" s="1126"/>
      <c r="AP30" s="1126"/>
      <c r="AQ30" s="1127"/>
      <c r="AR30" s="1057"/>
      <c r="AS30" s="1057"/>
      <c r="AT30" s="1057"/>
      <c r="AU30" s="1057"/>
      <c r="AV30" s="1057"/>
      <c r="AW30" s="1057"/>
      <c r="AX30" s="1057"/>
      <c r="AY30" s="1057"/>
      <c r="AZ30" s="1057"/>
      <c r="BA30" s="1057"/>
      <c r="BB30" s="1057"/>
      <c r="BC30" s="1057"/>
      <c r="BD30" s="1057"/>
      <c r="BE30" s="1057"/>
      <c r="BF30" s="1057"/>
    </row>
    <row r="31" spans="1:58" s="597" customFormat="1" ht="0.2" customHeight="1">
      <c r="A31" s="1057">
        <v>1</v>
      </c>
      <c r="B31" s="1057"/>
      <c r="C31" s="1057"/>
      <c r="D31" s="1057"/>
      <c r="E31" s="1057"/>
      <c r="F31" s="1057"/>
      <c r="G31" s="1057" t="b">
        <v>0</v>
      </c>
      <c r="H31" s="1057"/>
      <c r="I31" s="1057"/>
      <c r="J31" s="1057"/>
      <c r="K31" s="1057"/>
      <c r="L31" s="402" t="s">
        <v>1219</v>
      </c>
      <c r="M31" s="403"/>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5"/>
      <c r="AR31" s="1057"/>
      <c r="AS31" s="1057"/>
      <c r="AT31" s="1057"/>
      <c r="AU31" s="1057"/>
      <c r="AV31" s="1057"/>
      <c r="AW31" s="1057"/>
      <c r="AX31" s="1057"/>
      <c r="AY31" s="1057"/>
      <c r="AZ31" s="1057"/>
      <c r="BA31" s="1057"/>
      <c r="BB31" s="1057"/>
      <c r="BC31" s="1057"/>
      <c r="BD31" s="1057"/>
      <c r="BE31" s="1057"/>
      <c r="BF31" s="1057"/>
    </row>
    <row r="32" spans="1:58" s="597" customFormat="1" ht="0.2" customHeight="1">
      <c r="A32" s="1057">
        <v>1</v>
      </c>
      <c r="B32" s="1057"/>
      <c r="C32" s="1057"/>
      <c r="D32" s="1057"/>
      <c r="E32" s="1057"/>
      <c r="F32" s="1057"/>
      <c r="G32" s="1057" t="b">
        <v>0</v>
      </c>
      <c r="H32" s="1057"/>
      <c r="I32" s="1057"/>
      <c r="J32" s="1057"/>
      <c r="K32" s="1057"/>
      <c r="L32" s="1139" t="s">
        <v>694</v>
      </c>
      <c r="M32" s="1134" t="s">
        <v>679</v>
      </c>
      <c r="N32" s="1140">
        <v>0</v>
      </c>
      <c r="O32" s="1140">
        <v>0</v>
      </c>
      <c r="P32" s="1136">
        <v>0</v>
      </c>
      <c r="Q32" s="1140">
        <v>0</v>
      </c>
      <c r="R32" s="1140">
        <v>0</v>
      </c>
      <c r="S32" s="1136">
        <v>0</v>
      </c>
      <c r="T32" s="1140">
        <v>0</v>
      </c>
      <c r="U32" s="1140">
        <v>0</v>
      </c>
      <c r="V32" s="1136">
        <v>0</v>
      </c>
      <c r="W32" s="1140">
        <v>0</v>
      </c>
      <c r="X32" s="1140">
        <v>0</v>
      </c>
      <c r="Y32" s="1136">
        <v>0</v>
      </c>
      <c r="Z32" s="1140">
        <v>0</v>
      </c>
      <c r="AA32" s="1140">
        <v>0</v>
      </c>
      <c r="AB32" s="1136">
        <v>0</v>
      </c>
      <c r="AC32" s="1140">
        <v>0</v>
      </c>
      <c r="AD32" s="1140">
        <v>0</v>
      </c>
      <c r="AE32" s="1136">
        <v>0</v>
      </c>
      <c r="AF32" s="1140">
        <v>0</v>
      </c>
      <c r="AG32" s="1140">
        <v>0</v>
      </c>
      <c r="AH32" s="1136">
        <v>0</v>
      </c>
      <c r="AI32" s="1140">
        <v>0</v>
      </c>
      <c r="AJ32" s="1140">
        <v>0</v>
      </c>
      <c r="AK32" s="1136">
        <v>0</v>
      </c>
      <c r="AL32" s="1140">
        <v>0</v>
      </c>
      <c r="AM32" s="1140">
        <v>0</v>
      </c>
      <c r="AN32" s="1136">
        <v>0</v>
      </c>
      <c r="AO32" s="1140">
        <v>0</v>
      </c>
      <c r="AP32" s="1140">
        <v>0</v>
      </c>
      <c r="AQ32" s="1136">
        <v>0</v>
      </c>
      <c r="AR32" s="1057"/>
      <c r="AS32" s="1057"/>
      <c r="AT32" s="1057"/>
      <c r="AU32" s="1057"/>
      <c r="AV32" s="1057"/>
      <c r="AW32" s="1057"/>
      <c r="AX32" s="1057"/>
      <c r="AY32" s="1057"/>
      <c r="AZ32" s="1057"/>
      <c r="BA32" s="1057"/>
      <c r="BB32" s="1057"/>
      <c r="BC32" s="1057"/>
      <c r="BD32" s="1057"/>
      <c r="BE32" s="1057"/>
      <c r="BF32" s="1057"/>
    </row>
    <row r="33" spans="1:58" s="597" customFormat="1" ht="0.2" customHeight="1">
      <c r="A33" s="1057">
        <v>1</v>
      </c>
      <c r="B33" s="1057"/>
      <c r="C33" s="1057"/>
      <c r="D33" s="1057"/>
      <c r="E33" s="1057"/>
      <c r="F33" s="1057"/>
      <c r="G33" s="1057" t="b">
        <v>0</v>
      </c>
      <c r="H33" s="1057"/>
      <c r="I33" s="1057"/>
      <c r="J33" s="1057"/>
      <c r="K33" s="1057"/>
      <c r="L33" s="1139" t="s">
        <v>695</v>
      </c>
      <c r="M33" s="1134" t="s">
        <v>679</v>
      </c>
      <c r="N33" s="1140"/>
      <c r="O33" s="1140"/>
      <c r="P33" s="1136">
        <v>0</v>
      </c>
      <c r="Q33" s="1140"/>
      <c r="R33" s="1140"/>
      <c r="S33" s="1136">
        <v>0</v>
      </c>
      <c r="T33" s="1140"/>
      <c r="U33" s="1140"/>
      <c r="V33" s="1136">
        <v>0</v>
      </c>
      <c r="W33" s="1140"/>
      <c r="X33" s="1140"/>
      <c r="Y33" s="1136">
        <v>0</v>
      </c>
      <c r="Z33" s="1140"/>
      <c r="AA33" s="1140"/>
      <c r="AB33" s="1136">
        <v>0</v>
      </c>
      <c r="AC33" s="1140"/>
      <c r="AD33" s="1140"/>
      <c r="AE33" s="1136">
        <v>0</v>
      </c>
      <c r="AF33" s="1140"/>
      <c r="AG33" s="1140"/>
      <c r="AH33" s="1136">
        <v>0</v>
      </c>
      <c r="AI33" s="1140"/>
      <c r="AJ33" s="1140"/>
      <c r="AK33" s="1136">
        <v>0</v>
      </c>
      <c r="AL33" s="1140"/>
      <c r="AM33" s="1140"/>
      <c r="AN33" s="1136">
        <v>0</v>
      </c>
      <c r="AO33" s="1140"/>
      <c r="AP33" s="1140"/>
      <c r="AQ33" s="1136">
        <v>0</v>
      </c>
      <c r="AR33" s="1057"/>
      <c r="AS33" s="1057"/>
      <c r="AT33" s="1057"/>
      <c r="AU33" s="1057"/>
      <c r="AV33" s="1057"/>
      <c r="AW33" s="1057"/>
      <c r="AX33" s="1057"/>
      <c r="AY33" s="1057"/>
      <c r="AZ33" s="1057"/>
      <c r="BA33" s="1057"/>
      <c r="BB33" s="1057"/>
      <c r="BC33" s="1057"/>
      <c r="BD33" s="1057"/>
      <c r="BE33" s="1057"/>
      <c r="BF33" s="1057"/>
    </row>
    <row r="34" spans="1:58" s="597" customFormat="1" ht="0.2" customHeight="1">
      <c r="A34" s="1057">
        <v>1</v>
      </c>
      <c r="B34" s="1033" t="s">
        <v>1213</v>
      </c>
      <c r="C34" s="1057"/>
      <c r="D34" s="1057"/>
      <c r="E34" s="1057"/>
      <c r="F34" s="1057"/>
      <c r="G34" s="1057" t="b">
        <v>0</v>
      </c>
      <c r="H34" s="1057"/>
      <c r="I34" s="1057"/>
      <c r="J34" s="1057"/>
      <c r="K34" s="1057"/>
      <c r="L34" s="1139" t="s">
        <v>696</v>
      </c>
      <c r="M34" s="1134" t="s">
        <v>329</v>
      </c>
      <c r="N34" s="1137">
        <v>1091.72</v>
      </c>
      <c r="O34" s="1137">
        <v>1033.04</v>
      </c>
      <c r="P34" s="1138">
        <v>-5.375004579928925</v>
      </c>
      <c r="Q34" s="1137">
        <v>0</v>
      </c>
      <c r="R34" s="1137">
        <v>0</v>
      </c>
      <c r="S34" s="1138">
        <v>0</v>
      </c>
      <c r="T34" s="1137">
        <v>0</v>
      </c>
      <c r="U34" s="1137">
        <v>0</v>
      </c>
      <c r="V34" s="1138">
        <v>0</v>
      </c>
      <c r="W34" s="1137">
        <v>0</v>
      </c>
      <c r="X34" s="1137">
        <v>0</v>
      </c>
      <c r="Y34" s="1138">
        <v>0</v>
      </c>
      <c r="Z34" s="1137">
        <v>0</v>
      </c>
      <c r="AA34" s="1137">
        <v>0</v>
      </c>
      <c r="AB34" s="1138">
        <v>0</v>
      </c>
      <c r="AC34" s="1137">
        <v>0</v>
      </c>
      <c r="AD34" s="1137">
        <v>0</v>
      </c>
      <c r="AE34" s="1138">
        <v>0</v>
      </c>
      <c r="AF34" s="1137">
        <v>0</v>
      </c>
      <c r="AG34" s="1137">
        <v>0</v>
      </c>
      <c r="AH34" s="1138">
        <v>0</v>
      </c>
      <c r="AI34" s="1137">
        <v>0</v>
      </c>
      <c r="AJ34" s="1137">
        <v>0</v>
      </c>
      <c r="AK34" s="1138">
        <v>0</v>
      </c>
      <c r="AL34" s="1137">
        <v>0</v>
      </c>
      <c r="AM34" s="1137">
        <v>0</v>
      </c>
      <c r="AN34" s="1138">
        <v>0</v>
      </c>
      <c r="AO34" s="1137">
        <v>0</v>
      </c>
      <c r="AP34" s="1137">
        <v>0</v>
      </c>
      <c r="AQ34" s="1138">
        <v>0</v>
      </c>
      <c r="AR34" s="1057"/>
      <c r="AS34" s="1057"/>
      <c r="AT34" s="1057"/>
      <c r="AU34" s="1057"/>
      <c r="AV34" s="1057"/>
      <c r="AW34" s="1057"/>
      <c r="AX34" s="1057"/>
      <c r="AY34" s="1057"/>
      <c r="AZ34" s="1057"/>
      <c r="BA34" s="1057"/>
      <c r="BB34" s="1057"/>
      <c r="BC34" s="1057"/>
      <c r="BD34" s="1057"/>
      <c r="BE34" s="1057"/>
      <c r="BF34" s="1057"/>
    </row>
    <row r="35" spans="1:58" s="597" customFormat="1" ht="0.2" customHeight="1">
      <c r="A35" s="1057">
        <v>1</v>
      </c>
      <c r="B35" s="1057"/>
      <c r="C35" s="1057"/>
      <c r="D35" s="1057"/>
      <c r="E35" s="1057"/>
      <c r="F35" s="1057"/>
      <c r="G35" s="1057" t="b">
        <v>0</v>
      </c>
      <c r="H35" s="1057"/>
      <c r="I35" s="1057"/>
      <c r="J35" s="1057"/>
      <c r="K35" s="1057"/>
      <c r="L35" s="1139" t="s">
        <v>697</v>
      </c>
      <c r="M35" s="1134" t="s">
        <v>698</v>
      </c>
      <c r="N35" s="1140"/>
      <c r="O35" s="1140"/>
      <c r="P35" s="1136">
        <v>0</v>
      </c>
      <c r="Q35" s="1140"/>
      <c r="R35" s="1140"/>
      <c r="S35" s="1136">
        <v>0</v>
      </c>
      <c r="T35" s="1140"/>
      <c r="U35" s="1140"/>
      <c r="V35" s="1136">
        <v>0</v>
      </c>
      <c r="W35" s="1140"/>
      <c r="X35" s="1140"/>
      <c r="Y35" s="1136">
        <v>0</v>
      </c>
      <c r="Z35" s="1140"/>
      <c r="AA35" s="1140"/>
      <c r="AB35" s="1136">
        <v>0</v>
      </c>
      <c r="AC35" s="1140"/>
      <c r="AD35" s="1140"/>
      <c r="AE35" s="1136">
        <v>0</v>
      </c>
      <c r="AF35" s="1140"/>
      <c r="AG35" s="1140"/>
      <c r="AH35" s="1136">
        <v>0</v>
      </c>
      <c r="AI35" s="1140"/>
      <c r="AJ35" s="1140"/>
      <c r="AK35" s="1136">
        <v>0</v>
      </c>
      <c r="AL35" s="1140"/>
      <c r="AM35" s="1140"/>
      <c r="AN35" s="1136">
        <v>0</v>
      </c>
      <c r="AO35" s="1140"/>
      <c r="AP35" s="1140"/>
      <c r="AQ35" s="1136">
        <v>0</v>
      </c>
      <c r="AR35" s="1057"/>
      <c r="AS35" s="1057"/>
      <c r="AT35" s="1057"/>
      <c r="AU35" s="1057"/>
      <c r="AV35" s="1057"/>
      <c r="AW35" s="1057"/>
      <c r="AX35" s="1057"/>
      <c r="AY35" s="1057"/>
      <c r="AZ35" s="1057"/>
      <c r="BA35" s="1057"/>
      <c r="BB35" s="1057"/>
      <c r="BC35" s="1057"/>
      <c r="BD35" s="1057"/>
      <c r="BE35" s="1057"/>
      <c r="BF35" s="1057"/>
    </row>
    <row r="36" spans="1:58" s="597" customFormat="1" ht="0.2" customHeight="1">
      <c r="A36" s="1057">
        <v>1</v>
      </c>
      <c r="B36" s="1057"/>
      <c r="C36" s="1057"/>
      <c r="D36" s="1057"/>
      <c r="E36" s="1057"/>
      <c r="F36" s="1057"/>
      <c r="G36" s="1057" t="b">
        <v>0</v>
      </c>
      <c r="H36" s="1057"/>
      <c r="I36" s="1057"/>
      <c r="J36" s="1057"/>
      <c r="K36" s="1057"/>
      <c r="L36" s="1139" t="s">
        <v>699</v>
      </c>
      <c r="M36" s="1134" t="s">
        <v>700</v>
      </c>
      <c r="N36" s="1140"/>
      <c r="O36" s="1140"/>
      <c r="P36" s="1136">
        <v>0</v>
      </c>
      <c r="Q36" s="1140"/>
      <c r="R36" s="1140"/>
      <c r="S36" s="1136">
        <v>0</v>
      </c>
      <c r="T36" s="1140"/>
      <c r="U36" s="1140"/>
      <c r="V36" s="1136">
        <v>0</v>
      </c>
      <c r="W36" s="1140"/>
      <c r="X36" s="1140"/>
      <c r="Y36" s="1136">
        <v>0</v>
      </c>
      <c r="Z36" s="1140"/>
      <c r="AA36" s="1140"/>
      <c r="AB36" s="1136">
        <v>0</v>
      </c>
      <c r="AC36" s="1140"/>
      <c r="AD36" s="1140"/>
      <c r="AE36" s="1136">
        <v>0</v>
      </c>
      <c r="AF36" s="1140"/>
      <c r="AG36" s="1140"/>
      <c r="AH36" s="1136">
        <v>0</v>
      </c>
      <c r="AI36" s="1140"/>
      <c r="AJ36" s="1140"/>
      <c r="AK36" s="1136">
        <v>0</v>
      </c>
      <c r="AL36" s="1140"/>
      <c r="AM36" s="1140"/>
      <c r="AN36" s="1136">
        <v>0</v>
      </c>
      <c r="AO36" s="1140"/>
      <c r="AP36" s="1140"/>
      <c r="AQ36" s="1136">
        <v>0</v>
      </c>
      <c r="AR36" s="1057"/>
      <c r="AS36" s="1057"/>
      <c r="AT36" s="1057"/>
      <c r="AU36" s="1057"/>
      <c r="AV36" s="1057"/>
      <c r="AW36" s="1057"/>
      <c r="AX36" s="1057"/>
      <c r="AY36" s="1057"/>
      <c r="AZ36" s="1057"/>
      <c r="BA36" s="1057"/>
      <c r="BB36" s="1057"/>
      <c r="BC36" s="1057"/>
      <c r="BD36" s="1057"/>
      <c r="BE36" s="1057"/>
      <c r="BF36" s="1057"/>
    </row>
    <row r="37" spans="1:58" s="597" customFormat="1" ht="0.2" customHeight="1">
      <c r="A37" s="1057">
        <v>1</v>
      </c>
      <c r="B37" s="1057"/>
      <c r="C37" s="1057"/>
      <c r="D37" s="1057"/>
      <c r="E37" s="1057"/>
      <c r="F37" s="1057"/>
      <c r="G37" s="1057" t="b">
        <v>0</v>
      </c>
      <c r="H37" s="1057"/>
      <c r="I37" s="1057"/>
      <c r="J37" s="1057"/>
      <c r="K37" s="1057"/>
      <c r="L37" s="1129" t="s">
        <v>1220</v>
      </c>
      <c r="M37" s="403"/>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5"/>
      <c r="AR37" s="1057"/>
      <c r="AS37" s="1057"/>
      <c r="AT37" s="1057"/>
      <c r="AU37" s="1057"/>
      <c r="AV37" s="1057"/>
      <c r="AW37" s="1057"/>
      <c r="AX37" s="1057"/>
      <c r="AY37" s="1057"/>
      <c r="AZ37" s="1057"/>
      <c r="BA37" s="1057"/>
      <c r="BB37" s="1057"/>
      <c r="BC37" s="1057"/>
      <c r="BD37" s="1057"/>
      <c r="BE37" s="1057"/>
      <c r="BF37" s="1057"/>
    </row>
    <row r="38" spans="1:58" s="597" customFormat="1" ht="0.2" customHeight="1">
      <c r="A38" s="1057">
        <v>1</v>
      </c>
      <c r="B38" s="1057"/>
      <c r="C38" s="1057"/>
      <c r="D38" s="1057"/>
      <c r="E38" s="1057"/>
      <c r="F38" s="1057"/>
      <c r="G38" s="1057" t="b">
        <v>0</v>
      </c>
      <c r="H38" s="1057"/>
      <c r="I38" s="1057"/>
      <c r="J38" s="1057"/>
      <c r="K38" s="1057"/>
      <c r="L38" s="1139" t="s">
        <v>694</v>
      </c>
      <c r="M38" s="1134" t="s">
        <v>679</v>
      </c>
      <c r="N38" s="1140">
        <v>0</v>
      </c>
      <c r="O38" s="1140">
        <v>0</v>
      </c>
      <c r="P38" s="1136">
        <v>0</v>
      </c>
      <c r="Q38" s="1140">
        <v>0</v>
      </c>
      <c r="R38" s="1140">
        <v>0</v>
      </c>
      <c r="S38" s="1136">
        <v>0</v>
      </c>
      <c r="T38" s="1140">
        <v>0</v>
      </c>
      <c r="U38" s="1140">
        <v>0</v>
      </c>
      <c r="V38" s="1136">
        <v>0</v>
      </c>
      <c r="W38" s="1140">
        <v>0</v>
      </c>
      <c r="X38" s="1140">
        <v>0</v>
      </c>
      <c r="Y38" s="1136">
        <v>0</v>
      </c>
      <c r="Z38" s="1140">
        <v>0</v>
      </c>
      <c r="AA38" s="1140">
        <v>0</v>
      </c>
      <c r="AB38" s="1136">
        <v>0</v>
      </c>
      <c r="AC38" s="1140">
        <v>0</v>
      </c>
      <c r="AD38" s="1140">
        <v>0</v>
      </c>
      <c r="AE38" s="1136">
        <v>0</v>
      </c>
      <c r="AF38" s="1140">
        <v>0</v>
      </c>
      <c r="AG38" s="1140">
        <v>0</v>
      </c>
      <c r="AH38" s="1136">
        <v>0</v>
      </c>
      <c r="AI38" s="1140">
        <v>0</v>
      </c>
      <c r="AJ38" s="1140">
        <v>0</v>
      </c>
      <c r="AK38" s="1136">
        <v>0</v>
      </c>
      <c r="AL38" s="1140">
        <v>0</v>
      </c>
      <c r="AM38" s="1140">
        <v>0</v>
      </c>
      <c r="AN38" s="1136">
        <v>0</v>
      </c>
      <c r="AO38" s="1140">
        <v>0</v>
      </c>
      <c r="AP38" s="1140">
        <v>0</v>
      </c>
      <c r="AQ38" s="1136">
        <v>0</v>
      </c>
      <c r="AR38" s="1057"/>
      <c r="AS38" s="1057"/>
      <c r="AT38" s="1057"/>
      <c r="AU38" s="1057"/>
      <c r="AV38" s="1057"/>
      <c r="AW38" s="1057"/>
      <c r="AX38" s="1057"/>
      <c r="AY38" s="1057"/>
      <c r="AZ38" s="1057"/>
      <c r="BA38" s="1057"/>
      <c r="BB38" s="1057"/>
      <c r="BC38" s="1057"/>
      <c r="BD38" s="1057"/>
      <c r="BE38" s="1057"/>
      <c r="BF38" s="1057"/>
    </row>
    <row r="39" spans="1:58" s="597" customFormat="1" ht="0.2" customHeight="1">
      <c r="A39" s="1057">
        <v>1</v>
      </c>
      <c r="B39" s="1057"/>
      <c r="C39" s="1057"/>
      <c r="D39" s="1057"/>
      <c r="E39" s="1057"/>
      <c r="F39" s="1057"/>
      <c r="G39" s="1057" t="b">
        <v>0</v>
      </c>
      <c r="H39" s="1057"/>
      <c r="I39" s="1057"/>
      <c r="J39" s="1057"/>
      <c r="K39" s="1057"/>
      <c r="L39" s="1139" t="s">
        <v>695</v>
      </c>
      <c r="M39" s="1134" t="s">
        <v>679</v>
      </c>
      <c r="N39" s="1140"/>
      <c r="O39" s="1140"/>
      <c r="P39" s="1136">
        <v>0</v>
      </c>
      <c r="Q39" s="1140"/>
      <c r="R39" s="1140"/>
      <c r="S39" s="1136">
        <v>0</v>
      </c>
      <c r="T39" s="1140"/>
      <c r="U39" s="1140"/>
      <c r="V39" s="1136">
        <v>0</v>
      </c>
      <c r="W39" s="1140"/>
      <c r="X39" s="1140"/>
      <c r="Y39" s="1136">
        <v>0</v>
      </c>
      <c r="Z39" s="1140"/>
      <c r="AA39" s="1140"/>
      <c r="AB39" s="1136">
        <v>0</v>
      </c>
      <c r="AC39" s="1140"/>
      <c r="AD39" s="1140"/>
      <c r="AE39" s="1136">
        <v>0</v>
      </c>
      <c r="AF39" s="1140"/>
      <c r="AG39" s="1140"/>
      <c r="AH39" s="1136">
        <v>0</v>
      </c>
      <c r="AI39" s="1140"/>
      <c r="AJ39" s="1140"/>
      <c r="AK39" s="1136">
        <v>0</v>
      </c>
      <c r="AL39" s="1140"/>
      <c r="AM39" s="1140"/>
      <c r="AN39" s="1136">
        <v>0</v>
      </c>
      <c r="AO39" s="1140"/>
      <c r="AP39" s="1140"/>
      <c r="AQ39" s="1136">
        <v>0</v>
      </c>
      <c r="AR39" s="1057"/>
      <c r="AS39" s="1057"/>
      <c r="AT39" s="1057"/>
      <c r="AU39" s="1057"/>
      <c r="AV39" s="1057"/>
      <c r="AW39" s="1057"/>
      <c r="AX39" s="1057"/>
      <c r="AY39" s="1057"/>
      <c r="AZ39" s="1057"/>
      <c r="BA39" s="1057"/>
      <c r="BB39" s="1057"/>
      <c r="BC39" s="1057"/>
      <c r="BD39" s="1057"/>
      <c r="BE39" s="1057"/>
      <c r="BF39" s="1057"/>
    </row>
    <row r="40" spans="1:58" s="597" customFormat="1" ht="0.2" customHeight="1">
      <c r="A40" s="1057">
        <v>1</v>
      </c>
      <c r="B40" s="1033" t="s">
        <v>1214</v>
      </c>
      <c r="C40" s="1057"/>
      <c r="D40" s="1057"/>
      <c r="E40" s="1057"/>
      <c r="F40" s="1057"/>
      <c r="G40" s="1057" t="b">
        <v>0</v>
      </c>
      <c r="H40" s="1057"/>
      <c r="I40" s="1057"/>
      <c r="J40" s="1057"/>
      <c r="K40" s="1057"/>
      <c r="L40" s="1139" t="s">
        <v>696</v>
      </c>
      <c r="M40" s="1134" t="s">
        <v>329</v>
      </c>
      <c r="N40" s="1137">
        <v>974.3599999999999</v>
      </c>
      <c r="O40" s="1137">
        <v>1033.04</v>
      </c>
      <c r="P40" s="1138">
        <v>6.0224147132476773</v>
      </c>
      <c r="Q40" s="1137">
        <v>0</v>
      </c>
      <c r="R40" s="1137">
        <v>0</v>
      </c>
      <c r="S40" s="1138">
        <v>0</v>
      </c>
      <c r="T40" s="1137">
        <v>0</v>
      </c>
      <c r="U40" s="1137">
        <v>0</v>
      </c>
      <c r="V40" s="1138">
        <v>0</v>
      </c>
      <c r="W40" s="1137">
        <v>0</v>
      </c>
      <c r="X40" s="1137">
        <v>0</v>
      </c>
      <c r="Y40" s="1138">
        <v>0</v>
      </c>
      <c r="Z40" s="1137">
        <v>0</v>
      </c>
      <c r="AA40" s="1137">
        <v>0</v>
      </c>
      <c r="AB40" s="1138">
        <v>0</v>
      </c>
      <c r="AC40" s="1137">
        <v>0</v>
      </c>
      <c r="AD40" s="1137">
        <v>0</v>
      </c>
      <c r="AE40" s="1138">
        <v>0</v>
      </c>
      <c r="AF40" s="1137">
        <v>0</v>
      </c>
      <c r="AG40" s="1137">
        <v>0</v>
      </c>
      <c r="AH40" s="1138">
        <v>0</v>
      </c>
      <c r="AI40" s="1137">
        <v>0</v>
      </c>
      <c r="AJ40" s="1137">
        <v>0</v>
      </c>
      <c r="AK40" s="1138">
        <v>0</v>
      </c>
      <c r="AL40" s="1137">
        <v>0</v>
      </c>
      <c r="AM40" s="1137">
        <v>0</v>
      </c>
      <c r="AN40" s="1138">
        <v>0</v>
      </c>
      <c r="AO40" s="1137">
        <v>0</v>
      </c>
      <c r="AP40" s="1137">
        <v>0</v>
      </c>
      <c r="AQ40" s="1138">
        <v>0</v>
      </c>
      <c r="AR40" s="1057"/>
      <c r="AS40" s="1057"/>
      <c r="AT40" s="1057"/>
      <c r="AU40" s="1057"/>
      <c r="AV40" s="1057"/>
      <c r="AW40" s="1057"/>
      <c r="AX40" s="1057"/>
      <c r="AY40" s="1057"/>
      <c r="AZ40" s="1057"/>
      <c r="BA40" s="1057"/>
      <c r="BB40" s="1057"/>
      <c r="BC40" s="1057"/>
      <c r="BD40" s="1057"/>
      <c r="BE40" s="1057"/>
      <c r="BF40" s="1057"/>
    </row>
    <row r="41" spans="1:58" s="597" customFormat="1" ht="0.2" customHeight="1">
      <c r="A41" s="1057">
        <v>1</v>
      </c>
      <c r="B41" s="1057"/>
      <c r="C41" s="1057"/>
      <c r="D41" s="1057"/>
      <c r="E41" s="1057"/>
      <c r="F41" s="1057"/>
      <c r="G41" s="1057" t="b">
        <v>0</v>
      </c>
      <c r="H41" s="1057"/>
      <c r="I41" s="1057"/>
      <c r="J41" s="1057"/>
      <c r="K41" s="1057"/>
      <c r="L41" s="1139" t="s">
        <v>697</v>
      </c>
      <c r="M41" s="1134" t="s">
        <v>698</v>
      </c>
      <c r="N41" s="1140"/>
      <c r="O41" s="1140"/>
      <c r="P41" s="1136">
        <v>0</v>
      </c>
      <c r="Q41" s="1140"/>
      <c r="R41" s="1140"/>
      <c r="S41" s="1136">
        <v>0</v>
      </c>
      <c r="T41" s="1140"/>
      <c r="U41" s="1140"/>
      <c r="V41" s="1136">
        <v>0</v>
      </c>
      <c r="W41" s="1140"/>
      <c r="X41" s="1140"/>
      <c r="Y41" s="1136">
        <v>0</v>
      </c>
      <c r="Z41" s="1140"/>
      <c r="AA41" s="1140"/>
      <c r="AB41" s="1136">
        <v>0</v>
      </c>
      <c r="AC41" s="1140"/>
      <c r="AD41" s="1140"/>
      <c r="AE41" s="1136">
        <v>0</v>
      </c>
      <c r="AF41" s="1140"/>
      <c r="AG41" s="1140"/>
      <c r="AH41" s="1136">
        <v>0</v>
      </c>
      <c r="AI41" s="1140"/>
      <c r="AJ41" s="1140"/>
      <c r="AK41" s="1136">
        <v>0</v>
      </c>
      <c r="AL41" s="1140"/>
      <c r="AM41" s="1140"/>
      <c r="AN41" s="1136">
        <v>0</v>
      </c>
      <c r="AO41" s="1140"/>
      <c r="AP41" s="1140"/>
      <c r="AQ41" s="1136">
        <v>0</v>
      </c>
      <c r="AR41" s="1057"/>
      <c r="AS41" s="1057"/>
      <c r="AT41" s="1057"/>
      <c r="AU41" s="1057"/>
      <c r="AV41" s="1057"/>
      <c r="AW41" s="1057"/>
      <c r="AX41" s="1057"/>
      <c r="AY41" s="1057"/>
      <c r="AZ41" s="1057"/>
      <c r="BA41" s="1057"/>
      <c r="BB41" s="1057"/>
      <c r="BC41" s="1057"/>
      <c r="BD41" s="1057"/>
      <c r="BE41" s="1057"/>
      <c r="BF41" s="1057"/>
    </row>
    <row r="42" spans="1:58" s="597" customFormat="1" ht="0.2" customHeight="1">
      <c r="A42" s="1057">
        <v>1</v>
      </c>
      <c r="B42" s="1057"/>
      <c r="C42" s="1057"/>
      <c r="D42" s="1057"/>
      <c r="E42" s="1057"/>
      <c r="F42" s="1057"/>
      <c r="G42" s="1057" t="b">
        <v>0</v>
      </c>
      <c r="H42" s="1057"/>
      <c r="I42" s="1057"/>
      <c r="J42" s="1057"/>
      <c r="K42" s="1057"/>
      <c r="L42" s="1139" t="s">
        <v>699</v>
      </c>
      <c r="M42" s="1134" t="s">
        <v>700</v>
      </c>
      <c r="N42" s="1140"/>
      <c r="O42" s="1140"/>
      <c r="P42" s="1136">
        <v>0</v>
      </c>
      <c r="Q42" s="1140"/>
      <c r="R42" s="1140"/>
      <c r="S42" s="1136">
        <v>0</v>
      </c>
      <c r="T42" s="1140"/>
      <c r="U42" s="1140"/>
      <c r="V42" s="1136">
        <v>0</v>
      </c>
      <c r="W42" s="1140"/>
      <c r="X42" s="1140"/>
      <c r="Y42" s="1136">
        <v>0</v>
      </c>
      <c r="Z42" s="1140"/>
      <c r="AA42" s="1140"/>
      <c r="AB42" s="1136">
        <v>0</v>
      </c>
      <c r="AC42" s="1140"/>
      <c r="AD42" s="1140"/>
      <c r="AE42" s="1136">
        <v>0</v>
      </c>
      <c r="AF42" s="1140"/>
      <c r="AG42" s="1140"/>
      <c r="AH42" s="1136">
        <v>0</v>
      </c>
      <c r="AI42" s="1140"/>
      <c r="AJ42" s="1140"/>
      <c r="AK42" s="1136">
        <v>0</v>
      </c>
      <c r="AL42" s="1140"/>
      <c r="AM42" s="1140"/>
      <c r="AN42" s="1136">
        <v>0</v>
      </c>
      <c r="AO42" s="1140"/>
      <c r="AP42" s="1140"/>
      <c r="AQ42" s="1136">
        <v>0</v>
      </c>
      <c r="AR42" s="1057"/>
      <c r="AS42" s="1057"/>
      <c r="AT42" s="1057"/>
      <c r="AU42" s="1057"/>
      <c r="AV42" s="1057"/>
      <c r="AW42" s="1057"/>
      <c r="AX42" s="1057"/>
      <c r="AY42" s="1057"/>
      <c r="AZ42" s="1057"/>
      <c r="BA42" s="1057"/>
      <c r="BB42" s="1057"/>
      <c r="BC42" s="1057"/>
      <c r="BD42" s="1057"/>
      <c r="BE42" s="1057"/>
      <c r="BF42" s="1057"/>
    </row>
    <row r="43" spans="1:58" s="597" customFormat="1" ht="0.2" customHeight="1">
      <c r="A43" s="1057">
        <v>1</v>
      </c>
      <c r="B43" s="1057"/>
      <c r="C43" s="1057"/>
      <c r="D43" s="1057"/>
      <c r="E43" s="1057"/>
      <c r="F43" s="1057"/>
      <c r="G43" s="1057" t="b">
        <v>0</v>
      </c>
      <c r="H43" s="1057"/>
      <c r="I43" s="1057"/>
      <c r="J43" s="1057"/>
      <c r="K43" s="1057"/>
      <c r="L43" s="1129" t="s">
        <v>1221</v>
      </c>
      <c r="M43" s="403"/>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5"/>
      <c r="AR43" s="1057"/>
      <c r="AS43" s="1057"/>
      <c r="AT43" s="1057"/>
      <c r="AU43" s="1057"/>
      <c r="AV43" s="1057"/>
      <c r="AW43" s="1057"/>
      <c r="AX43" s="1057"/>
      <c r="AY43" s="1057"/>
      <c r="AZ43" s="1057"/>
      <c r="BA43" s="1057"/>
      <c r="BB43" s="1057"/>
      <c r="BC43" s="1057"/>
      <c r="BD43" s="1057"/>
      <c r="BE43" s="1057"/>
      <c r="BF43" s="1057"/>
    </row>
    <row r="44" spans="1:58" s="597" customFormat="1" ht="0.2" customHeight="1">
      <c r="A44" s="1057">
        <v>1</v>
      </c>
      <c r="B44" s="1057"/>
      <c r="C44" s="1057"/>
      <c r="D44" s="1057"/>
      <c r="E44" s="1057"/>
      <c r="F44" s="1057"/>
      <c r="G44" s="1057" t="b">
        <v>0</v>
      </c>
      <c r="H44" s="1057"/>
      <c r="I44" s="1057"/>
      <c r="J44" s="1057"/>
      <c r="K44" s="1057"/>
      <c r="L44" s="1139" t="s">
        <v>694</v>
      </c>
      <c r="M44" s="1134" t="s">
        <v>679</v>
      </c>
      <c r="N44" s="1140">
        <v>0</v>
      </c>
      <c r="O44" s="1140">
        <v>0</v>
      </c>
      <c r="P44" s="1136">
        <v>0</v>
      </c>
      <c r="Q44" s="1140">
        <v>0</v>
      </c>
      <c r="R44" s="1140">
        <v>0</v>
      </c>
      <c r="S44" s="1136">
        <v>0</v>
      </c>
      <c r="T44" s="1140">
        <v>0</v>
      </c>
      <c r="U44" s="1140">
        <v>0</v>
      </c>
      <c r="V44" s="1136">
        <v>0</v>
      </c>
      <c r="W44" s="1140">
        <v>0</v>
      </c>
      <c r="X44" s="1140">
        <v>0</v>
      </c>
      <c r="Y44" s="1136">
        <v>0</v>
      </c>
      <c r="Z44" s="1140">
        <v>0</v>
      </c>
      <c r="AA44" s="1140">
        <v>0</v>
      </c>
      <c r="AB44" s="1136">
        <v>0</v>
      </c>
      <c r="AC44" s="1140">
        <v>0</v>
      </c>
      <c r="AD44" s="1140">
        <v>0</v>
      </c>
      <c r="AE44" s="1136">
        <v>0</v>
      </c>
      <c r="AF44" s="1140">
        <v>0</v>
      </c>
      <c r="AG44" s="1140">
        <v>0</v>
      </c>
      <c r="AH44" s="1136">
        <v>0</v>
      </c>
      <c r="AI44" s="1140">
        <v>0</v>
      </c>
      <c r="AJ44" s="1140">
        <v>0</v>
      </c>
      <c r="AK44" s="1136">
        <v>0</v>
      </c>
      <c r="AL44" s="1140">
        <v>0</v>
      </c>
      <c r="AM44" s="1140">
        <v>0</v>
      </c>
      <c r="AN44" s="1136">
        <v>0</v>
      </c>
      <c r="AO44" s="1140">
        <v>0</v>
      </c>
      <c r="AP44" s="1140">
        <v>0</v>
      </c>
      <c r="AQ44" s="1136">
        <v>0</v>
      </c>
      <c r="AR44" s="1057"/>
      <c r="AS44" s="1057"/>
      <c r="AT44" s="1057"/>
      <c r="AU44" s="1057"/>
      <c r="AV44" s="1057"/>
      <c r="AW44" s="1057"/>
      <c r="AX44" s="1057"/>
      <c r="AY44" s="1057"/>
      <c r="AZ44" s="1057"/>
      <c r="BA44" s="1057"/>
      <c r="BB44" s="1057"/>
      <c r="BC44" s="1057"/>
      <c r="BD44" s="1057"/>
      <c r="BE44" s="1057"/>
      <c r="BF44" s="1057"/>
    </row>
    <row r="45" spans="1:58" s="597" customFormat="1" ht="0.2" customHeight="1">
      <c r="A45" s="1057">
        <v>1</v>
      </c>
      <c r="B45" s="1057"/>
      <c r="C45" s="1057"/>
      <c r="D45" s="1057"/>
      <c r="E45" s="1057"/>
      <c r="F45" s="1057"/>
      <c r="G45" s="1057" t="b">
        <v>0</v>
      </c>
      <c r="H45" s="1057"/>
      <c r="I45" s="1057"/>
      <c r="J45" s="1057"/>
      <c r="K45" s="1057"/>
      <c r="L45" s="1139" t="s">
        <v>695</v>
      </c>
      <c r="M45" s="1134" t="s">
        <v>679</v>
      </c>
      <c r="N45" s="1140"/>
      <c r="O45" s="1140"/>
      <c r="P45" s="1136">
        <v>0</v>
      </c>
      <c r="Q45" s="1140"/>
      <c r="R45" s="1140"/>
      <c r="S45" s="1136">
        <v>0</v>
      </c>
      <c r="T45" s="1140"/>
      <c r="U45" s="1140"/>
      <c r="V45" s="1136">
        <v>0</v>
      </c>
      <c r="W45" s="1140"/>
      <c r="X45" s="1140"/>
      <c r="Y45" s="1136">
        <v>0</v>
      </c>
      <c r="Z45" s="1140"/>
      <c r="AA45" s="1140"/>
      <c r="AB45" s="1136">
        <v>0</v>
      </c>
      <c r="AC45" s="1140"/>
      <c r="AD45" s="1140"/>
      <c r="AE45" s="1136">
        <v>0</v>
      </c>
      <c r="AF45" s="1140"/>
      <c r="AG45" s="1140"/>
      <c r="AH45" s="1136">
        <v>0</v>
      </c>
      <c r="AI45" s="1140"/>
      <c r="AJ45" s="1140"/>
      <c r="AK45" s="1136">
        <v>0</v>
      </c>
      <c r="AL45" s="1140"/>
      <c r="AM45" s="1140"/>
      <c r="AN45" s="1136">
        <v>0</v>
      </c>
      <c r="AO45" s="1140"/>
      <c r="AP45" s="1140"/>
      <c r="AQ45" s="1136">
        <v>0</v>
      </c>
      <c r="AR45" s="1057"/>
      <c r="AS45" s="1057"/>
      <c r="AT45" s="1057"/>
      <c r="AU45" s="1057"/>
      <c r="AV45" s="1057"/>
      <c r="AW45" s="1057"/>
      <c r="AX45" s="1057"/>
      <c r="AY45" s="1057"/>
      <c r="AZ45" s="1057"/>
      <c r="BA45" s="1057"/>
      <c r="BB45" s="1057"/>
      <c r="BC45" s="1057"/>
      <c r="BD45" s="1057"/>
      <c r="BE45" s="1057"/>
      <c r="BF45" s="1057"/>
    </row>
    <row r="46" spans="1:58" s="597" customFormat="1" ht="0.2" customHeight="1">
      <c r="A46" s="1057">
        <v>1</v>
      </c>
      <c r="B46" s="1033" t="s">
        <v>1215</v>
      </c>
      <c r="C46" s="1057"/>
      <c r="D46" s="1057"/>
      <c r="E46" s="1057"/>
      <c r="F46" s="1057"/>
      <c r="G46" s="1057" t="b">
        <v>0</v>
      </c>
      <c r="H46" s="1057"/>
      <c r="I46" s="1057"/>
      <c r="J46" s="1057"/>
      <c r="K46" s="1057"/>
      <c r="L46" s="1139" t="s">
        <v>696</v>
      </c>
      <c r="M46" s="1134" t="s">
        <v>329</v>
      </c>
      <c r="N46" s="1137">
        <v>0</v>
      </c>
      <c r="O46" s="1137">
        <v>0</v>
      </c>
      <c r="P46" s="1138">
        <v>0</v>
      </c>
      <c r="Q46" s="1137">
        <v>0</v>
      </c>
      <c r="R46" s="1137">
        <v>0</v>
      </c>
      <c r="S46" s="1138">
        <v>0</v>
      </c>
      <c r="T46" s="1137">
        <v>0</v>
      </c>
      <c r="U46" s="1137">
        <v>0</v>
      </c>
      <c r="V46" s="1138">
        <v>0</v>
      </c>
      <c r="W46" s="1137">
        <v>0</v>
      </c>
      <c r="X46" s="1137">
        <v>0</v>
      </c>
      <c r="Y46" s="1138">
        <v>0</v>
      </c>
      <c r="Z46" s="1137">
        <v>0</v>
      </c>
      <c r="AA46" s="1137">
        <v>0</v>
      </c>
      <c r="AB46" s="1138">
        <v>0</v>
      </c>
      <c r="AC46" s="1137">
        <v>0</v>
      </c>
      <c r="AD46" s="1137">
        <v>0</v>
      </c>
      <c r="AE46" s="1138">
        <v>0</v>
      </c>
      <c r="AF46" s="1137">
        <v>0</v>
      </c>
      <c r="AG46" s="1137">
        <v>0</v>
      </c>
      <c r="AH46" s="1138">
        <v>0</v>
      </c>
      <c r="AI46" s="1137">
        <v>0</v>
      </c>
      <c r="AJ46" s="1137">
        <v>0</v>
      </c>
      <c r="AK46" s="1138">
        <v>0</v>
      </c>
      <c r="AL46" s="1137">
        <v>0</v>
      </c>
      <c r="AM46" s="1137">
        <v>0</v>
      </c>
      <c r="AN46" s="1138">
        <v>0</v>
      </c>
      <c r="AO46" s="1137">
        <v>0</v>
      </c>
      <c r="AP46" s="1137">
        <v>0</v>
      </c>
      <c r="AQ46" s="1138">
        <v>0</v>
      </c>
      <c r="AR46" s="1057"/>
      <c r="AS46" s="1057"/>
      <c r="AT46" s="1057"/>
      <c r="AU46" s="1057"/>
      <c r="AV46" s="1057"/>
      <c r="AW46" s="1057"/>
      <c r="AX46" s="1057"/>
      <c r="AY46" s="1057"/>
      <c r="AZ46" s="1057"/>
      <c r="BA46" s="1057"/>
      <c r="BB46" s="1057"/>
      <c r="BC46" s="1057"/>
      <c r="BD46" s="1057"/>
      <c r="BE46" s="1057"/>
      <c r="BF46" s="1057"/>
    </row>
    <row r="47" spans="1:58" s="597" customFormat="1" ht="0.2" customHeight="1">
      <c r="A47" s="1057">
        <v>1</v>
      </c>
      <c r="B47" s="1057"/>
      <c r="C47" s="1057"/>
      <c r="D47" s="1057"/>
      <c r="E47" s="1057"/>
      <c r="F47" s="1057"/>
      <c r="G47" s="1057" t="b">
        <v>0</v>
      </c>
      <c r="H47" s="1057"/>
      <c r="I47" s="1057"/>
      <c r="J47" s="1057"/>
      <c r="K47" s="1057"/>
      <c r="L47" s="1139" t="s">
        <v>697</v>
      </c>
      <c r="M47" s="1134" t="s">
        <v>698</v>
      </c>
      <c r="N47" s="1140"/>
      <c r="O47" s="1140"/>
      <c r="P47" s="1136">
        <v>0</v>
      </c>
      <c r="Q47" s="1140"/>
      <c r="R47" s="1140"/>
      <c r="S47" s="1136">
        <v>0</v>
      </c>
      <c r="T47" s="1140"/>
      <c r="U47" s="1140"/>
      <c r="V47" s="1136">
        <v>0</v>
      </c>
      <c r="W47" s="1140"/>
      <c r="X47" s="1140"/>
      <c r="Y47" s="1136">
        <v>0</v>
      </c>
      <c r="Z47" s="1140"/>
      <c r="AA47" s="1140"/>
      <c r="AB47" s="1136">
        <v>0</v>
      </c>
      <c r="AC47" s="1140"/>
      <c r="AD47" s="1140"/>
      <c r="AE47" s="1136">
        <v>0</v>
      </c>
      <c r="AF47" s="1140"/>
      <c r="AG47" s="1140"/>
      <c r="AH47" s="1136">
        <v>0</v>
      </c>
      <c r="AI47" s="1140"/>
      <c r="AJ47" s="1140"/>
      <c r="AK47" s="1136">
        <v>0</v>
      </c>
      <c r="AL47" s="1140"/>
      <c r="AM47" s="1140"/>
      <c r="AN47" s="1136">
        <v>0</v>
      </c>
      <c r="AO47" s="1140"/>
      <c r="AP47" s="1140"/>
      <c r="AQ47" s="1136">
        <v>0</v>
      </c>
      <c r="AR47" s="1057"/>
      <c r="AS47" s="1057"/>
      <c r="AT47" s="1057"/>
      <c r="AU47" s="1057"/>
      <c r="AV47" s="1057"/>
      <c r="AW47" s="1057"/>
      <c r="AX47" s="1057"/>
      <c r="AY47" s="1057"/>
      <c r="AZ47" s="1057"/>
      <c r="BA47" s="1057"/>
      <c r="BB47" s="1057"/>
      <c r="BC47" s="1057"/>
      <c r="BD47" s="1057"/>
      <c r="BE47" s="1057"/>
      <c r="BF47" s="1057"/>
    </row>
    <row r="48" spans="1:58" s="597" customFormat="1" ht="0.2" customHeight="1">
      <c r="A48" s="1057">
        <v>1</v>
      </c>
      <c r="B48" s="1057"/>
      <c r="C48" s="1057"/>
      <c r="D48" s="1057"/>
      <c r="E48" s="1057"/>
      <c r="F48" s="1057"/>
      <c r="G48" s="1057" t="b">
        <v>0</v>
      </c>
      <c r="H48" s="1057"/>
      <c r="I48" s="1057"/>
      <c r="J48" s="1057"/>
      <c r="K48" s="1057"/>
      <c r="L48" s="1139" t="s">
        <v>699</v>
      </c>
      <c r="M48" s="1134" t="s">
        <v>700</v>
      </c>
      <c r="N48" s="1140"/>
      <c r="O48" s="1140"/>
      <c r="P48" s="1136">
        <v>0</v>
      </c>
      <c r="Q48" s="1140"/>
      <c r="R48" s="1140"/>
      <c r="S48" s="1136">
        <v>0</v>
      </c>
      <c r="T48" s="1140"/>
      <c r="U48" s="1140"/>
      <c r="V48" s="1136">
        <v>0</v>
      </c>
      <c r="W48" s="1140"/>
      <c r="X48" s="1140"/>
      <c r="Y48" s="1136">
        <v>0</v>
      </c>
      <c r="Z48" s="1140"/>
      <c r="AA48" s="1140"/>
      <c r="AB48" s="1136">
        <v>0</v>
      </c>
      <c r="AC48" s="1140"/>
      <c r="AD48" s="1140"/>
      <c r="AE48" s="1136">
        <v>0</v>
      </c>
      <c r="AF48" s="1140"/>
      <c r="AG48" s="1140"/>
      <c r="AH48" s="1136">
        <v>0</v>
      </c>
      <c r="AI48" s="1140"/>
      <c r="AJ48" s="1140"/>
      <c r="AK48" s="1136">
        <v>0</v>
      </c>
      <c r="AL48" s="1140"/>
      <c r="AM48" s="1140"/>
      <c r="AN48" s="1136">
        <v>0</v>
      </c>
      <c r="AO48" s="1140"/>
      <c r="AP48" s="1140"/>
      <c r="AQ48" s="1136">
        <v>0</v>
      </c>
      <c r="AR48" s="1057"/>
      <c r="AS48" s="1057"/>
      <c r="AT48" s="1057"/>
      <c r="AU48" s="1057"/>
      <c r="AV48" s="1057"/>
      <c r="AW48" s="1057"/>
      <c r="AX48" s="1057"/>
      <c r="AY48" s="1057"/>
      <c r="AZ48" s="1057"/>
      <c r="BA48" s="1057"/>
      <c r="BB48" s="1057"/>
      <c r="BC48" s="1057"/>
      <c r="BD48" s="1057"/>
      <c r="BE48" s="1057"/>
      <c r="BF48" s="1057"/>
    </row>
    <row r="49" spans="1:58" s="597" customFormat="1" ht="0.2" customHeight="1">
      <c r="A49" s="1057">
        <v>1</v>
      </c>
      <c r="B49" s="1057"/>
      <c r="C49" s="1057"/>
      <c r="D49" s="1057"/>
      <c r="E49" s="1057"/>
      <c r="F49" s="1057"/>
      <c r="G49" s="1057" t="b">
        <v>0</v>
      </c>
      <c r="H49" s="1057"/>
      <c r="I49" s="1057"/>
      <c r="J49" s="1057"/>
      <c r="K49" s="1057"/>
      <c r="L49" s="1129" t="s">
        <v>1221</v>
      </c>
      <c r="M49" s="403"/>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5"/>
      <c r="AR49" s="1057"/>
      <c r="AS49" s="1057"/>
      <c r="AT49" s="1057"/>
      <c r="AU49" s="1057"/>
      <c r="AV49" s="1057"/>
      <c r="AW49" s="1057"/>
      <c r="AX49" s="1057"/>
      <c r="AY49" s="1057"/>
      <c r="AZ49" s="1057"/>
      <c r="BA49" s="1057"/>
      <c r="BB49" s="1057"/>
      <c r="BC49" s="1057"/>
      <c r="BD49" s="1057"/>
      <c r="BE49" s="1057"/>
      <c r="BF49" s="1057"/>
    </row>
    <row r="50" spans="1:58" s="597" customFormat="1" ht="0.2" customHeight="1">
      <c r="A50" s="1057">
        <v>1</v>
      </c>
      <c r="B50" s="1057"/>
      <c r="C50" s="1057"/>
      <c r="D50" s="1057"/>
      <c r="E50" s="1057"/>
      <c r="F50" s="1057"/>
      <c r="G50" s="1057" t="b">
        <v>0</v>
      </c>
      <c r="H50" s="1057"/>
      <c r="I50" s="1057"/>
      <c r="J50" s="1057"/>
      <c r="K50" s="1057"/>
      <c r="L50" s="1139" t="s">
        <v>694</v>
      </c>
      <c r="M50" s="1134" t="s">
        <v>679</v>
      </c>
      <c r="N50" s="1140">
        <v>0</v>
      </c>
      <c r="O50" s="1140">
        <v>0</v>
      </c>
      <c r="P50" s="1136">
        <v>0</v>
      </c>
      <c r="Q50" s="1140">
        <v>0</v>
      </c>
      <c r="R50" s="1140">
        <v>0</v>
      </c>
      <c r="S50" s="1136">
        <v>0</v>
      </c>
      <c r="T50" s="1140">
        <v>0</v>
      </c>
      <c r="U50" s="1140">
        <v>0</v>
      </c>
      <c r="V50" s="1136">
        <v>0</v>
      </c>
      <c r="W50" s="1140">
        <v>0</v>
      </c>
      <c r="X50" s="1140">
        <v>0</v>
      </c>
      <c r="Y50" s="1136">
        <v>0</v>
      </c>
      <c r="Z50" s="1140">
        <v>0</v>
      </c>
      <c r="AA50" s="1140">
        <v>0</v>
      </c>
      <c r="AB50" s="1136">
        <v>0</v>
      </c>
      <c r="AC50" s="1140">
        <v>0</v>
      </c>
      <c r="AD50" s="1140">
        <v>0</v>
      </c>
      <c r="AE50" s="1136">
        <v>0</v>
      </c>
      <c r="AF50" s="1140">
        <v>0</v>
      </c>
      <c r="AG50" s="1140">
        <v>0</v>
      </c>
      <c r="AH50" s="1136">
        <v>0</v>
      </c>
      <c r="AI50" s="1140">
        <v>0</v>
      </c>
      <c r="AJ50" s="1140">
        <v>0</v>
      </c>
      <c r="AK50" s="1136">
        <v>0</v>
      </c>
      <c r="AL50" s="1140">
        <v>0</v>
      </c>
      <c r="AM50" s="1140">
        <v>0</v>
      </c>
      <c r="AN50" s="1136">
        <v>0</v>
      </c>
      <c r="AO50" s="1140">
        <v>0</v>
      </c>
      <c r="AP50" s="1140">
        <v>0</v>
      </c>
      <c r="AQ50" s="1136">
        <v>0</v>
      </c>
      <c r="AR50" s="1057"/>
      <c r="AS50" s="1057"/>
      <c r="AT50" s="1057"/>
      <c r="AU50" s="1057"/>
      <c r="AV50" s="1057"/>
      <c r="AW50" s="1057"/>
      <c r="AX50" s="1057"/>
      <c r="AY50" s="1057"/>
      <c r="AZ50" s="1057"/>
      <c r="BA50" s="1057"/>
      <c r="BB50" s="1057"/>
      <c r="BC50" s="1057"/>
      <c r="BD50" s="1057"/>
      <c r="BE50" s="1057"/>
      <c r="BF50" s="1057"/>
    </row>
    <row r="51" spans="1:58" s="597" customFormat="1" ht="0.2" customHeight="1">
      <c r="A51" s="1057">
        <v>1</v>
      </c>
      <c r="B51" s="1057"/>
      <c r="C51" s="1057"/>
      <c r="D51" s="1057"/>
      <c r="E51" s="1057"/>
      <c r="F51" s="1057"/>
      <c r="G51" s="1057" t="b">
        <v>0</v>
      </c>
      <c r="H51" s="1057"/>
      <c r="I51" s="1057"/>
      <c r="J51" s="1057"/>
      <c r="K51" s="1057"/>
      <c r="L51" s="1139" t="s">
        <v>695</v>
      </c>
      <c r="M51" s="1134" t="s">
        <v>679</v>
      </c>
      <c r="N51" s="1140"/>
      <c r="O51" s="1140"/>
      <c r="P51" s="1136">
        <v>0</v>
      </c>
      <c r="Q51" s="1140"/>
      <c r="R51" s="1140"/>
      <c r="S51" s="1136">
        <v>0</v>
      </c>
      <c r="T51" s="1140"/>
      <c r="U51" s="1140"/>
      <c r="V51" s="1136">
        <v>0</v>
      </c>
      <c r="W51" s="1140"/>
      <c r="X51" s="1140"/>
      <c r="Y51" s="1136">
        <v>0</v>
      </c>
      <c r="Z51" s="1140"/>
      <c r="AA51" s="1140"/>
      <c r="AB51" s="1136">
        <v>0</v>
      </c>
      <c r="AC51" s="1140"/>
      <c r="AD51" s="1140"/>
      <c r="AE51" s="1136">
        <v>0</v>
      </c>
      <c r="AF51" s="1140"/>
      <c r="AG51" s="1140"/>
      <c r="AH51" s="1136">
        <v>0</v>
      </c>
      <c r="AI51" s="1140"/>
      <c r="AJ51" s="1140"/>
      <c r="AK51" s="1136">
        <v>0</v>
      </c>
      <c r="AL51" s="1140"/>
      <c r="AM51" s="1140"/>
      <c r="AN51" s="1136">
        <v>0</v>
      </c>
      <c r="AO51" s="1140"/>
      <c r="AP51" s="1140"/>
      <c r="AQ51" s="1136">
        <v>0</v>
      </c>
      <c r="AR51" s="1057"/>
      <c r="AS51" s="1057"/>
      <c r="AT51" s="1057"/>
      <c r="AU51" s="1057"/>
      <c r="AV51" s="1057"/>
      <c r="AW51" s="1057"/>
      <c r="AX51" s="1057"/>
      <c r="AY51" s="1057"/>
      <c r="AZ51" s="1057"/>
      <c r="BA51" s="1057"/>
      <c r="BB51" s="1057"/>
      <c r="BC51" s="1057"/>
      <c r="BD51" s="1057"/>
      <c r="BE51" s="1057"/>
      <c r="BF51" s="1057"/>
    </row>
    <row r="52" spans="1:58" s="597" customFormat="1" ht="0.2" customHeight="1">
      <c r="A52" s="1057">
        <v>1</v>
      </c>
      <c r="B52" s="1033" t="s">
        <v>1216</v>
      </c>
      <c r="C52" s="1057"/>
      <c r="D52" s="1057"/>
      <c r="E52" s="1057"/>
      <c r="F52" s="1057"/>
      <c r="G52" s="1057" t="b">
        <v>0</v>
      </c>
      <c r="H52" s="1057"/>
      <c r="I52" s="1057"/>
      <c r="J52" s="1057"/>
      <c r="K52" s="1057"/>
      <c r="L52" s="1139" t="s">
        <v>696</v>
      </c>
      <c r="M52" s="1134" t="s">
        <v>329</v>
      </c>
      <c r="N52" s="1137">
        <v>0</v>
      </c>
      <c r="O52" s="1137">
        <v>0</v>
      </c>
      <c r="P52" s="1138">
        <v>0</v>
      </c>
      <c r="Q52" s="1137">
        <v>0</v>
      </c>
      <c r="R52" s="1137">
        <v>0</v>
      </c>
      <c r="S52" s="1138">
        <v>0</v>
      </c>
      <c r="T52" s="1137">
        <v>0</v>
      </c>
      <c r="U52" s="1137">
        <v>0</v>
      </c>
      <c r="V52" s="1138">
        <v>0</v>
      </c>
      <c r="W52" s="1137">
        <v>0</v>
      </c>
      <c r="X52" s="1137">
        <v>0</v>
      </c>
      <c r="Y52" s="1138">
        <v>0</v>
      </c>
      <c r="Z52" s="1137">
        <v>0</v>
      </c>
      <c r="AA52" s="1137">
        <v>0</v>
      </c>
      <c r="AB52" s="1138">
        <v>0</v>
      </c>
      <c r="AC52" s="1137">
        <v>0</v>
      </c>
      <c r="AD52" s="1137">
        <v>0</v>
      </c>
      <c r="AE52" s="1138">
        <v>0</v>
      </c>
      <c r="AF52" s="1137">
        <v>0</v>
      </c>
      <c r="AG52" s="1137">
        <v>0</v>
      </c>
      <c r="AH52" s="1138">
        <v>0</v>
      </c>
      <c r="AI52" s="1137">
        <v>0</v>
      </c>
      <c r="AJ52" s="1137">
        <v>0</v>
      </c>
      <c r="AK52" s="1138">
        <v>0</v>
      </c>
      <c r="AL52" s="1137">
        <v>0</v>
      </c>
      <c r="AM52" s="1137">
        <v>0</v>
      </c>
      <c r="AN52" s="1138">
        <v>0</v>
      </c>
      <c r="AO52" s="1137">
        <v>0</v>
      </c>
      <c r="AP52" s="1137">
        <v>0</v>
      </c>
      <c r="AQ52" s="1138">
        <v>0</v>
      </c>
      <c r="AR52" s="1057"/>
      <c r="AS52" s="1057"/>
      <c r="AT52" s="1057"/>
      <c r="AU52" s="1057"/>
      <c r="AV52" s="1057"/>
      <c r="AW52" s="1057"/>
      <c r="AX52" s="1057"/>
      <c r="AY52" s="1057"/>
      <c r="AZ52" s="1057"/>
      <c r="BA52" s="1057"/>
      <c r="BB52" s="1057"/>
      <c r="BC52" s="1057"/>
      <c r="BD52" s="1057"/>
      <c r="BE52" s="1057"/>
      <c r="BF52" s="1057"/>
    </row>
    <row r="53" spans="1:58" s="597" customFormat="1" ht="0.2" customHeight="1">
      <c r="A53" s="1057">
        <v>1</v>
      </c>
      <c r="B53" s="1057"/>
      <c r="C53" s="1057"/>
      <c r="D53" s="1057"/>
      <c r="E53" s="1057"/>
      <c r="F53" s="1057"/>
      <c r="G53" s="1057" t="b">
        <v>0</v>
      </c>
      <c r="H53" s="1057"/>
      <c r="I53" s="1057"/>
      <c r="J53" s="1057"/>
      <c r="K53" s="1057"/>
      <c r="L53" s="1139" t="s">
        <v>697</v>
      </c>
      <c r="M53" s="1134" t="s">
        <v>698</v>
      </c>
      <c r="N53" s="1140"/>
      <c r="O53" s="1140"/>
      <c r="P53" s="1136">
        <v>0</v>
      </c>
      <c r="Q53" s="1140"/>
      <c r="R53" s="1140"/>
      <c r="S53" s="1136">
        <v>0</v>
      </c>
      <c r="T53" s="1140"/>
      <c r="U53" s="1140"/>
      <c r="V53" s="1136">
        <v>0</v>
      </c>
      <c r="W53" s="1140"/>
      <c r="X53" s="1140"/>
      <c r="Y53" s="1136">
        <v>0</v>
      </c>
      <c r="Z53" s="1140"/>
      <c r="AA53" s="1140"/>
      <c r="AB53" s="1136">
        <v>0</v>
      </c>
      <c r="AC53" s="1140"/>
      <c r="AD53" s="1140"/>
      <c r="AE53" s="1136">
        <v>0</v>
      </c>
      <c r="AF53" s="1140"/>
      <c r="AG53" s="1140"/>
      <c r="AH53" s="1136">
        <v>0</v>
      </c>
      <c r="AI53" s="1140"/>
      <c r="AJ53" s="1140"/>
      <c r="AK53" s="1136">
        <v>0</v>
      </c>
      <c r="AL53" s="1140"/>
      <c r="AM53" s="1140"/>
      <c r="AN53" s="1136">
        <v>0</v>
      </c>
      <c r="AO53" s="1140"/>
      <c r="AP53" s="1140"/>
      <c r="AQ53" s="1136">
        <v>0</v>
      </c>
      <c r="AR53" s="1057"/>
      <c r="AS53" s="1057"/>
      <c r="AT53" s="1057"/>
      <c r="AU53" s="1057"/>
      <c r="AV53" s="1057"/>
      <c r="AW53" s="1057"/>
      <c r="AX53" s="1057"/>
      <c r="AY53" s="1057"/>
      <c r="AZ53" s="1057"/>
      <c r="BA53" s="1057"/>
      <c r="BB53" s="1057"/>
      <c r="BC53" s="1057"/>
      <c r="BD53" s="1057"/>
      <c r="BE53" s="1057"/>
      <c r="BF53" s="1057"/>
    </row>
    <row r="54" spans="1:58" s="597" customFormat="1" ht="0.2" customHeight="1">
      <c r="A54" s="1057">
        <v>1</v>
      </c>
      <c r="B54" s="1057"/>
      <c r="C54" s="1057"/>
      <c r="D54" s="1057"/>
      <c r="E54" s="1057"/>
      <c r="F54" s="1057"/>
      <c r="G54" s="1057" t="b">
        <v>0</v>
      </c>
      <c r="H54" s="1057"/>
      <c r="I54" s="1057"/>
      <c r="J54" s="1057"/>
      <c r="K54" s="1057"/>
      <c r="L54" s="1139" t="s">
        <v>699</v>
      </c>
      <c r="M54" s="1134" t="s">
        <v>700</v>
      </c>
      <c r="N54" s="1140"/>
      <c r="O54" s="1140"/>
      <c r="P54" s="1136">
        <v>0</v>
      </c>
      <c r="Q54" s="1140"/>
      <c r="R54" s="1140"/>
      <c r="S54" s="1136">
        <v>0</v>
      </c>
      <c r="T54" s="1140"/>
      <c r="U54" s="1140"/>
      <c r="V54" s="1136">
        <v>0</v>
      </c>
      <c r="W54" s="1140"/>
      <c r="X54" s="1140"/>
      <c r="Y54" s="1136">
        <v>0</v>
      </c>
      <c r="Z54" s="1140"/>
      <c r="AA54" s="1140"/>
      <c r="AB54" s="1136">
        <v>0</v>
      </c>
      <c r="AC54" s="1140"/>
      <c r="AD54" s="1140"/>
      <c r="AE54" s="1136">
        <v>0</v>
      </c>
      <c r="AF54" s="1140"/>
      <c r="AG54" s="1140"/>
      <c r="AH54" s="1136">
        <v>0</v>
      </c>
      <c r="AI54" s="1140"/>
      <c r="AJ54" s="1140"/>
      <c r="AK54" s="1136">
        <v>0</v>
      </c>
      <c r="AL54" s="1140"/>
      <c r="AM54" s="1140"/>
      <c r="AN54" s="1136">
        <v>0</v>
      </c>
      <c r="AO54" s="1140"/>
      <c r="AP54" s="1140"/>
      <c r="AQ54" s="1136">
        <v>0</v>
      </c>
      <c r="AR54" s="1057"/>
      <c r="AS54" s="1057"/>
      <c r="AT54" s="1057"/>
      <c r="AU54" s="1057"/>
      <c r="AV54" s="1057"/>
      <c r="AW54" s="1057"/>
      <c r="AX54" s="1057"/>
      <c r="AY54" s="1057"/>
      <c r="AZ54" s="1057"/>
      <c r="BA54" s="1057"/>
      <c r="BB54" s="1057"/>
      <c r="BC54" s="1057"/>
      <c r="BD54" s="1057"/>
      <c r="BE54" s="1057"/>
      <c r="BF54" s="1057"/>
    </row>
    <row r="55" spans="1:58">
      <c r="A55" s="1057"/>
      <c r="B55" s="1057"/>
      <c r="C55" s="1057"/>
      <c r="D55" s="1057"/>
      <c r="E55" s="1057"/>
      <c r="F55" s="1057"/>
      <c r="G55" s="1106" t="b">
        <v>1</v>
      </c>
      <c r="H55" s="1057"/>
      <c r="I55" s="1057"/>
      <c r="J55" s="1057"/>
      <c r="K55" s="1057"/>
      <c r="L55" s="1141"/>
      <c r="M55" s="1142"/>
      <c r="N55" s="1143"/>
      <c r="O55" s="1143"/>
      <c r="P55" s="1143"/>
      <c r="Q55" s="1143"/>
      <c r="R55" s="1143"/>
      <c r="S55" s="1143"/>
      <c r="T55" s="1143"/>
      <c r="U55" s="1143"/>
      <c r="V55" s="1143"/>
      <c r="W55" s="1143"/>
      <c r="X55" s="1143"/>
      <c r="Y55" s="1143"/>
      <c r="Z55" s="1143"/>
      <c r="AA55" s="1143"/>
      <c r="AB55" s="1143"/>
      <c r="AC55" s="1143"/>
      <c r="AD55" s="1143"/>
      <c r="AE55" s="1143"/>
      <c r="AF55" s="1143"/>
      <c r="AG55" s="1143"/>
      <c r="AH55" s="1143"/>
      <c r="AI55" s="1143"/>
      <c r="AJ55" s="1143"/>
      <c r="AK55" s="1143"/>
      <c r="AL55" s="1143"/>
      <c r="AM55" s="1143"/>
      <c r="AN55" s="1143"/>
      <c r="AO55" s="1143"/>
      <c r="AP55" s="1143"/>
      <c r="AQ55" s="1143"/>
      <c r="AR55" s="1143"/>
      <c r="AS55" s="1057"/>
      <c r="AT55" s="1057"/>
      <c r="AU55" s="1057"/>
      <c r="AV55" s="1057"/>
      <c r="AW55" s="1057"/>
      <c r="AX55" s="1057"/>
      <c r="AY55" s="1057"/>
      <c r="AZ55" s="1057"/>
      <c r="BA55" s="1057"/>
      <c r="BB55" s="1057"/>
      <c r="BC55" s="1057"/>
      <c r="BD55" s="1057"/>
      <c r="BE55" s="1057"/>
      <c r="BF55" s="1057"/>
    </row>
    <row r="56" spans="1:58" s="323" customFormat="1" ht="0.2" customHeight="1">
      <c r="A56" s="1106"/>
      <c r="B56" s="1106"/>
      <c r="C56" s="1106"/>
      <c r="D56" s="1106"/>
      <c r="E56" s="1106"/>
      <c r="F56" s="1106"/>
      <c r="G56" s="1106" t="b">
        <v>0</v>
      </c>
      <c r="H56" s="1106"/>
      <c r="I56" s="1106"/>
      <c r="J56" s="1106"/>
      <c r="K56" s="1106"/>
      <c r="L56" s="1107" t="s">
        <v>701</v>
      </c>
      <c r="M56" s="1108"/>
      <c r="N56" s="1108"/>
      <c r="O56" s="1108"/>
      <c r="P56" s="1108"/>
      <c r="Q56" s="1108"/>
      <c r="R56" s="1108"/>
      <c r="S56" s="1108"/>
      <c r="T56" s="1108"/>
      <c r="U56" s="1108"/>
      <c r="V56" s="1108"/>
      <c r="W56" s="1108"/>
      <c r="X56" s="1108"/>
      <c r="Y56" s="1108"/>
      <c r="Z56" s="1108"/>
      <c r="AA56" s="1108"/>
      <c r="AB56" s="1108"/>
      <c r="AC56" s="1108"/>
      <c r="AD56" s="1108"/>
      <c r="AE56" s="1108"/>
      <c r="AF56" s="1108"/>
      <c r="AG56" s="1108"/>
      <c r="AH56" s="1108"/>
      <c r="AI56" s="1108"/>
      <c r="AJ56" s="1108"/>
      <c r="AK56" s="1108"/>
      <c r="AL56" s="1108"/>
      <c r="AM56" s="1108"/>
      <c r="AN56" s="1108"/>
      <c r="AO56" s="1108"/>
      <c r="AP56" s="1108"/>
      <c r="AQ56" s="1109"/>
      <c r="AR56" s="1106"/>
      <c r="AS56" s="1106"/>
      <c r="AT56" s="1106"/>
      <c r="AU56" s="1106"/>
      <c r="AV56" s="1106"/>
      <c r="AW56" s="1106"/>
      <c r="AX56" s="1106"/>
      <c r="AY56" s="1106"/>
      <c r="AZ56" s="1106"/>
      <c r="BA56" s="1106"/>
      <c r="BB56" s="1106"/>
      <c r="BC56" s="1106"/>
      <c r="BD56" s="1106"/>
      <c r="BE56" s="1106"/>
      <c r="BF56" s="1106"/>
    </row>
    <row r="57" spans="1:58" ht="0.2" customHeight="1">
      <c r="A57" s="1057"/>
      <c r="B57" s="1057"/>
      <c r="C57" s="1057"/>
      <c r="D57" s="1057"/>
      <c r="E57" s="1057"/>
      <c r="F57" s="1057"/>
      <c r="G57" s="1106" t="b">
        <v>0</v>
      </c>
      <c r="H57" s="1057"/>
      <c r="I57" s="1057"/>
      <c r="J57" s="1057"/>
      <c r="K57" s="1057"/>
      <c r="L57" s="985" t="s">
        <v>121</v>
      </c>
      <c r="M57" s="985" t="s">
        <v>143</v>
      </c>
      <c r="N57" s="1111" t="s">
        <v>2569</v>
      </c>
      <c r="O57" s="1112"/>
      <c r="P57" s="1113"/>
      <c r="Q57" s="1111" t="s">
        <v>2598</v>
      </c>
      <c r="R57" s="1112"/>
      <c r="S57" s="1113"/>
      <c r="T57" s="1111" t="s">
        <v>2599</v>
      </c>
      <c r="U57" s="1112"/>
      <c r="V57" s="1113"/>
      <c r="W57" s="1111" t="s">
        <v>2600</v>
      </c>
      <c r="X57" s="1112"/>
      <c r="Y57" s="1113"/>
      <c r="Z57" s="1111" t="s">
        <v>2601</v>
      </c>
      <c r="AA57" s="1112"/>
      <c r="AB57" s="1113"/>
      <c r="AC57" s="1111" t="s">
        <v>2602</v>
      </c>
      <c r="AD57" s="1112"/>
      <c r="AE57" s="1113"/>
      <c r="AF57" s="1111" t="s">
        <v>2603</v>
      </c>
      <c r="AG57" s="1112"/>
      <c r="AH57" s="1113"/>
      <c r="AI57" s="1111" t="s">
        <v>2604</v>
      </c>
      <c r="AJ57" s="1112"/>
      <c r="AK57" s="1113"/>
      <c r="AL57" s="1111" t="s">
        <v>2605</v>
      </c>
      <c r="AM57" s="1112"/>
      <c r="AN57" s="1113"/>
      <c r="AO57" s="1111" t="s">
        <v>2606</v>
      </c>
      <c r="AP57" s="1112"/>
      <c r="AQ57" s="1113"/>
      <c r="AR57" s="1057"/>
      <c r="AS57" s="1057"/>
      <c r="AT57" s="1057"/>
      <c r="AU57" s="1057"/>
      <c r="AV57" s="1057"/>
      <c r="AW57" s="1057"/>
      <c r="AX57" s="1057"/>
      <c r="AY57" s="1057"/>
      <c r="AZ57" s="1057"/>
      <c r="BA57" s="1057"/>
      <c r="BB57" s="1057"/>
      <c r="BC57" s="1057"/>
      <c r="BD57" s="1057"/>
      <c r="BE57" s="1057"/>
      <c r="BF57" s="1057"/>
    </row>
    <row r="58" spans="1:58" ht="0.2" customHeight="1">
      <c r="A58" s="1057"/>
      <c r="B58" s="1057"/>
      <c r="C58" s="1057"/>
      <c r="D58" s="1057"/>
      <c r="E58" s="1057"/>
      <c r="F58" s="1057"/>
      <c r="G58" s="1106" t="b">
        <v>0</v>
      </c>
      <c r="H58" s="1057"/>
      <c r="I58" s="1057"/>
      <c r="J58" s="1057"/>
      <c r="K58" s="1057"/>
      <c r="L58" s="985"/>
      <c r="M58" s="985"/>
      <c r="N58" s="1009" t="s">
        <v>287</v>
      </c>
      <c r="O58" s="1009" t="s">
        <v>286</v>
      </c>
      <c r="P58" s="1009" t="s">
        <v>1335</v>
      </c>
      <c r="Q58" s="1009" t="s">
        <v>287</v>
      </c>
      <c r="R58" s="1009" t="s">
        <v>286</v>
      </c>
      <c r="S58" s="1009" t="s">
        <v>1335</v>
      </c>
      <c r="T58" s="1009" t="s">
        <v>287</v>
      </c>
      <c r="U58" s="1009" t="s">
        <v>286</v>
      </c>
      <c r="V58" s="1009" t="s">
        <v>1335</v>
      </c>
      <c r="W58" s="1009" t="s">
        <v>287</v>
      </c>
      <c r="X58" s="1009" t="s">
        <v>286</v>
      </c>
      <c r="Y58" s="1009" t="s">
        <v>1335</v>
      </c>
      <c r="Z58" s="1009" t="s">
        <v>287</v>
      </c>
      <c r="AA58" s="1009" t="s">
        <v>286</v>
      </c>
      <c r="AB58" s="1009" t="s">
        <v>1335</v>
      </c>
      <c r="AC58" s="1009" t="s">
        <v>287</v>
      </c>
      <c r="AD58" s="1009" t="s">
        <v>286</v>
      </c>
      <c r="AE58" s="1009" t="s">
        <v>1335</v>
      </c>
      <c r="AF58" s="1009" t="s">
        <v>287</v>
      </c>
      <c r="AG58" s="1009" t="s">
        <v>286</v>
      </c>
      <c r="AH58" s="1009" t="s">
        <v>1335</v>
      </c>
      <c r="AI58" s="1009" t="s">
        <v>287</v>
      </c>
      <c r="AJ58" s="1009" t="s">
        <v>286</v>
      </c>
      <c r="AK58" s="1009" t="s">
        <v>1335</v>
      </c>
      <c r="AL58" s="1009" t="s">
        <v>287</v>
      </c>
      <c r="AM58" s="1009" t="s">
        <v>286</v>
      </c>
      <c r="AN58" s="1009" t="s">
        <v>1335</v>
      </c>
      <c r="AO58" s="1009" t="s">
        <v>287</v>
      </c>
      <c r="AP58" s="1009" t="s">
        <v>286</v>
      </c>
      <c r="AQ58" s="1009" t="s">
        <v>1335</v>
      </c>
      <c r="AR58" s="1057"/>
      <c r="AS58" s="1057"/>
      <c r="AT58" s="1057"/>
      <c r="AU58" s="1057"/>
      <c r="AV58" s="1057"/>
      <c r="AW58" s="1057"/>
      <c r="AX58" s="1057"/>
      <c r="AY58" s="1057"/>
      <c r="AZ58" s="1057"/>
      <c r="BA58" s="1057"/>
      <c r="BB58" s="1057"/>
      <c r="BC58" s="1057"/>
      <c r="BD58" s="1057"/>
      <c r="BE58" s="1057"/>
      <c r="BF58" s="1057"/>
    </row>
    <row r="59" spans="1:58" ht="0.2" customHeight="1">
      <c r="A59" s="1057"/>
      <c r="B59" s="1057"/>
      <c r="C59" s="1057"/>
      <c r="D59" s="1057"/>
      <c r="E59" s="1057"/>
      <c r="F59" s="1057"/>
      <c r="G59" s="1106" t="b">
        <v>0</v>
      </c>
      <c r="H59" s="1057"/>
      <c r="I59" s="1057"/>
      <c r="J59" s="1057"/>
      <c r="K59" s="1057"/>
      <c r="L59" s="1103"/>
      <c r="M59" s="1104"/>
      <c r="N59" s="1057"/>
      <c r="O59" s="1057"/>
      <c r="P59" s="1057"/>
      <c r="Q59" s="1057"/>
      <c r="R59" s="1057"/>
      <c r="S59" s="1057"/>
      <c r="T59" s="1057"/>
      <c r="U59" s="1057"/>
      <c r="V59" s="1057"/>
      <c r="W59" s="1057"/>
      <c r="X59" s="1057"/>
      <c r="Y59" s="1057"/>
      <c r="Z59" s="1057"/>
      <c r="AA59" s="1057"/>
      <c r="AB59" s="1057"/>
      <c r="AC59" s="1057"/>
      <c r="AD59" s="1057"/>
      <c r="AE59" s="1057"/>
      <c r="AF59" s="1057"/>
      <c r="AG59" s="1057"/>
      <c r="AH59" s="1057"/>
      <c r="AI59" s="1057"/>
      <c r="AJ59" s="1057"/>
      <c r="AK59" s="1057"/>
      <c r="AL59" s="1057"/>
      <c r="AM59" s="1057"/>
      <c r="AN59" s="1057"/>
      <c r="AO59" s="1057"/>
      <c r="AP59" s="1057"/>
      <c r="AQ59" s="1057"/>
      <c r="AR59" s="1057"/>
      <c r="AS59" s="1057"/>
      <c r="AT59" s="1057"/>
      <c r="AU59" s="1057"/>
      <c r="AV59" s="1057"/>
      <c r="AW59" s="1057"/>
      <c r="AX59" s="1057"/>
      <c r="AY59" s="1057"/>
      <c r="AZ59" s="1057"/>
      <c r="BA59" s="1057"/>
      <c r="BB59" s="1057"/>
      <c r="BC59" s="1057"/>
      <c r="BD59" s="1057"/>
      <c r="BE59" s="1057"/>
      <c r="BF59" s="1057"/>
    </row>
    <row r="60" spans="1:58">
      <c r="A60" s="1057"/>
      <c r="B60" s="1057"/>
      <c r="C60" s="1057"/>
      <c r="D60" s="1057"/>
      <c r="E60" s="1057"/>
      <c r="F60" s="1057"/>
      <c r="G60" s="1057"/>
      <c r="H60" s="1057"/>
      <c r="I60" s="1057"/>
      <c r="J60" s="1057"/>
      <c r="K60" s="1057"/>
      <c r="L60" s="985" t="s">
        <v>1402</v>
      </c>
      <c r="M60" s="985"/>
      <c r="N60" s="985"/>
      <c r="O60" s="985"/>
      <c r="P60" s="985"/>
      <c r="Q60" s="985"/>
      <c r="R60" s="985"/>
      <c r="S60" s="985"/>
      <c r="T60" s="985"/>
      <c r="U60" s="985"/>
      <c r="V60" s="985"/>
      <c r="W60" s="985"/>
      <c r="X60" s="985"/>
      <c r="Y60" s="985"/>
      <c r="Z60" s="985"/>
      <c r="AA60" s="985"/>
      <c r="AB60" s="985"/>
      <c r="AC60" s="985"/>
      <c r="AD60" s="985"/>
      <c r="AE60" s="985"/>
      <c r="AF60" s="985"/>
      <c r="AG60" s="985"/>
      <c r="AH60" s="985"/>
      <c r="AI60" s="985"/>
      <c r="AJ60" s="985"/>
      <c r="AK60" s="985"/>
      <c r="AL60" s="985"/>
      <c r="AM60" s="985"/>
      <c r="AN60" s="985"/>
      <c r="AO60" s="985"/>
      <c r="AP60" s="985"/>
      <c r="AQ60" s="985"/>
      <c r="AR60" s="1057"/>
      <c r="AS60" s="1057"/>
      <c r="AT60" s="1057"/>
      <c r="AU60" s="1057"/>
      <c r="AV60" s="1057"/>
      <c r="AW60" s="1057"/>
      <c r="AX60" s="1057"/>
      <c r="AY60" s="1057"/>
      <c r="AZ60" s="1057"/>
      <c r="BA60" s="1057"/>
      <c r="BB60" s="1057"/>
      <c r="BC60" s="1057"/>
      <c r="BD60" s="1057"/>
      <c r="BE60" s="1057"/>
      <c r="BF60" s="1057"/>
    </row>
    <row r="61" spans="1:58" ht="15" customHeight="1">
      <c r="A61" s="1057"/>
      <c r="B61" s="1057"/>
      <c r="C61" s="1057"/>
      <c r="D61" s="1057"/>
      <c r="E61" s="1057"/>
      <c r="F61" s="1057"/>
      <c r="G61" s="1057"/>
      <c r="H61" s="1057"/>
      <c r="I61" s="1057"/>
      <c r="J61" s="1057"/>
      <c r="K61" s="724"/>
      <c r="L61" s="1144"/>
      <c r="M61" s="1144"/>
      <c r="N61" s="1144"/>
      <c r="O61" s="1144"/>
      <c r="P61" s="1144"/>
      <c r="Q61" s="1144"/>
      <c r="R61" s="1144"/>
      <c r="S61" s="1144"/>
      <c r="T61" s="1144"/>
      <c r="U61" s="1144"/>
      <c r="V61" s="1144"/>
      <c r="W61" s="1144"/>
      <c r="X61" s="1144"/>
      <c r="Y61" s="1144"/>
      <c r="Z61" s="1144"/>
      <c r="AA61" s="1144"/>
      <c r="AB61" s="1144"/>
      <c r="AC61" s="1144"/>
      <c r="AD61" s="1144"/>
      <c r="AE61" s="1144"/>
      <c r="AF61" s="1144"/>
      <c r="AG61" s="1144"/>
      <c r="AH61" s="1144"/>
      <c r="AI61" s="1144"/>
      <c r="AJ61" s="1144"/>
      <c r="AK61" s="1144"/>
      <c r="AL61" s="1144"/>
      <c r="AM61" s="1144"/>
      <c r="AN61" s="1144"/>
      <c r="AO61" s="1144"/>
      <c r="AP61" s="1144"/>
      <c r="AQ61" s="1144"/>
      <c r="AR61" s="1057"/>
      <c r="AS61" s="1057"/>
      <c r="AT61" s="1057"/>
      <c r="AU61" s="1057"/>
      <c r="AV61" s="1057"/>
      <c r="AW61" s="1057"/>
      <c r="AX61" s="1057"/>
      <c r="AY61" s="1057"/>
      <c r="AZ61" s="1057"/>
      <c r="BA61" s="1057"/>
      <c r="BB61" s="1057"/>
      <c r="BC61" s="1057"/>
      <c r="BD61" s="1057"/>
      <c r="BE61" s="1057"/>
      <c r="BF61" s="1057"/>
    </row>
  </sheetData>
  <sheetProtection formatColumns="0" formatRows="0" autoFilter="0"/>
  <mergeCells count="32">
    <mergeCell ref="AC57:AE57"/>
    <mergeCell ref="AF57:AH57"/>
    <mergeCell ref="AI57:AK57"/>
    <mergeCell ref="Z57:AB57"/>
    <mergeCell ref="L17:M17"/>
    <mergeCell ref="L18:M18"/>
    <mergeCell ref="L19:M19"/>
    <mergeCell ref="L20:M20"/>
    <mergeCell ref="L61:AQ61"/>
    <mergeCell ref="L56:AQ56"/>
    <mergeCell ref="L57:L58"/>
    <mergeCell ref="M57:M58"/>
    <mergeCell ref="AL57:AN57"/>
    <mergeCell ref="N57:P57"/>
    <mergeCell ref="Q57:S57"/>
    <mergeCell ref="AO57:AQ57"/>
    <mergeCell ref="L60:AQ60"/>
    <mergeCell ref="T57:V57"/>
    <mergeCell ref="W57:Y57"/>
    <mergeCell ref="L14:AQ14"/>
    <mergeCell ref="L15:L16"/>
    <mergeCell ref="M15:M16"/>
    <mergeCell ref="N15:P15"/>
    <mergeCell ref="AO15:AQ15"/>
    <mergeCell ref="Q15:S15"/>
    <mergeCell ref="AI15:AK15"/>
    <mergeCell ref="AL15:AN15"/>
    <mergeCell ref="W15:Y15"/>
    <mergeCell ref="Z15:AB15"/>
    <mergeCell ref="AC15:AE15"/>
    <mergeCell ref="AF15:AH15"/>
    <mergeCell ref="T15:V15"/>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I3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activeCell="Q28" sqref="Q28"/>
    </sheetView>
  </sheetViews>
  <sheetFormatPr defaultColWidth="9.140625" defaultRowHeight="11.25"/>
  <cols>
    <col min="1" max="5" width="2.7109375" style="322" hidden="1" customWidth="1"/>
    <col min="6" max="6" width="5.28515625" style="322" hidden="1" customWidth="1"/>
    <col min="7" max="7" width="12" style="322" hidden="1" customWidth="1"/>
    <col min="8" max="10" width="2.7109375" style="322" hidden="1" customWidth="1"/>
    <col min="11" max="11" width="3.7109375" style="322" hidden="1" customWidth="1"/>
    <col min="12" max="12" width="15.42578125" style="321" customWidth="1"/>
    <col min="13" max="20" width="14.85546875" style="322" customWidth="1"/>
    <col min="21" max="16384" width="9.140625" style="322"/>
  </cols>
  <sheetData>
    <row r="1" spans="1:35" hidden="1">
      <c r="A1" s="1057"/>
      <c r="B1" s="1057"/>
      <c r="C1" s="1057"/>
      <c r="D1" s="1057"/>
      <c r="E1" s="1057"/>
      <c r="F1" s="1057"/>
      <c r="G1" s="1057"/>
      <c r="H1" s="1057"/>
      <c r="I1" s="1057"/>
      <c r="J1" s="1057"/>
      <c r="K1" s="1057"/>
      <c r="L1" s="1103"/>
      <c r="M1" s="1057"/>
      <c r="N1" s="1057"/>
      <c r="O1" s="1057"/>
      <c r="P1" s="1057"/>
      <c r="Q1" s="1057"/>
      <c r="R1" s="1057"/>
      <c r="S1" s="1057"/>
      <c r="T1" s="1057"/>
      <c r="U1" s="1057"/>
      <c r="V1" s="1057"/>
      <c r="W1" s="1057"/>
      <c r="X1" s="1057"/>
      <c r="Y1" s="1057"/>
      <c r="Z1" s="1057"/>
      <c r="AA1" s="1057"/>
      <c r="AB1" s="1057"/>
      <c r="AC1" s="1057"/>
      <c r="AD1" s="1057"/>
      <c r="AE1" s="1057"/>
      <c r="AF1" s="1057"/>
      <c r="AG1" s="1057"/>
      <c r="AH1" s="1057"/>
      <c r="AI1" s="1057"/>
    </row>
    <row r="2" spans="1:35" hidden="1">
      <c r="A2" s="1057"/>
      <c r="B2" s="1057"/>
      <c r="C2" s="1057"/>
      <c r="D2" s="1057"/>
      <c r="E2" s="1057"/>
      <c r="F2" s="1057"/>
      <c r="G2" s="1057"/>
      <c r="H2" s="1057"/>
      <c r="I2" s="1057"/>
      <c r="J2" s="1057"/>
      <c r="K2" s="1057"/>
      <c r="L2" s="1103"/>
      <c r="M2" s="1057"/>
      <c r="N2" s="1057"/>
      <c r="O2" s="1057"/>
      <c r="P2" s="1057"/>
      <c r="Q2" s="1057"/>
      <c r="R2" s="1057"/>
      <c r="S2" s="1057"/>
      <c r="T2" s="1057"/>
      <c r="U2" s="1057"/>
      <c r="V2" s="1057"/>
      <c r="W2" s="1057"/>
      <c r="X2" s="1057"/>
      <c r="Y2" s="1057"/>
      <c r="Z2" s="1057"/>
      <c r="AA2" s="1057"/>
      <c r="AB2" s="1057"/>
      <c r="AC2" s="1057"/>
      <c r="AD2" s="1057"/>
      <c r="AE2" s="1057"/>
      <c r="AF2" s="1057"/>
      <c r="AG2" s="1057"/>
      <c r="AH2" s="1057"/>
      <c r="AI2" s="1057"/>
    </row>
    <row r="3" spans="1:35" hidden="1">
      <c r="A3" s="1057"/>
      <c r="B3" s="1057"/>
      <c r="C3" s="1057"/>
      <c r="D3" s="1057"/>
      <c r="E3" s="1057"/>
      <c r="F3" s="1057"/>
      <c r="G3" s="1057"/>
      <c r="H3" s="1057"/>
      <c r="I3" s="1057"/>
      <c r="J3" s="1057"/>
      <c r="K3" s="1057"/>
      <c r="L3" s="1103"/>
      <c r="M3" s="1057"/>
      <c r="N3" s="1057"/>
      <c r="O3" s="1057"/>
      <c r="P3" s="1057"/>
      <c r="Q3" s="1057"/>
      <c r="R3" s="1057"/>
      <c r="S3" s="1057"/>
      <c r="T3" s="1057"/>
      <c r="U3" s="1057"/>
      <c r="V3" s="1057"/>
      <c r="W3" s="1057"/>
      <c r="X3" s="1057"/>
      <c r="Y3" s="1057"/>
      <c r="Z3" s="1057"/>
      <c r="AA3" s="1057"/>
      <c r="AB3" s="1057"/>
      <c r="AC3" s="1057"/>
      <c r="AD3" s="1057"/>
      <c r="AE3" s="1057"/>
      <c r="AF3" s="1057"/>
      <c r="AG3" s="1057"/>
      <c r="AH3" s="1057"/>
      <c r="AI3" s="1057"/>
    </row>
    <row r="4" spans="1:35" hidden="1">
      <c r="A4" s="1057"/>
      <c r="B4" s="1057"/>
      <c r="C4" s="1057"/>
      <c r="D4" s="1057"/>
      <c r="E4" s="1057"/>
      <c r="F4" s="1057"/>
      <c r="G4" s="1057"/>
      <c r="H4" s="1057"/>
      <c r="I4" s="1057"/>
      <c r="J4" s="1057"/>
      <c r="K4" s="1057"/>
      <c r="L4" s="1103"/>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row>
    <row r="5" spans="1:35" hidden="1">
      <c r="A5" s="1057"/>
      <c r="B5" s="1057"/>
      <c r="C5" s="1057"/>
      <c r="D5" s="1057"/>
      <c r="E5" s="1057"/>
      <c r="F5" s="1057"/>
      <c r="G5" s="1057"/>
      <c r="H5" s="1057"/>
      <c r="I5" s="1057"/>
      <c r="J5" s="1057"/>
      <c r="K5" s="1057"/>
      <c r="L5" s="1103"/>
      <c r="M5" s="1057"/>
      <c r="N5" s="1057"/>
      <c r="O5" s="1057"/>
      <c r="P5" s="1057"/>
      <c r="Q5" s="1057"/>
      <c r="R5" s="1057"/>
      <c r="S5" s="1057"/>
      <c r="T5" s="1057"/>
      <c r="U5" s="1057"/>
      <c r="V5" s="1057"/>
      <c r="W5" s="1057"/>
      <c r="X5" s="1057"/>
      <c r="Y5" s="1057"/>
      <c r="Z5" s="1057"/>
      <c r="AA5" s="1057"/>
      <c r="AB5" s="1057"/>
      <c r="AC5" s="1057"/>
      <c r="AD5" s="1057"/>
      <c r="AE5" s="1057"/>
      <c r="AF5" s="1057"/>
      <c r="AG5" s="1057"/>
      <c r="AH5" s="1057"/>
      <c r="AI5" s="1057"/>
    </row>
    <row r="6" spans="1:35" hidden="1">
      <c r="A6" s="1057"/>
      <c r="B6" s="1057"/>
      <c r="C6" s="1057"/>
      <c r="D6" s="1057"/>
      <c r="E6" s="1057"/>
      <c r="F6" s="1057"/>
      <c r="G6" s="1057"/>
      <c r="H6" s="1057"/>
      <c r="I6" s="1057"/>
      <c r="J6" s="1057"/>
      <c r="K6" s="1057"/>
      <c r="L6" s="1103"/>
      <c r="M6" s="1057"/>
      <c r="N6" s="1057"/>
      <c r="O6" s="1057"/>
      <c r="P6" s="1057"/>
      <c r="Q6" s="1057"/>
      <c r="R6" s="1057"/>
      <c r="S6" s="1057"/>
      <c r="T6" s="1057"/>
      <c r="U6" s="1057"/>
      <c r="V6" s="1057"/>
      <c r="W6" s="1057"/>
      <c r="X6" s="1057"/>
      <c r="Y6" s="1057"/>
      <c r="Z6" s="1057"/>
      <c r="AA6" s="1057"/>
      <c r="AB6" s="1057"/>
      <c r="AC6" s="1057"/>
      <c r="AD6" s="1057"/>
      <c r="AE6" s="1057"/>
      <c r="AF6" s="1057"/>
      <c r="AG6" s="1057"/>
      <c r="AH6" s="1057"/>
      <c r="AI6" s="1057"/>
    </row>
    <row r="7" spans="1:35" hidden="1">
      <c r="A7" s="1057"/>
      <c r="B7" s="1057"/>
      <c r="C7" s="1057"/>
      <c r="D7" s="1057"/>
      <c r="E7" s="1057"/>
      <c r="F7" s="1057"/>
      <c r="G7" s="1057"/>
      <c r="H7" s="1057"/>
      <c r="I7" s="1057"/>
      <c r="J7" s="1057"/>
      <c r="K7" s="1057"/>
      <c r="L7" s="1103"/>
      <c r="M7" s="1057"/>
      <c r="N7" s="1057"/>
      <c r="O7" s="1057"/>
      <c r="P7" s="1057"/>
      <c r="Q7" s="1057"/>
      <c r="R7" s="1057"/>
      <c r="S7" s="1057"/>
      <c r="T7" s="1057"/>
      <c r="U7" s="1057"/>
      <c r="V7" s="1057"/>
      <c r="W7" s="1057"/>
      <c r="X7" s="1057"/>
      <c r="Y7" s="1057"/>
      <c r="Z7" s="1057"/>
      <c r="AA7" s="1057"/>
      <c r="AB7" s="1057"/>
      <c r="AC7" s="1057"/>
      <c r="AD7" s="1057"/>
      <c r="AE7" s="1057"/>
      <c r="AF7" s="1057"/>
      <c r="AG7" s="1057"/>
      <c r="AH7" s="1057"/>
      <c r="AI7" s="1057"/>
    </row>
    <row r="8" spans="1:35" hidden="1">
      <c r="A8" s="1057"/>
      <c r="B8" s="1057"/>
      <c r="C8" s="1057"/>
      <c r="D8" s="1057"/>
      <c r="E8" s="1057"/>
      <c r="F8" s="1057"/>
      <c r="G8" s="1057"/>
      <c r="H8" s="1057"/>
      <c r="I8" s="1057"/>
      <c r="J8" s="1057"/>
      <c r="K8" s="1057"/>
      <c r="L8" s="1103"/>
      <c r="M8" s="1057"/>
      <c r="N8" s="1057"/>
      <c r="O8" s="1057"/>
      <c r="P8" s="1057"/>
      <c r="Q8" s="1057"/>
      <c r="R8" s="1057"/>
      <c r="S8" s="1057"/>
      <c r="T8" s="1057"/>
      <c r="U8" s="1057"/>
      <c r="V8" s="1057"/>
      <c r="W8" s="1057"/>
      <c r="X8" s="1057"/>
      <c r="Y8" s="1057"/>
      <c r="Z8" s="1057"/>
      <c r="AA8" s="1057"/>
      <c r="AB8" s="1057"/>
      <c r="AC8" s="1057"/>
      <c r="AD8" s="1057"/>
      <c r="AE8" s="1057"/>
      <c r="AF8" s="1057"/>
      <c r="AG8" s="1057"/>
      <c r="AH8" s="1057"/>
      <c r="AI8" s="1057"/>
    </row>
    <row r="9" spans="1:35" hidden="1">
      <c r="A9" s="1057"/>
      <c r="B9" s="1057"/>
      <c r="C9" s="1057"/>
      <c r="D9" s="1057"/>
      <c r="E9" s="1057"/>
      <c r="F9" s="1057"/>
      <c r="G9" s="1057"/>
      <c r="H9" s="1057"/>
      <c r="I9" s="1057"/>
      <c r="J9" s="1057"/>
      <c r="K9" s="1057"/>
      <c r="L9" s="1103"/>
      <c r="M9" s="1057"/>
      <c r="N9" s="1057"/>
      <c r="O9" s="1057"/>
      <c r="P9" s="1057"/>
      <c r="Q9" s="1057"/>
      <c r="R9" s="1057"/>
      <c r="S9" s="1057"/>
      <c r="T9" s="1057"/>
      <c r="U9" s="1057"/>
      <c r="V9" s="1057"/>
      <c r="W9" s="1057"/>
      <c r="X9" s="1057"/>
      <c r="Y9" s="1057"/>
      <c r="Z9" s="1057"/>
      <c r="AA9" s="1057"/>
      <c r="AB9" s="1057"/>
      <c r="AC9" s="1057"/>
      <c r="AD9" s="1057"/>
      <c r="AE9" s="1057"/>
      <c r="AF9" s="1057"/>
      <c r="AG9" s="1057"/>
      <c r="AH9" s="1057"/>
      <c r="AI9" s="1057"/>
    </row>
    <row r="10" spans="1:35" hidden="1">
      <c r="A10" s="1057"/>
      <c r="B10" s="1057"/>
      <c r="C10" s="1057"/>
      <c r="D10" s="1057"/>
      <c r="E10" s="1057"/>
      <c r="F10" s="1057"/>
      <c r="G10" s="1057"/>
      <c r="H10" s="1057"/>
      <c r="I10" s="1057"/>
      <c r="J10" s="1057"/>
      <c r="K10" s="1057"/>
      <c r="L10" s="1103"/>
      <c r="M10" s="1057"/>
      <c r="N10" s="1057"/>
      <c r="O10" s="1057"/>
      <c r="P10" s="1057"/>
      <c r="Q10" s="1057"/>
      <c r="R10" s="1057"/>
      <c r="S10" s="1057"/>
      <c r="T10" s="1057"/>
      <c r="U10" s="1057"/>
      <c r="V10" s="1057"/>
      <c r="W10" s="1057"/>
      <c r="X10" s="1057"/>
      <c r="Y10" s="1057"/>
      <c r="Z10" s="1057"/>
      <c r="AA10" s="1057"/>
      <c r="AB10" s="1057"/>
      <c r="AC10" s="1057"/>
      <c r="AD10" s="1057"/>
      <c r="AE10" s="1057"/>
      <c r="AF10" s="1057"/>
      <c r="AG10" s="1057"/>
      <c r="AH10" s="1057"/>
      <c r="AI10" s="1057"/>
    </row>
    <row r="11" spans="1:35" ht="15" hidden="1" customHeight="1">
      <c r="A11" s="1057"/>
      <c r="B11" s="1057"/>
      <c r="C11" s="1057"/>
      <c r="D11" s="1057"/>
      <c r="E11" s="1057"/>
      <c r="F11" s="1057"/>
      <c r="G11" s="1057"/>
      <c r="H11" s="1057"/>
      <c r="I11" s="1057"/>
      <c r="J11" s="1057"/>
      <c r="K11" s="1057"/>
      <c r="L11" s="1105"/>
      <c r="M11" s="1057"/>
      <c r="N11" s="1057"/>
      <c r="O11" s="1057"/>
      <c r="P11" s="1057"/>
      <c r="Q11" s="1057"/>
      <c r="R11" s="1057"/>
      <c r="S11" s="1057"/>
      <c r="T11" s="1057"/>
      <c r="U11" s="1057"/>
      <c r="V11" s="1057"/>
      <c r="W11" s="1057"/>
      <c r="X11" s="1057"/>
      <c r="Y11" s="1057"/>
      <c r="Z11" s="1057"/>
      <c r="AA11" s="1057"/>
      <c r="AB11" s="1057"/>
      <c r="AC11" s="1057"/>
      <c r="AD11" s="1057"/>
      <c r="AE11" s="1057"/>
      <c r="AF11" s="1057"/>
      <c r="AG11" s="1057"/>
      <c r="AH11" s="1057"/>
      <c r="AI11" s="1057"/>
    </row>
    <row r="12" spans="1:35" s="323" customFormat="1" ht="24" customHeight="1">
      <c r="A12" s="1106"/>
      <c r="B12" s="1106"/>
      <c r="C12" s="1106"/>
      <c r="D12" s="1106"/>
      <c r="E12" s="1106"/>
      <c r="F12" s="1106"/>
      <c r="G12" s="1106"/>
      <c r="H12" s="1106"/>
      <c r="I12" s="1106"/>
      <c r="J12" s="1106"/>
      <c r="K12" s="1106"/>
      <c r="L12" s="484" t="s">
        <v>1291</v>
      </c>
      <c r="M12" s="284"/>
      <c r="N12" s="284"/>
      <c r="O12" s="284"/>
      <c r="P12" s="284"/>
      <c r="Q12" s="284"/>
      <c r="R12" s="1106"/>
      <c r="S12" s="1106"/>
      <c r="T12" s="1106"/>
      <c r="U12" s="1106"/>
      <c r="V12" s="1106"/>
      <c r="W12" s="1106"/>
      <c r="X12" s="1106"/>
      <c r="Y12" s="1106"/>
      <c r="Z12" s="1106"/>
      <c r="AA12" s="1106"/>
      <c r="AB12" s="1106"/>
      <c r="AC12" s="1106"/>
      <c r="AD12" s="1106"/>
      <c r="AE12" s="1106"/>
      <c r="AF12" s="1106"/>
      <c r="AG12" s="1106"/>
      <c r="AH12" s="1106"/>
      <c r="AI12" s="1106"/>
    </row>
    <row r="13" spans="1:35">
      <c r="A13" s="1057"/>
      <c r="B13" s="1057"/>
      <c r="C13" s="1057"/>
      <c r="D13" s="1057"/>
      <c r="E13" s="1057"/>
      <c r="F13" s="1057"/>
      <c r="G13" s="1057"/>
      <c r="H13" s="1057"/>
      <c r="I13" s="1057"/>
      <c r="J13" s="1057"/>
      <c r="K13" s="1057"/>
      <c r="L13" s="1104"/>
      <c r="M13" s="1104"/>
      <c r="N13" s="1057"/>
      <c r="O13" s="1057"/>
      <c r="P13" s="1057"/>
      <c r="Q13" s="1057"/>
      <c r="R13" s="1057"/>
      <c r="S13" s="1057"/>
      <c r="T13" s="1057"/>
      <c r="U13" s="1057"/>
      <c r="V13" s="1057"/>
      <c r="W13" s="1057"/>
      <c r="X13" s="1057"/>
      <c r="Y13" s="1057"/>
      <c r="Z13" s="1057"/>
      <c r="AA13" s="1057"/>
      <c r="AB13" s="1057"/>
      <c r="AC13" s="1057"/>
      <c r="AD13" s="1057"/>
      <c r="AE13" s="1057"/>
      <c r="AF13" s="1057"/>
      <c r="AG13" s="1057"/>
      <c r="AH13" s="1057"/>
      <c r="AI13" s="1104"/>
    </row>
    <row r="14" spans="1:35" s="324" customFormat="1" ht="39" customHeight="1">
      <c r="A14" s="1104"/>
      <c r="B14" s="1104"/>
      <c r="C14" s="1104"/>
      <c r="D14" s="1104"/>
      <c r="E14" s="1104"/>
      <c r="F14" s="1104"/>
      <c r="G14" s="1104"/>
      <c r="H14" s="1104"/>
      <c r="I14" s="1104"/>
      <c r="J14" s="1104"/>
      <c r="K14" s="1104"/>
      <c r="L14" s="1145" t="s">
        <v>14</v>
      </c>
      <c r="M14" s="1146" t="s">
        <v>704</v>
      </c>
      <c r="N14" s="1146" t="s">
        <v>307</v>
      </c>
      <c r="O14" s="1146" t="s">
        <v>705</v>
      </c>
      <c r="P14" s="1146" t="s">
        <v>706</v>
      </c>
      <c r="Q14" s="1146"/>
      <c r="R14" s="1104"/>
      <c r="S14" s="1104"/>
      <c r="T14" s="1104"/>
      <c r="U14" s="1104"/>
      <c r="V14" s="1104"/>
      <c r="W14" s="1104"/>
      <c r="X14" s="1104"/>
      <c r="Y14" s="1104"/>
      <c r="Z14" s="1104"/>
      <c r="AA14" s="1104"/>
      <c r="AB14" s="1104"/>
      <c r="AC14" s="1104"/>
      <c r="AD14" s="1104"/>
      <c r="AE14" s="1104"/>
      <c r="AF14" s="1104"/>
      <c r="AG14" s="1104"/>
      <c r="AH14" s="1104"/>
      <c r="AI14" s="1104"/>
    </row>
    <row r="15" spans="1:35" s="324" customFormat="1" ht="36" customHeight="1">
      <c r="A15" s="1104"/>
      <c r="B15" s="1104"/>
      <c r="C15" s="1104"/>
      <c r="D15" s="1104"/>
      <c r="E15" s="1104"/>
      <c r="F15" s="1104"/>
      <c r="G15" s="1104"/>
      <c r="H15" s="1104"/>
      <c r="I15" s="1104"/>
      <c r="J15" s="1104"/>
      <c r="K15" s="1104"/>
      <c r="L15" s="1147"/>
      <c r="M15" s="1146"/>
      <c r="N15" s="1146"/>
      <c r="O15" s="1146"/>
      <c r="P15" s="1148" t="s">
        <v>340</v>
      </c>
      <c r="Q15" s="1148" t="s">
        <v>707</v>
      </c>
      <c r="R15" s="1104"/>
      <c r="S15" s="1104"/>
      <c r="T15" s="1104"/>
      <c r="U15" s="1104"/>
      <c r="V15" s="1104"/>
      <c r="W15" s="1104"/>
      <c r="X15" s="1104"/>
      <c r="Y15" s="1104"/>
      <c r="Z15" s="1104"/>
      <c r="AA15" s="1104"/>
      <c r="AB15" s="1104"/>
      <c r="AC15" s="1104"/>
      <c r="AD15" s="1104"/>
      <c r="AE15" s="1104"/>
      <c r="AF15" s="1104"/>
      <c r="AG15" s="1104"/>
      <c r="AH15" s="1104"/>
      <c r="AI15" s="1104"/>
    </row>
    <row r="16" spans="1:35" s="325" customFormat="1">
      <c r="A16" s="1149"/>
      <c r="B16" s="1149"/>
      <c r="C16" s="1149"/>
      <c r="D16" s="1149"/>
      <c r="E16" s="1149"/>
      <c r="F16" s="1149"/>
      <c r="G16" s="1149"/>
      <c r="H16" s="1149"/>
      <c r="I16" s="1149"/>
      <c r="J16" s="1149"/>
      <c r="K16" s="1149"/>
      <c r="L16" s="1150"/>
      <c r="M16" s="1148" t="s">
        <v>370</v>
      </c>
      <c r="N16" s="1148" t="s">
        <v>145</v>
      </c>
      <c r="O16" s="975" t="s">
        <v>145</v>
      </c>
      <c r="P16" s="1148" t="s">
        <v>145</v>
      </c>
      <c r="Q16" s="1148" t="s">
        <v>708</v>
      </c>
      <c r="R16" s="1149"/>
      <c r="S16" s="1149"/>
      <c r="T16" s="1149"/>
      <c r="U16" s="1149"/>
      <c r="V16" s="1149"/>
      <c r="W16" s="1149"/>
      <c r="X16" s="1149"/>
      <c r="Y16" s="1149"/>
      <c r="Z16" s="1149"/>
      <c r="AA16" s="1149"/>
      <c r="AB16" s="1149"/>
      <c r="AC16" s="1149"/>
      <c r="AD16" s="1149"/>
      <c r="AE16" s="1149"/>
      <c r="AF16" s="1149"/>
      <c r="AG16" s="1149"/>
      <c r="AH16" s="1149"/>
      <c r="AI16" s="1149"/>
    </row>
    <row r="17" spans="1:35" s="102" customFormat="1">
      <c r="A17" s="861" t="s">
        <v>18</v>
      </c>
      <c r="B17" s="965"/>
      <c r="C17" s="965"/>
      <c r="D17" s="965"/>
      <c r="E17" s="965"/>
      <c r="F17" s="965"/>
      <c r="G17" s="965"/>
      <c r="H17" s="965"/>
      <c r="I17" s="965"/>
      <c r="J17" s="965"/>
      <c r="K17" s="965"/>
      <c r="L17" s="982" t="s">
        <v>2545</v>
      </c>
      <c r="M17" s="983"/>
      <c r="N17" s="983"/>
      <c r="O17" s="983"/>
      <c r="P17" s="983"/>
      <c r="Q17" s="983"/>
      <c r="R17" s="965"/>
      <c r="S17" s="965"/>
      <c r="T17" s="965"/>
      <c r="U17" s="965"/>
      <c r="V17" s="965"/>
      <c r="W17" s="965"/>
      <c r="X17" s="965"/>
      <c r="Y17" s="965"/>
      <c r="Z17" s="965"/>
      <c r="AA17" s="965"/>
      <c r="AB17" s="965"/>
      <c r="AC17" s="965"/>
      <c r="AD17" s="965"/>
      <c r="AE17" s="965"/>
      <c r="AF17" s="965"/>
      <c r="AG17" s="965"/>
      <c r="AH17" s="965"/>
      <c r="AI17" s="965"/>
    </row>
    <row r="18" spans="1:35" s="111" customFormat="1">
      <c r="A18" s="1033">
        <v>1</v>
      </c>
      <c r="B18" s="1033"/>
      <c r="C18" s="1033"/>
      <c r="D18" s="1033"/>
      <c r="E18" s="1033"/>
      <c r="F18" s="1033">
        <v>2023</v>
      </c>
      <c r="G18" s="1033" t="b">
        <v>1</v>
      </c>
      <c r="H18" s="1033"/>
      <c r="I18" s="1033"/>
      <c r="J18" s="1033"/>
      <c r="K18" s="1033"/>
      <c r="L18" s="1151" t="s">
        <v>2568</v>
      </c>
      <c r="M18" s="1152">
        <v>20290.060000000001</v>
      </c>
      <c r="N18" s="1153">
        <v>0</v>
      </c>
      <c r="O18" s="1152">
        <v>3</v>
      </c>
      <c r="P18" s="1153">
        <v>3.45</v>
      </c>
      <c r="Q18" s="1153">
        <v>0.76</v>
      </c>
      <c r="R18" s="1033"/>
      <c r="S18" s="1033"/>
      <c r="T18" s="1033"/>
      <c r="U18" s="1033"/>
      <c r="V18" s="1033"/>
      <c r="W18" s="1033"/>
      <c r="X18" s="1033"/>
      <c r="Y18" s="1033"/>
      <c r="Z18" s="1033"/>
      <c r="AA18" s="1033"/>
      <c r="AB18" s="1033"/>
      <c r="AC18" s="1033"/>
      <c r="AD18" s="1033"/>
      <c r="AE18" s="1033"/>
      <c r="AF18" s="1033"/>
      <c r="AG18" s="1033"/>
      <c r="AH18" s="1033"/>
      <c r="AI18" s="1033"/>
    </row>
    <row r="19" spans="1:35" s="111" customFormat="1">
      <c r="A19" s="1033">
        <v>1</v>
      </c>
      <c r="B19" s="1033"/>
      <c r="C19" s="1033"/>
      <c r="D19" s="1033"/>
      <c r="E19" s="1033"/>
      <c r="F19" s="1033">
        <v>2024</v>
      </c>
      <c r="G19" s="1033" t="b">
        <v>1</v>
      </c>
      <c r="H19" s="1033"/>
      <c r="I19" s="1033"/>
      <c r="J19" s="1033"/>
      <c r="K19" s="1033"/>
      <c r="L19" s="1151" t="s">
        <v>2569</v>
      </c>
      <c r="M19" s="1152"/>
      <c r="N19" s="1153">
        <v>1</v>
      </c>
      <c r="O19" s="1152">
        <v>3</v>
      </c>
      <c r="P19" s="1153">
        <v>3.4501450995602618</v>
      </c>
      <c r="Q19" s="1153">
        <v>0.76</v>
      </c>
      <c r="R19" s="1033"/>
      <c r="S19" s="1033"/>
      <c r="T19" s="1033"/>
      <c r="U19" s="1033"/>
      <c r="V19" s="1033"/>
      <c r="W19" s="1033"/>
      <c r="X19" s="1033"/>
      <c r="Y19" s="1033"/>
      <c r="Z19" s="1033"/>
      <c r="AA19" s="1033"/>
      <c r="AB19" s="1033"/>
      <c r="AC19" s="1033"/>
      <c r="AD19" s="1033"/>
      <c r="AE19" s="1033"/>
      <c r="AF19" s="1033"/>
      <c r="AG19" s="1033"/>
      <c r="AH19" s="1033"/>
      <c r="AI19" s="1033"/>
    </row>
    <row r="20" spans="1:35" s="111" customFormat="1">
      <c r="A20" s="1033">
        <v>1</v>
      </c>
      <c r="B20" s="1033"/>
      <c r="C20" s="1033"/>
      <c r="D20" s="1033"/>
      <c r="E20" s="1033"/>
      <c r="F20" s="1033">
        <v>2025</v>
      </c>
      <c r="G20" s="1033" t="b">
        <v>1</v>
      </c>
      <c r="H20" s="1033"/>
      <c r="I20" s="1033"/>
      <c r="J20" s="1033"/>
      <c r="K20" s="1033"/>
      <c r="L20" s="1151" t="s">
        <v>2598</v>
      </c>
      <c r="M20" s="1152"/>
      <c r="N20" s="1153">
        <v>1</v>
      </c>
      <c r="O20" s="1152">
        <v>3</v>
      </c>
      <c r="P20" s="1153">
        <v>3.45</v>
      </c>
      <c r="Q20" s="1153">
        <v>0.76</v>
      </c>
      <c r="R20" s="1033"/>
      <c r="S20" s="1033"/>
      <c r="T20" s="1033"/>
      <c r="U20" s="1033"/>
      <c r="V20" s="1033"/>
      <c r="W20" s="1033"/>
      <c r="X20" s="1033"/>
      <c r="Y20" s="1033"/>
      <c r="Z20" s="1033"/>
      <c r="AA20" s="1033"/>
      <c r="AB20" s="1033"/>
      <c r="AC20" s="1033"/>
      <c r="AD20" s="1033"/>
      <c r="AE20" s="1033"/>
      <c r="AF20" s="1033"/>
      <c r="AG20" s="1033"/>
      <c r="AH20" s="1033"/>
      <c r="AI20" s="1033"/>
    </row>
    <row r="21" spans="1:35" s="111" customFormat="1">
      <c r="A21" s="1033">
        <v>1</v>
      </c>
      <c r="B21" s="1033"/>
      <c r="C21" s="1033"/>
      <c r="D21" s="1033"/>
      <c r="E21" s="1033"/>
      <c r="F21" s="1033">
        <v>2026</v>
      </c>
      <c r="G21" s="1033" t="b">
        <v>1</v>
      </c>
      <c r="H21" s="1033"/>
      <c r="I21" s="1033"/>
      <c r="J21" s="1033"/>
      <c r="K21" s="1033"/>
      <c r="L21" s="1151" t="s">
        <v>2599</v>
      </c>
      <c r="M21" s="1152"/>
      <c r="N21" s="1153">
        <v>1</v>
      </c>
      <c r="O21" s="1152">
        <v>3</v>
      </c>
      <c r="P21" s="1153">
        <v>3.45</v>
      </c>
      <c r="Q21" s="1153">
        <v>0.76</v>
      </c>
      <c r="R21" s="1033"/>
      <c r="S21" s="1033"/>
      <c r="T21" s="1033"/>
      <c r="U21" s="1033"/>
      <c r="V21" s="1033"/>
      <c r="W21" s="1033"/>
      <c r="X21" s="1033"/>
      <c r="Y21" s="1033"/>
      <c r="Z21" s="1033"/>
      <c r="AA21" s="1033"/>
      <c r="AB21" s="1033"/>
      <c r="AC21" s="1033"/>
      <c r="AD21" s="1033"/>
      <c r="AE21" s="1033"/>
      <c r="AF21" s="1033"/>
      <c r="AG21" s="1033"/>
      <c r="AH21" s="1033"/>
      <c r="AI21" s="1033"/>
    </row>
    <row r="22" spans="1:35" s="111" customFormat="1">
      <c r="A22" s="1033">
        <v>1</v>
      </c>
      <c r="B22" s="1033"/>
      <c r="C22" s="1033"/>
      <c r="D22" s="1033"/>
      <c r="E22" s="1033"/>
      <c r="F22" s="1033">
        <v>2027</v>
      </c>
      <c r="G22" s="1033" t="b">
        <v>1</v>
      </c>
      <c r="H22" s="1033"/>
      <c r="I22" s="1033"/>
      <c r="J22" s="1033"/>
      <c r="K22" s="1033"/>
      <c r="L22" s="1151" t="s">
        <v>2600</v>
      </c>
      <c r="M22" s="1152"/>
      <c r="N22" s="1153">
        <v>1</v>
      </c>
      <c r="O22" s="1152">
        <v>3</v>
      </c>
      <c r="P22" s="1153">
        <v>3.45</v>
      </c>
      <c r="Q22" s="1153">
        <v>0.76</v>
      </c>
      <c r="R22" s="1033"/>
      <c r="S22" s="1033"/>
      <c r="T22" s="1033"/>
      <c r="U22" s="1033"/>
      <c r="V22" s="1033"/>
      <c r="W22" s="1033"/>
      <c r="X22" s="1033"/>
      <c r="Y22" s="1033"/>
      <c r="Z22" s="1033"/>
      <c r="AA22" s="1033"/>
      <c r="AB22" s="1033"/>
      <c r="AC22" s="1033"/>
      <c r="AD22" s="1033"/>
      <c r="AE22" s="1033"/>
      <c r="AF22" s="1033"/>
      <c r="AG22" s="1033"/>
      <c r="AH22" s="1033"/>
      <c r="AI22" s="1033"/>
    </row>
    <row r="23" spans="1:35" s="111" customFormat="1" ht="0.2" customHeight="1">
      <c r="A23" s="1033">
        <v>1</v>
      </c>
      <c r="B23" s="1033"/>
      <c r="C23" s="1033"/>
      <c r="D23" s="1033"/>
      <c r="E23" s="1033"/>
      <c r="F23" s="1033">
        <v>2028</v>
      </c>
      <c r="G23" s="1033" t="b">
        <v>0</v>
      </c>
      <c r="H23" s="1033"/>
      <c r="I23" s="1033"/>
      <c r="J23" s="1033"/>
      <c r="K23" s="1033"/>
      <c r="L23" s="1151" t="s">
        <v>2601</v>
      </c>
      <c r="M23" s="1152">
        <v>21533.43</v>
      </c>
      <c r="N23" s="1153">
        <v>0</v>
      </c>
      <c r="O23" s="1152"/>
      <c r="P23" s="1153">
        <v>0</v>
      </c>
      <c r="Q23" s="1153">
        <v>0</v>
      </c>
      <c r="R23" s="1033"/>
      <c r="S23" s="1033"/>
      <c r="T23" s="1033"/>
      <c r="U23" s="1033"/>
      <c r="V23" s="1033"/>
      <c r="W23" s="1033"/>
      <c r="X23" s="1033"/>
      <c r="Y23" s="1033"/>
      <c r="Z23" s="1033"/>
      <c r="AA23" s="1033"/>
      <c r="AB23" s="1033"/>
      <c r="AC23" s="1033"/>
      <c r="AD23" s="1033"/>
      <c r="AE23" s="1033"/>
      <c r="AF23" s="1033"/>
      <c r="AG23" s="1033"/>
      <c r="AH23" s="1033"/>
      <c r="AI23" s="1033"/>
    </row>
    <row r="24" spans="1:35" s="111" customFormat="1" ht="0.2" customHeight="1">
      <c r="A24" s="1033">
        <v>1</v>
      </c>
      <c r="B24" s="1033"/>
      <c r="C24" s="1033"/>
      <c r="D24" s="1033"/>
      <c r="E24" s="1033"/>
      <c r="F24" s="1033">
        <v>2029</v>
      </c>
      <c r="G24" s="1033" t="b">
        <v>0</v>
      </c>
      <c r="H24" s="1033"/>
      <c r="I24" s="1033"/>
      <c r="J24" s="1033"/>
      <c r="K24" s="1033"/>
      <c r="L24" s="1151" t="s">
        <v>2602</v>
      </c>
      <c r="M24" s="1152">
        <v>21533.43</v>
      </c>
      <c r="N24" s="1153">
        <v>0</v>
      </c>
      <c r="O24" s="1152"/>
      <c r="P24" s="1153">
        <v>0</v>
      </c>
      <c r="Q24" s="1153">
        <v>0</v>
      </c>
      <c r="R24" s="1033"/>
      <c r="S24" s="1033"/>
      <c r="T24" s="1033"/>
      <c r="U24" s="1033"/>
      <c r="V24" s="1033"/>
      <c r="W24" s="1033"/>
      <c r="X24" s="1033"/>
      <c r="Y24" s="1033"/>
      <c r="Z24" s="1033"/>
      <c r="AA24" s="1033"/>
      <c r="AB24" s="1033"/>
      <c r="AC24" s="1033"/>
      <c r="AD24" s="1033"/>
      <c r="AE24" s="1033"/>
      <c r="AF24" s="1033"/>
      <c r="AG24" s="1033"/>
      <c r="AH24" s="1033"/>
      <c r="AI24" s="1033"/>
    </row>
    <row r="25" spans="1:35" s="111" customFormat="1" ht="0.2" customHeight="1">
      <c r="A25" s="1033">
        <v>1</v>
      </c>
      <c r="B25" s="1033"/>
      <c r="C25" s="1033"/>
      <c r="D25" s="1033"/>
      <c r="E25" s="1033"/>
      <c r="F25" s="1033">
        <v>2030</v>
      </c>
      <c r="G25" s="1033" t="b">
        <v>0</v>
      </c>
      <c r="H25" s="1033"/>
      <c r="I25" s="1033"/>
      <c r="J25" s="1033"/>
      <c r="K25" s="1033"/>
      <c r="L25" s="1151" t="s">
        <v>2603</v>
      </c>
      <c r="M25" s="1152">
        <v>21533.43</v>
      </c>
      <c r="N25" s="1153">
        <v>0</v>
      </c>
      <c r="O25" s="1152"/>
      <c r="P25" s="1153">
        <v>0</v>
      </c>
      <c r="Q25" s="1153">
        <v>0</v>
      </c>
      <c r="R25" s="1033"/>
      <c r="S25" s="1033"/>
      <c r="T25" s="1033"/>
      <c r="U25" s="1033"/>
      <c r="V25" s="1033"/>
      <c r="W25" s="1033"/>
      <c r="X25" s="1033"/>
      <c r="Y25" s="1033"/>
      <c r="Z25" s="1033"/>
      <c r="AA25" s="1033"/>
      <c r="AB25" s="1033"/>
      <c r="AC25" s="1033"/>
      <c r="AD25" s="1033"/>
      <c r="AE25" s="1033"/>
      <c r="AF25" s="1033"/>
      <c r="AG25" s="1033"/>
      <c r="AH25" s="1033"/>
      <c r="AI25" s="1033"/>
    </row>
    <row r="26" spans="1:35" s="111" customFormat="1" ht="0.2" customHeight="1">
      <c r="A26" s="1033">
        <v>1</v>
      </c>
      <c r="B26" s="1033"/>
      <c r="C26" s="1033"/>
      <c r="D26" s="1033"/>
      <c r="E26" s="1033"/>
      <c r="F26" s="1033">
        <v>2031</v>
      </c>
      <c r="G26" s="1033" t="b">
        <v>0</v>
      </c>
      <c r="H26" s="1033"/>
      <c r="I26" s="1033"/>
      <c r="J26" s="1033"/>
      <c r="K26" s="1033"/>
      <c r="L26" s="1151" t="s">
        <v>2604</v>
      </c>
      <c r="M26" s="1152">
        <v>21533.43</v>
      </c>
      <c r="N26" s="1153">
        <v>0</v>
      </c>
      <c r="O26" s="1152"/>
      <c r="P26" s="1153">
        <v>0</v>
      </c>
      <c r="Q26" s="1153">
        <v>0</v>
      </c>
      <c r="R26" s="1033"/>
      <c r="S26" s="1033"/>
      <c r="T26" s="1033"/>
      <c r="U26" s="1033"/>
      <c r="V26" s="1033"/>
      <c r="W26" s="1033"/>
      <c r="X26" s="1033"/>
      <c r="Y26" s="1033"/>
      <c r="Z26" s="1033"/>
      <c r="AA26" s="1033"/>
      <c r="AB26" s="1033"/>
      <c r="AC26" s="1033"/>
      <c r="AD26" s="1033"/>
      <c r="AE26" s="1033"/>
      <c r="AF26" s="1033"/>
      <c r="AG26" s="1033"/>
      <c r="AH26" s="1033"/>
      <c r="AI26" s="1033"/>
    </row>
    <row r="27" spans="1:35" s="111" customFormat="1" ht="0.2" customHeight="1">
      <c r="A27" s="1033">
        <v>1</v>
      </c>
      <c r="B27" s="1033"/>
      <c r="C27" s="1033"/>
      <c r="D27" s="1033"/>
      <c r="E27" s="1033"/>
      <c r="F27" s="1033">
        <v>2032</v>
      </c>
      <c r="G27" s="1033" t="b">
        <v>0</v>
      </c>
      <c r="H27" s="1033"/>
      <c r="I27" s="1033"/>
      <c r="J27" s="1033"/>
      <c r="K27" s="1033"/>
      <c r="L27" s="1151" t="s">
        <v>2605</v>
      </c>
      <c r="M27" s="1152">
        <v>21533.43</v>
      </c>
      <c r="N27" s="1153">
        <v>0</v>
      </c>
      <c r="O27" s="1152"/>
      <c r="P27" s="1153">
        <v>0</v>
      </c>
      <c r="Q27" s="1153">
        <v>0</v>
      </c>
      <c r="R27" s="1033"/>
      <c r="S27" s="1033"/>
      <c r="T27" s="1033"/>
      <c r="U27" s="1033"/>
      <c r="V27" s="1033"/>
      <c r="W27" s="1033"/>
      <c r="X27" s="1033"/>
      <c r="Y27" s="1033"/>
      <c r="Z27" s="1033"/>
      <c r="AA27" s="1033"/>
      <c r="AB27" s="1033"/>
      <c r="AC27" s="1033"/>
      <c r="AD27" s="1033"/>
      <c r="AE27" s="1033"/>
      <c r="AF27" s="1033"/>
      <c r="AG27" s="1033"/>
      <c r="AH27" s="1033"/>
      <c r="AI27" s="1033"/>
    </row>
    <row r="28" spans="1:35">
      <c r="A28" s="1057"/>
      <c r="B28" s="1057"/>
      <c r="C28" s="1057"/>
      <c r="D28" s="1057"/>
      <c r="E28" s="1057"/>
      <c r="F28" s="1057"/>
      <c r="G28" s="1057"/>
      <c r="H28" s="1057"/>
      <c r="I28" s="1057"/>
      <c r="J28" s="1057"/>
      <c r="K28" s="1057"/>
      <c r="L28" s="1103"/>
      <c r="M28" s="1057"/>
      <c r="N28" s="1057"/>
      <c r="O28" s="1057"/>
      <c r="P28" s="1057"/>
      <c r="Q28" s="1057"/>
      <c r="R28" s="1057"/>
      <c r="S28" s="1057"/>
      <c r="T28" s="1057"/>
      <c r="U28" s="1057"/>
      <c r="V28" s="1057"/>
      <c r="W28" s="1057"/>
      <c r="X28" s="1057"/>
      <c r="Y28" s="1057"/>
      <c r="Z28" s="1057"/>
      <c r="AA28" s="1057"/>
      <c r="AB28" s="1057"/>
      <c r="AC28" s="1057"/>
      <c r="AD28" s="1057"/>
      <c r="AE28" s="1057"/>
      <c r="AF28" s="1057"/>
      <c r="AG28" s="1057"/>
      <c r="AH28" s="1057"/>
      <c r="AI28" s="1057"/>
    </row>
    <row r="29" spans="1:35" ht="15" customHeight="1">
      <c r="A29" s="1057"/>
      <c r="B29" s="1057"/>
      <c r="C29" s="1057"/>
      <c r="D29" s="1057"/>
      <c r="E29" s="1057"/>
      <c r="F29" s="1057"/>
      <c r="G29" s="1057"/>
      <c r="H29" s="1057"/>
      <c r="I29" s="1057"/>
      <c r="J29" s="1057"/>
      <c r="K29" s="1057"/>
      <c r="L29" s="1154" t="s">
        <v>1402</v>
      </c>
      <c r="M29" s="1154"/>
      <c r="N29" s="1154"/>
      <c r="O29" s="1154"/>
      <c r="P29" s="1154"/>
      <c r="Q29" s="1154"/>
      <c r="R29" s="1057"/>
      <c r="S29" s="1057"/>
      <c r="T29" s="1057"/>
      <c r="U29" s="1057"/>
      <c r="V29" s="1057"/>
      <c r="W29" s="1057"/>
      <c r="X29" s="1057"/>
      <c r="Y29" s="1057"/>
      <c r="Z29" s="1057"/>
      <c r="AA29" s="1057"/>
      <c r="AB29" s="1057"/>
      <c r="AC29" s="1057"/>
      <c r="AD29" s="1057"/>
      <c r="AE29" s="1057"/>
      <c r="AF29" s="1057"/>
      <c r="AG29" s="1057"/>
      <c r="AH29" s="1057"/>
      <c r="AI29" s="1057"/>
    </row>
    <row r="30" spans="1:35" ht="50.25" customHeight="1">
      <c r="A30" s="1057"/>
      <c r="B30" s="1057"/>
      <c r="C30" s="1057"/>
      <c r="D30" s="1057"/>
      <c r="E30" s="1057"/>
      <c r="F30" s="1057"/>
      <c r="G30" s="1057"/>
      <c r="H30" s="1057"/>
      <c r="I30" s="1057"/>
      <c r="J30" s="1057"/>
      <c r="K30" s="724"/>
      <c r="L30" s="1155" t="s">
        <v>2524</v>
      </c>
      <c r="M30" s="1156"/>
      <c r="N30" s="1156"/>
      <c r="O30" s="1156"/>
      <c r="P30" s="1156"/>
      <c r="Q30" s="1156"/>
      <c r="R30" s="1057"/>
      <c r="S30" s="1057"/>
      <c r="T30" s="1057"/>
      <c r="U30" s="1057"/>
      <c r="V30" s="1057"/>
      <c r="W30" s="1057"/>
      <c r="X30" s="1057"/>
      <c r="Y30" s="1057"/>
      <c r="Z30" s="1057"/>
      <c r="AA30" s="1057"/>
      <c r="AB30" s="1057"/>
      <c r="AC30" s="1057"/>
      <c r="AD30" s="1057"/>
      <c r="AE30" s="1057"/>
      <c r="AF30" s="1057"/>
      <c r="AG30" s="1057"/>
      <c r="AH30" s="1057"/>
      <c r="AI30" s="1057"/>
    </row>
  </sheetData>
  <sheetProtection formatColumns="0" formatRows="0" autoFilter="0"/>
  <mergeCells count="7">
    <mergeCell ref="L29:Q29"/>
    <mergeCell ref="L30:Q30"/>
    <mergeCell ref="L14:L16"/>
    <mergeCell ref="M14:M15"/>
    <mergeCell ref="N14:N15"/>
    <mergeCell ref="O14:O15"/>
    <mergeCell ref="P14:Q14"/>
  </mergeCells>
  <dataValidations count="1">
    <dataValidation type="decimal" allowBlank="1" showErrorMessage="1" errorTitle="Ошибка" error="Допускается ввод только неотрицательных чисел!" sqref="O18:O27">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I2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5" width="2.7109375" style="322" hidden="1" customWidth="1"/>
    <col min="6" max="6" width="5.28515625" style="322" hidden="1" customWidth="1"/>
    <col min="7" max="7" width="12" style="322" hidden="1" customWidth="1"/>
    <col min="8" max="10" width="2.7109375" style="322" hidden="1" customWidth="1"/>
    <col min="11" max="11" width="3.7109375" style="322" hidden="1" customWidth="1"/>
    <col min="12" max="12" width="15.42578125" style="321" customWidth="1"/>
    <col min="13" max="20" width="14.85546875" style="322" customWidth="1"/>
    <col min="21" max="16384" width="9.140625" style="322"/>
  </cols>
  <sheetData>
    <row r="1" spans="1:35" hidden="1">
      <c r="A1" s="1057"/>
      <c r="B1" s="1057"/>
      <c r="C1" s="1057"/>
      <c r="D1" s="1057"/>
      <c r="E1" s="1057"/>
      <c r="F1" s="1057"/>
      <c r="G1" s="1057"/>
      <c r="H1" s="1057"/>
      <c r="I1" s="1057"/>
      <c r="J1" s="1057"/>
      <c r="K1" s="1057"/>
      <c r="L1" s="1103"/>
      <c r="M1" s="1057"/>
      <c r="N1" s="1057"/>
      <c r="O1" s="1057"/>
      <c r="P1" s="1057"/>
      <c r="Q1" s="1057"/>
      <c r="R1" s="1057"/>
      <c r="S1" s="1057"/>
      <c r="T1" s="1057"/>
      <c r="U1" s="1057"/>
      <c r="V1" s="1057"/>
      <c r="W1" s="1057"/>
      <c r="X1" s="1057"/>
      <c r="Y1" s="1057"/>
      <c r="Z1" s="1057"/>
      <c r="AA1" s="1057"/>
      <c r="AB1" s="1057"/>
      <c r="AC1" s="1057"/>
      <c r="AD1" s="1057"/>
      <c r="AE1" s="1057"/>
      <c r="AF1" s="1057"/>
      <c r="AG1" s="1057"/>
      <c r="AH1" s="1057"/>
      <c r="AI1" s="1057"/>
    </row>
    <row r="2" spans="1:35" hidden="1">
      <c r="A2" s="1057"/>
      <c r="B2" s="1057"/>
      <c r="C2" s="1057"/>
      <c r="D2" s="1057"/>
      <c r="E2" s="1057"/>
      <c r="F2" s="1057"/>
      <c r="G2" s="1057"/>
      <c r="H2" s="1057"/>
      <c r="I2" s="1057"/>
      <c r="J2" s="1057"/>
      <c r="K2" s="1057"/>
      <c r="L2" s="1103"/>
      <c r="M2" s="1057"/>
      <c r="N2" s="1057"/>
      <c r="O2" s="1057"/>
      <c r="P2" s="1057"/>
      <c r="Q2" s="1057"/>
      <c r="R2" s="1057"/>
      <c r="S2" s="1057"/>
      <c r="T2" s="1057"/>
      <c r="U2" s="1057"/>
      <c r="V2" s="1057"/>
      <c r="W2" s="1057"/>
      <c r="X2" s="1057"/>
      <c r="Y2" s="1057"/>
      <c r="Z2" s="1057"/>
      <c r="AA2" s="1057"/>
      <c r="AB2" s="1057"/>
      <c r="AC2" s="1057"/>
      <c r="AD2" s="1057"/>
      <c r="AE2" s="1057"/>
      <c r="AF2" s="1057"/>
      <c r="AG2" s="1057"/>
      <c r="AH2" s="1057"/>
      <c r="AI2" s="1057"/>
    </row>
    <row r="3" spans="1:35" hidden="1">
      <c r="A3" s="1057"/>
      <c r="B3" s="1057"/>
      <c r="C3" s="1057"/>
      <c r="D3" s="1057"/>
      <c r="E3" s="1057"/>
      <c r="F3" s="1057"/>
      <c r="G3" s="1057"/>
      <c r="H3" s="1057"/>
      <c r="I3" s="1057"/>
      <c r="J3" s="1057"/>
      <c r="K3" s="1057"/>
      <c r="L3" s="1103"/>
      <c r="M3" s="1057"/>
      <c r="N3" s="1057"/>
      <c r="O3" s="1057"/>
      <c r="P3" s="1057"/>
      <c r="Q3" s="1057"/>
      <c r="R3" s="1057"/>
      <c r="S3" s="1057"/>
      <c r="T3" s="1057"/>
      <c r="U3" s="1057"/>
      <c r="V3" s="1057"/>
      <c r="W3" s="1057"/>
      <c r="X3" s="1057"/>
      <c r="Y3" s="1057"/>
      <c r="Z3" s="1057"/>
      <c r="AA3" s="1057"/>
      <c r="AB3" s="1057"/>
      <c r="AC3" s="1057"/>
      <c r="AD3" s="1057"/>
      <c r="AE3" s="1057"/>
      <c r="AF3" s="1057"/>
      <c r="AG3" s="1057"/>
      <c r="AH3" s="1057"/>
      <c r="AI3" s="1057"/>
    </row>
    <row r="4" spans="1:35" hidden="1">
      <c r="A4" s="1057"/>
      <c r="B4" s="1057"/>
      <c r="C4" s="1057"/>
      <c r="D4" s="1057"/>
      <c r="E4" s="1057"/>
      <c r="F4" s="1057"/>
      <c r="G4" s="1057"/>
      <c r="H4" s="1057"/>
      <c r="I4" s="1057"/>
      <c r="J4" s="1057"/>
      <c r="K4" s="1057"/>
      <c r="L4" s="1103"/>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row>
    <row r="5" spans="1:35" hidden="1">
      <c r="A5" s="1057"/>
      <c r="B5" s="1057"/>
      <c r="C5" s="1057"/>
      <c r="D5" s="1057"/>
      <c r="E5" s="1057"/>
      <c r="F5" s="1057"/>
      <c r="G5" s="1057"/>
      <c r="H5" s="1057"/>
      <c r="I5" s="1057"/>
      <c r="J5" s="1057"/>
      <c r="K5" s="1057"/>
      <c r="L5" s="1103"/>
      <c r="M5" s="1057"/>
      <c r="N5" s="1057"/>
      <c r="O5" s="1057"/>
      <c r="P5" s="1057"/>
      <c r="Q5" s="1057"/>
      <c r="R5" s="1057"/>
      <c r="S5" s="1057"/>
      <c r="T5" s="1057"/>
      <c r="U5" s="1057"/>
      <c r="V5" s="1057"/>
      <c r="W5" s="1057"/>
      <c r="X5" s="1057"/>
      <c r="Y5" s="1057"/>
      <c r="Z5" s="1057"/>
      <c r="AA5" s="1057"/>
      <c r="AB5" s="1057"/>
      <c r="AC5" s="1057"/>
      <c r="AD5" s="1057"/>
      <c r="AE5" s="1057"/>
      <c r="AF5" s="1057"/>
      <c r="AG5" s="1057"/>
      <c r="AH5" s="1057"/>
      <c r="AI5" s="1057"/>
    </row>
    <row r="6" spans="1:35" hidden="1">
      <c r="A6" s="1057"/>
      <c r="B6" s="1057"/>
      <c r="C6" s="1057"/>
      <c r="D6" s="1057"/>
      <c r="E6" s="1057"/>
      <c r="F6" s="1057"/>
      <c r="G6" s="1057"/>
      <c r="H6" s="1057"/>
      <c r="I6" s="1057"/>
      <c r="J6" s="1057"/>
      <c r="K6" s="1057"/>
      <c r="L6" s="1103"/>
      <c r="M6" s="1057"/>
      <c r="N6" s="1057"/>
      <c r="O6" s="1057"/>
      <c r="P6" s="1057"/>
      <c r="Q6" s="1057"/>
      <c r="R6" s="1057"/>
      <c r="S6" s="1057"/>
      <c r="T6" s="1057"/>
      <c r="U6" s="1057"/>
      <c r="V6" s="1057"/>
      <c r="W6" s="1057"/>
      <c r="X6" s="1057"/>
      <c r="Y6" s="1057"/>
      <c r="Z6" s="1057"/>
      <c r="AA6" s="1057"/>
      <c r="AB6" s="1057"/>
      <c r="AC6" s="1057"/>
      <c r="AD6" s="1057"/>
      <c r="AE6" s="1057"/>
      <c r="AF6" s="1057"/>
      <c r="AG6" s="1057"/>
      <c r="AH6" s="1057"/>
      <c r="AI6" s="1057"/>
    </row>
    <row r="7" spans="1:35" hidden="1">
      <c r="A7" s="1057"/>
      <c r="B7" s="1057"/>
      <c r="C7" s="1057"/>
      <c r="D7" s="1057"/>
      <c r="E7" s="1057"/>
      <c r="F7" s="1057"/>
      <c r="G7" s="1057"/>
      <c r="H7" s="1057"/>
      <c r="I7" s="1057"/>
      <c r="J7" s="1057"/>
      <c r="K7" s="1057"/>
      <c r="L7" s="1103"/>
      <c r="M7" s="1057"/>
      <c r="N7" s="1057"/>
      <c r="O7" s="1057"/>
      <c r="P7" s="1057"/>
      <c r="Q7" s="1057"/>
      <c r="R7" s="1057"/>
      <c r="S7" s="1057"/>
      <c r="T7" s="1057"/>
      <c r="U7" s="1057"/>
      <c r="V7" s="1057"/>
      <c r="W7" s="1057"/>
      <c r="X7" s="1057"/>
      <c r="Y7" s="1057"/>
      <c r="Z7" s="1057"/>
      <c r="AA7" s="1057"/>
      <c r="AB7" s="1057"/>
      <c r="AC7" s="1057"/>
      <c r="AD7" s="1057"/>
      <c r="AE7" s="1057"/>
      <c r="AF7" s="1057"/>
      <c r="AG7" s="1057"/>
      <c r="AH7" s="1057"/>
      <c r="AI7" s="1057"/>
    </row>
    <row r="8" spans="1:35" hidden="1">
      <c r="A8" s="1057"/>
      <c r="B8" s="1057"/>
      <c r="C8" s="1057"/>
      <c r="D8" s="1057"/>
      <c r="E8" s="1057"/>
      <c r="F8" s="1057"/>
      <c r="G8" s="1057"/>
      <c r="H8" s="1057"/>
      <c r="I8" s="1057"/>
      <c r="J8" s="1057"/>
      <c r="K8" s="1057"/>
      <c r="L8" s="1103"/>
      <c r="M8" s="1057"/>
      <c r="N8" s="1057"/>
      <c r="O8" s="1057"/>
      <c r="P8" s="1057"/>
      <c r="Q8" s="1057"/>
      <c r="R8" s="1057"/>
      <c r="S8" s="1057"/>
      <c r="T8" s="1057"/>
      <c r="U8" s="1057"/>
      <c r="V8" s="1057"/>
      <c r="W8" s="1057"/>
      <c r="X8" s="1057"/>
      <c r="Y8" s="1057"/>
      <c r="Z8" s="1057"/>
      <c r="AA8" s="1057"/>
      <c r="AB8" s="1057"/>
      <c r="AC8" s="1057"/>
      <c r="AD8" s="1057"/>
      <c r="AE8" s="1057"/>
      <c r="AF8" s="1057"/>
      <c r="AG8" s="1057"/>
      <c r="AH8" s="1057"/>
      <c r="AI8" s="1057"/>
    </row>
    <row r="9" spans="1:35" hidden="1">
      <c r="A9" s="1057"/>
      <c r="B9" s="1057"/>
      <c r="C9" s="1057"/>
      <c r="D9" s="1057"/>
      <c r="E9" s="1057"/>
      <c r="F9" s="1057"/>
      <c r="G9" s="1057"/>
      <c r="H9" s="1057"/>
      <c r="I9" s="1057"/>
      <c r="J9" s="1057"/>
      <c r="K9" s="1057"/>
      <c r="L9" s="1103"/>
      <c r="M9" s="1057"/>
      <c r="N9" s="1057"/>
      <c r="O9" s="1057"/>
      <c r="P9" s="1057"/>
      <c r="Q9" s="1057"/>
      <c r="R9" s="1057"/>
      <c r="S9" s="1057"/>
      <c r="T9" s="1057"/>
      <c r="U9" s="1057"/>
      <c r="V9" s="1057"/>
      <c r="W9" s="1057"/>
      <c r="X9" s="1057"/>
      <c r="Y9" s="1057"/>
      <c r="Z9" s="1057"/>
      <c r="AA9" s="1057"/>
      <c r="AB9" s="1057"/>
      <c r="AC9" s="1057"/>
      <c r="AD9" s="1057"/>
      <c r="AE9" s="1057"/>
      <c r="AF9" s="1057"/>
      <c r="AG9" s="1057"/>
      <c r="AH9" s="1057"/>
      <c r="AI9" s="1057"/>
    </row>
    <row r="10" spans="1:35" hidden="1">
      <c r="A10" s="1057"/>
      <c r="B10" s="1057"/>
      <c r="C10" s="1057"/>
      <c r="D10" s="1057"/>
      <c r="E10" s="1057"/>
      <c r="F10" s="1057"/>
      <c r="G10" s="1057"/>
      <c r="H10" s="1057"/>
      <c r="I10" s="1057"/>
      <c r="J10" s="1057"/>
      <c r="K10" s="1057"/>
      <c r="L10" s="1103"/>
      <c r="M10" s="1057"/>
      <c r="N10" s="1057"/>
      <c r="O10" s="1057"/>
      <c r="P10" s="1057"/>
      <c r="Q10" s="1057"/>
      <c r="R10" s="1057"/>
      <c r="S10" s="1057"/>
      <c r="T10" s="1057"/>
      <c r="U10" s="1057"/>
      <c r="V10" s="1057"/>
      <c r="W10" s="1057"/>
      <c r="X10" s="1057"/>
      <c r="Y10" s="1057"/>
      <c r="Z10" s="1057"/>
      <c r="AA10" s="1057"/>
      <c r="AB10" s="1057"/>
      <c r="AC10" s="1057"/>
      <c r="AD10" s="1057"/>
      <c r="AE10" s="1057"/>
      <c r="AF10" s="1057"/>
      <c r="AG10" s="1057"/>
      <c r="AH10" s="1057"/>
      <c r="AI10" s="1057"/>
    </row>
    <row r="11" spans="1:35" ht="15" hidden="1" customHeight="1">
      <c r="A11" s="1057"/>
      <c r="B11" s="1057"/>
      <c r="C11" s="1057"/>
      <c r="D11" s="1057"/>
      <c r="E11" s="1057"/>
      <c r="F11" s="1057"/>
      <c r="G11" s="1057"/>
      <c r="H11" s="1057"/>
      <c r="I11" s="1057"/>
      <c r="J11" s="1057"/>
      <c r="K11" s="1057"/>
      <c r="L11" s="1105"/>
      <c r="M11" s="1057"/>
      <c r="N11" s="1057"/>
      <c r="O11" s="1057"/>
      <c r="P11" s="1057"/>
      <c r="Q11" s="1057"/>
      <c r="R11" s="1057"/>
      <c r="S11" s="1057"/>
      <c r="T11" s="1057"/>
      <c r="U11" s="1057"/>
      <c r="V11" s="1057"/>
      <c r="W11" s="1057"/>
      <c r="X11" s="1057"/>
      <c r="Y11" s="1057"/>
      <c r="Z11" s="1057"/>
      <c r="AA11" s="1057"/>
      <c r="AB11" s="1057"/>
      <c r="AC11" s="1057"/>
      <c r="AD11" s="1057"/>
      <c r="AE11" s="1057"/>
      <c r="AF11" s="1057"/>
      <c r="AG11" s="1057"/>
      <c r="AH11" s="1057"/>
      <c r="AI11" s="1057"/>
    </row>
    <row r="12" spans="1:35" s="323" customFormat="1" ht="24" customHeight="1">
      <c r="A12" s="1106"/>
      <c r="B12" s="1106"/>
      <c r="C12" s="1106"/>
      <c r="D12" s="1106"/>
      <c r="E12" s="1106"/>
      <c r="F12" s="1106"/>
      <c r="G12" s="1106"/>
      <c r="H12" s="1106"/>
      <c r="I12" s="1106"/>
      <c r="J12" s="1106"/>
      <c r="K12" s="1106"/>
      <c r="L12" s="484" t="s">
        <v>1292</v>
      </c>
      <c r="M12" s="284"/>
      <c r="N12" s="284"/>
      <c r="O12" s="284"/>
      <c r="P12" s="284"/>
      <c r="Q12" s="284"/>
      <c r="R12" s="1106"/>
      <c r="S12" s="1106"/>
      <c r="T12" s="1106"/>
      <c r="U12" s="1106"/>
      <c r="V12" s="1106"/>
      <c r="W12" s="1106"/>
      <c r="X12" s="1106"/>
      <c r="Y12" s="1106"/>
      <c r="Z12" s="1106"/>
      <c r="AA12" s="1106"/>
      <c r="AB12" s="1106"/>
      <c r="AC12" s="1106"/>
      <c r="AD12" s="1106"/>
      <c r="AE12" s="1106"/>
      <c r="AF12" s="1106"/>
      <c r="AG12" s="1106"/>
      <c r="AH12" s="1106"/>
      <c r="AI12" s="1106"/>
    </row>
    <row r="13" spans="1:35">
      <c r="A13" s="1057"/>
      <c r="B13" s="1057"/>
      <c r="C13" s="1057"/>
      <c r="D13" s="1057"/>
      <c r="E13" s="1057"/>
      <c r="F13" s="1057"/>
      <c r="G13" s="1057"/>
      <c r="H13" s="1057"/>
      <c r="I13" s="1057"/>
      <c r="J13" s="1057"/>
      <c r="K13" s="1057"/>
      <c r="L13" s="1104"/>
      <c r="M13" s="1104"/>
      <c r="N13" s="1057"/>
      <c r="O13" s="1057"/>
      <c r="P13" s="1057"/>
      <c r="Q13" s="1057"/>
      <c r="R13" s="1057"/>
      <c r="S13" s="1057"/>
      <c r="T13" s="1057"/>
      <c r="U13" s="1057"/>
      <c r="V13" s="1057"/>
      <c r="W13" s="1057"/>
      <c r="X13" s="1057"/>
      <c r="Y13" s="1057"/>
      <c r="Z13" s="1057"/>
      <c r="AA13" s="1057"/>
      <c r="AB13" s="1057"/>
      <c r="AC13" s="1057"/>
      <c r="AD13" s="1057"/>
      <c r="AE13" s="1057"/>
      <c r="AF13" s="1057"/>
      <c r="AG13" s="1057"/>
      <c r="AH13" s="1057"/>
      <c r="AI13" s="1104"/>
    </row>
    <row r="14" spans="1:35" s="324" customFormat="1" ht="39" customHeight="1">
      <c r="A14" s="1104"/>
      <c r="B14" s="1104"/>
      <c r="C14" s="1104"/>
      <c r="D14" s="1104"/>
      <c r="E14" s="1104"/>
      <c r="F14" s="1104"/>
      <c r="G14" s="1104"/>
      <c r="H14" s="1104"/>
      <c r="I14" s="1104"/>
      <c r="J14" s="1104"/>
      <c r="K14" s="1104"/>
      <c r="L14" s="1145" t="s">
        <v>14</v>
      </c>
      <c r="M14" s="1146" t="s">
        <v>704</v>
      </c>
      <c r="N14" s="1146" t="s">
        <v>307</v>
      </c>
      <c r="O14" s="1146" t="s">
        <v>705</v>
      </c>
      <c r="P14" s="1146" t="s">
        <v>706</v>
      </c>
      <c r="Q14" s="1146"/>
      <c r="R14" s="1104"/>
      <c r="S14" s="1104"/>
      <c r="T14" s="1104"/>
      <c r="U14" s="1104"/>
      <c r="V14" s="1104"/>
      <c r="W14" s="1104"/>
      <c r="X14" s="1104"/>
      <c r="Y14" s="1104"/>
      <c r="Z14" s="1104"/>
      <c r="AA14" s="1104"/>
      <c r="AB14" s="1104"/>
      <c r="AC14" s="1104"/>
      <c r="AD14" s="1104"/>
      <c r="AE14" s="1104"/>
      <c r="AF14" s="1104"/>
      <c r="AG14" s="1104"/>
      <c r="AH14" s="1104"/>
      <c r="AI14" s="1104"/>
    </row>
    <row r="15" spans="1:35" s="324" customFormat="1" ht="36" customHeight="1">
      <c r="A15" s="1104"/>
      <c r="B15" s="1104"/>
      <c r="C15" s="1104"/>
      <c r="D15" s="1104"/>
      <c r="E15" s="1104"/>
      <c r="F15" s="1104"/>
      <c r="G15" s="1104"/>
      <c r="H15" s="1104"/>
      <c r="I15" s="1104"/>
      <c r="J15" s="1104"/>
      <c r="K15" s="1104"/>
      <c r="L15" s="1147"/>
      <c r="M15" s="1146"/>
      <c r="N15" s="1146"/>
      <c r="O15" s="1146"/>
      <c r="P15" s="1148" t="s">
        <v>340</v>
      </c>
      <c r="Q15" s="1148" t="s">
        <v>707</v>
      </c>
      <c r="R15" s="1104"/>
      <c r="S15" s="1104"/>
      <c r="T15" s="1104"/>
      <c r="U15" s="1104"/>
      <c r="V15" s="1104"/>
      <c r="W15" s="1104"/>
      <c r="X15" s="1104"/>
      <c r="Y15" s="1104"/>
      <c r="Z15" s="1104"/>
      <c r="AA15" s="1104"/>
      <c r="AB15" s="1104"/>
      <c r="AC15" s="1104"/>
      <c r="AD15" s="1104"/>
      <c r="AE15" s="1104"/>
      <c r="AF15" s="1104"/>
      <c r="AG15" s="1104"/>
      <c r="AH15" s="1104"/>
      <c r="AI15" s="1104"/>
    </row>
    <row r="16" spans="1:35" s="325" customFormat="1">
      <c r="A16" s="1149"/>
      <c r="B16" s="1149"/>
      <c r="C16" s="1149"/>
      <c r="D16" s="1149"/>
      <c r="E16" s="1149"/>
      <c r="F16" s="1149"/>
      <c r="G16" s="1149"/>
      <c r="H16" s="1149"/>
      <c r="I16" s="1149"/>
      <c r="J16" s="1149"/>
      <c r="K16" s="1149"/>
      <c r="L16" s="1150"/>
      <c r="M16" s="1148" t="s">
        <v>370</v>
      </c>
      <c r="N16" s="1148" t="s">
        <v>145</v>
      </c>
      <c r="O16" s="975" t="s">
        <v>145</v>
      </c>
      <c r="P16" s="1148" t="s">
        <v>145</v>
      </c>
      <c r="Q16" s="1148" t="s">
        <v>708</v>
      </c>
      <c r="R16" s="1149"/>
      <c r="S16" s="1149"/>
      <c r="T16" s="1149"/>
      <c r="U16" s="1149"/>
      <c r="V16" s="1149"/>
      <c r="W16" s="1149"/>
      <c r="X16" s="1149"/>
      <c r="Y16" s="1149"/>
      <c r="Z16" s="1149"/>
      <c r="AA16" s="1149"/>
      <c r="AB16" s="1149"/>
      <c r="AC16" s="1149"/>
      <c r="AD16" s="1149"/>
      <c r="AE16" s="1149"/>
      <c r="AF16" s="1149"/>
      <c r="AG16" s="1149"/>
      <c r="AH16" s="1149"/>
      <c r="AI16" s="1149"/>
    </row>
    <row r="17" spans="1:35" s="102" customFormat="1">
      <c r="A17" s="861" t="s">
        <v>18</v>
      </c>
      <c r="B17" s="965"/>
      <c r="C17" s="965"/>
      <c r="D17" s="965"/>
      <c r="E17" s="965"/>
      <c r="F17" s="965"/>
      <c r="G17" s="965"/>
      <c r="H17" s="965"/>
      <c r="I17" s="965"/>
      <c r="J17" s="965"/>
      <c r="K17" s="965"/>
      <c r="L17" s="982" t="s">
        <v>2545</v>
      </c>
      <c r="M17" s="983"/>
      <c r="N17" s="983"/>
      <c r="O17" s="983"/>
      <c r="P17" s="983"/>
      <c r="Q17" s="983"/>
      <c r="R17" s="965"/>
      <c r="S17" s="965"/>
      <c r="T17" s="965"/>
      <c r="U17" s="965"/>
      <c r="V17" s="965"/>
      <c r="W17" s="965"/>
      <c r="X17" s="965"/>
      <c r="Y17" s="965"/>
      <c r="Z17" s="965"/>
      <c r="AA17" s="965"/>
      <c r="AB17" s="965"/>
      <c r="AC17" s="965"/>
      <c r="AD17" s="965"/>
      <c r="AE17" s="965"/>
      <c r="AF17" s="965"/>
      <c r="AG17" s="965"/>
      <c r="AH17" s="965"/>
      <c r="AI17" s="965"/>
    </row>
    <row r="18" spans="1:35">
      <c r="A18" s="1057"/>
      <c r="B18" s="1057"/>
      <c r="C18" s="1057"/>
      <c r="D18" s="1057"/>
      <c r="E18" s="1057"/>
      <c r="F18" s="1057"/>
      <c r="G18" s="1057"/>
      <c r="H18" s="1057"/>
      <c r="I18" s="1057"/>
      <c r="J18" s="1057"/>
      <c r="K18" s="1057"/>
      <c r="L18" s="1103"/>
      <c r="M18" s="1057"/>
      <c r="N18" s="1057"/>
      <c r="O18" s="1057"/>
      <c r="P18" s="1057"/>
      <c r="Q18" s="1057"/>
      <c r="R18" s="1057"/>
      <c r="S18" s="1057"/>
      <c r="T18" s="1057"/>
      <c r="U18" s="1057"/>
      <c r="V18" s="1057"/>
      <c r="W18" s="1057"/>
      <c r="X18" s="1057"/>
      <c r="Y18" s="1057"/>
      <c r="Z18" s="1057"/>
      <c r="AA18" s="1057"/>
      <c r="AB18" s="1057"/>
      <c r="AC18" s="1057"/>
      <c r="AD18" s="1057"/>
      <c r="AE18" s="1057"/>
      <c r="AF18" s="1057"/>
      <c r="AG18" s="1057"/>
      <c r="AH18" s="1057"/>
      <c r="AI18" s="1057"/>
    </row>
    <row r="19" spans="1:35" ht="15" customHeight="1">
      <c r="A19" s="1057"/>
      <c r="B19" s="1057"/>
      <c r="C19" s="1057"/>
      <c r="D19" s="1057"/>
      <c r="E19" s="1057"/>
      <c r="F19" s="1057"/>
      <c r="G19" s="1057"/>
      <c r="H19" s="1057"/>
      <c r="I19" s="1057"/>
      <c r="J19" s="1057"/>
      <c r="K19" s="1057"/>
      <c r="L19" s="1154" t="s">
        <v>1402</v>
      </c>
      <c r="M19" s="1154"/>
      <c r="N19" s="1154"/>
      <c r="O19" s="1154"/>
      <c r="P19" s="1154"/>
      <c r="Q19" s="1154"/>
      <c r="R19" s="1057"/>
      <c r="S19" s="1057"/>
      <c r="T19" s="1057"/>
      <c r="U19" s="1057"/>
      <c r="V19" s="1057"/>
      <c r="W19" s="1057"/>
      <c r="X19" s="1057"/>
      <c r="Y19" s="1057"/>
      <c r="Z19" s="1057"/>
      <c r="AA19" s="1057"/>
      <c r="AB19" s="1057"/>
      <c r="AC19" s="1057"/>
      <c r="AD19" s="1057"/>
      <c r="AE19" s="1057"/>
      <c r="AF19" s="1057"/>
      <c r="AG19" s="1057"/>
      <c r="AH19" s="1057"/>
      <c r="AI19" s="1057"/>
    </row>
    <row r="20" spans="1:35" ht="15" customHeight="1">
      <c r="A20" s="1057"/>
      <c r="B20" s="1057"/>
      <c r="C20" s="1057"/>
      <c r="D20" s="1057"/>
      <c r="E20" s="1057"/>
      <c r="F20" s="1057"/>
      <c r="G20" s="1057"/>
      <c r="H20" s="1057"/>
      <c r="I20" s="1057"/>
      <c r="J20" s="1057"/>
      <c r="K20" s="724"/>
      <c r="L20" s="1156"/>
      <c r="M20" s="1156"/>
      <c r="N20" s="1156"/>
      <c r="O20" s="1156"/>
      <c r="P20" s="1156"/>
      <c r="Q20" s="1156"/>
      <c r="R20" s="1057"/>
      <c r="S20" s="1057"/>
      <c r="T20" s="1057"/>
      <c r="U20" s="1057"/>
      <c r="V20" s="1057"/>
      <c r="W20" s="1057"/>
      <c r="X20" s="1057"/>
      <c r="Y20" s="1057"/>
      <c r="Z20" s="1057"/>
      <c r="AA20" s="1057"/>
      <c r="AB20" s="1057"/>
      <c r="AC20" s="1057"/>
      <c r="AD20" s="1057"/>
      <c r="AE20" s="1057"/>
      <c r="AF20" s="1057"/>
      <c r="AG20" s="1057"/>
      <c r="AH20" s="1057"/>
      <c r="AI20" s="1057"/>
    </row>
  </sheetData>
  <sheetProtection formatColumns="0" formatRows="0" autoFilter="0"/>
  <mergeCells count="7">
    <mergeCell ref="L20:Q20"/>
    <mergeCell ref="L19:Q19"/>
    <mergeCell ref="L14:L16"/>
    <mergeCell ref="M14:M15"/>
    <mergeCell ref="N14:N15"/>
    <mergeCell ref="O14:O15"/>
    <mergeCell ref="P14:Q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21" customWidth="1"/>
    <col min="2" max="2" width="6.7109375" style="121" customWidth="1"/>
    <col min="3" max="3" width="40.7109375" style="121" customWidth="1"/>
    <col min="4" max="6" width="3.7109375" style="121" customWidth="1"/>
    <col min="7" max="7" width="23.7109375" style="121" customWidth="1"/>
    <col min="8" max="9" width="3.7109375" style="121" customWidth="1"/>
    <col min="10" max="10" width="4.7109375" style="121" customWidth="1"/>
    <col min="11" max="11" width="40.7109375" style="121" customWidth="1"/>
    <col min="12" max="12" width="4.7109375" style="121" customWidth="1"/>
    <col min="13" max="13" width="18.5703125" style="121" bestFit="1" customWidth="1"/>
    <col min="14" max="15" width="4.7109375" style="121" customWidth="1"/>
    <col min="16" max="16" width="5.7109375" style="121" customWidth="1"/>
    <col min="17" max="18" width="12.5703125" style="121" customWidth="1"/>
    <col min="19" max="19" width="14.5703125" style="121" customWidth="1"/>
    <col min="20" max="20" width="18.85546875" style="121" customWidth="1"/>
    <col min="21" max="21" width="19.28515625" style="121" customWidth="1"/>
    <col min="22" max="22" width="39.140625" style="121" customWidth="1"/>
    <col min="23" max="23" width="41.7109375" style="121" customWidth="1"/>
    <col min="24" max="24" width="54.85546875" style="121" customWidth="1"/>
    <col min="25" max="26" width="22.85546875" style="121" customWidth="1"/>
    <col min="27" max="16384" width="9.140625" style="121"/>
  </cols>
  <sheetData>
    <row r="1" spans="1:26" ht="12" customHeight="1">
      <c r="A1" s="117" t="s">
        <v>28</v>
      </c>
      <c r="B1" s="118" t="s">
        <v>713</v>
      </c>
      <c r="C1" s="117" t="s">
        <v>28</v>
      </c>
      <c r="D1" s="117"/>
      <c r="E1" s="117"/>
      <c r="F1" s="117"/>
      <c r="G1" s="119" t="s">
        <v>714</v>
      </c>
      <c r="H1" s="117"/>
      <c r="I1" s="117"/>
      <c r="J1" s="117"/>
      <c r="K1" s="117"/>
      <c r="L1" s="120"/>
      <c r="M1" s="119" t="s">
        <v>715</v>
      </c>
      <c r="N1" s="117"/>
      <c r="O1" s="120"/>
      <c r="P1" s="117"/>
      <c r="Q1" s="119" t="s">
        <v>716</v>
      </c>
      <c r="R1" s="119" t="s">
        <v>717</v>
      </c>
      <c r="S1" s="119" t="s">
        <v>926</v>
      </c>
      <c r="T1" s="119" t="s">
        <v>1022</v>
      </c>
      <c r="U1" s="119" t="s">
        <v>1025</v>
      </c>
      <c r="V1" s="140" t="s">
        <v>1370</v>
      </c>
      <c r="W1" s="140" t="s">
        <v>1130</v>
      </c>
      <c r="X1" s="140" t="s">
        <v>1043</v>
      </c>
      <c r="Y1" s="140" t="s">
        <v>1066</v>
      </c>
      <c r="Z1" s="140" t="s">
        <v>1251</v>
      </c>
    </row>
    <row r="2" spans="1:26" ht="12" customHeight="1">
      <c r="A2" s="117" t="s">
        <v>29</v>
      </c>
      <c r="B2" s="118" t="s">
        <v>718</v>
      </c>
      <c r="C2" s="117" t="s">
        <v>29</v>
      </c>
      <c r="D2" s="117"/>
      <c r="E2" s="117"/>
      <c r="F2" s="117"/>
      <c r="G2" s="122" t="s">
        <v>20</v>
      </c>
      <c r="H2" s="117"/>
      <c r="I2" s="117"/>
      <c r="J2" s="117"/>
      <c r="K2" s="117"/>
      <c r="L2" s="117"/>
      <c r="M2" s="123" t="s">
        <v>719</v>
      </c>
      <c r="N2" s="117"/>
      <c r="O2" s="117"/>
      <c r="P2" s="117"/>
      <c r="Q2" s="122">
        <v>2012</v>
      </c>
      <c r="R2" s="122" t="s">
        <v>0</v>
      </c>
      <c r="S2" s="122">
        <v>3</v>
      </c>
      <c r="T2" s="137" t="s">
        <v>1023</v>
      </c>
      <c r="U2" s="137" t="s">
        <v>1026</v>
      </c>
      <c r="V2" s="160" t="s">
        <v>1028</v>
      </c>
      <c r="W2" s="160" t="s">
        <v>1131</v>
      </c>
      <c r="X2" s="160" t="s">
        <v>1403</v>
      </c>
      <c r="Y2" s="160" t="s">
        <v>1226</v>
      </c>
      <c r="Z2" s="160" t="s">
        <v>1226</v>
      </c>
    </row>
    <row r="3" spans="1:26" ht="12" customHeight="1">
      <c r="A3" s="117" t="s">
        <v>30</v>
      </c>
      <c r="B3" s="118" t="s">
        <v>720</v>
      </c>
      <c r="C3" s="117" t="s">
        <v>30</v>
      </c>
      <c r="D3" s="117"/>
      <c r="E3" s="117"/>
      <c r="F3" s="117"/>
      <c r="G3" s="122" t="s">
        <v>21</v>
      </c>
      <c r="H3" s="117"/>
      <c r="I3" s="117"/>
      <c r="J3" s="117"/>
      <c r="K3" s="117"/>
      <c r="L3" s="117"/>
      <c r="M3" s="117"/>
      <c r="N3" s="117"/>
      <c r="O3" s="117"/>
      <c r="P3" s="117"/>
      <c r="Q3" s="122">
        <v>2013</v>
      </c>
      <c r="R3" s="122" t="s">
        <v>1</v>
      </c>
      <c r="S3" s="122">
        <v>4</v>
      </c>
      <c r="T3" s="137" t="s">
        <v>1024</v>
      </c>
      <c r="U3" s="137" t="s">
        <v>1027</v>
      </c>
      <c r="V3" s="160" t="s">
        <v>1029</v>
      </c>
      <c r="W3" s="160" t="s">
        <v>1132</v>
      </c>
      <c r="X3" s="160" t="s">
        <v>1404</v>
      </c>
      <c r="Y3" s="160" t="s">
        <v>1061</v>
      </c>
      <c r="Z3" s="160" t="s">
        <v>1061</v>
      </c>
    </row>
    <row r="4" spans="1:26" ht="12" customHeight="1">
      <c r="A4" s="117" t="s">
        <v>31</v>
      </c>
      <c r="B4" s="118" t="s">
        <v>721</v>
      </c>
      <c r="C4" s="117" t="s">
        <v>31</v>
      </c>
      <c r="D4" s="117"/>
      <c r="E4" s="117"/>
      <c r="F4" s="117"/>
      <c r="G4" s="117"/>
      <c r="H4" s="117"/>
      <c r="I4" s="117"/>
      <c r="J4" s="117"/>
      <c r="K4" s="117"/>
      <c r="L4" s="117"/>
      <c r="M4" s="119" t="s">
        <v>722</v>
      </c>
      <c r="N4" s="117"/>
      <c r="O4" s="117"/>
      <c r="P4" s="117"/>
      <c r="Q4" s="122">
        <v>2014</v>
      </c>
      <c r="R4" s="122" t="s">
        <v>2</v>
      </c>
      <c r="S4" s="122">
        <v>5</v>
      </c>
      <c r="V4" s="160" t="s">
        <v>1371</v>
      </c>
      <c r="X4" s="160" t="s">
        <v>1405</v>
      </c>
      <c r="Y4" s="160" t="s">
        <v>1062</v>
      </c>
      <c r="Z4" s="160" t="s">
        <v>1062</v>
      </c>
    </row>
    <row r="5" spans="1:26" ht="12" customHeight="1">
      <c r="A5" s="117" t="s">
        <v>32</v>
      </c>
      <c r="B5" s="118" t="s">
        <v>723</v>
      </c>
      <c r="C5" s="117" t="s">
        <v>32</v>
      </c>
      <c r="D5" s="117"/>
      <c r="E5" s="117"/>
      <c r="F5" s="117"/>
      <c r="G5" s="124" t="s">
        <v>724</v>
      </c>
      <c r="H5" s="117"/>
      <c r="I5" s="117"/>
      <c r="J5" s="117"/>
      <c r="K5" s="117"/>
      <c r="L5" s="117"/>
      <c r="M5" s="123">
        <v>1.2</v>
      </c>
      <c r="N5" s="117"/>
      <c r="O5" s="117"/>
      <c r="P5" s="117"/>
      <c r="Q5" s="122">
        <v>2015</v>
      </c>
      <c r="R5" s="122" t="s">
        <v>3</v>
      </c>
      <c r="S5" s="122">
        <v>6</v>
      </c>
      <c r="V5" s="140" t="s">
        <v>1030</v>
      </c>
      <c r="W5" s="140" t="s">
        <v>1133</v>
      </c>
      <c r="X5" s="160" t="s">
        <v>1406</v>
      </c>
      <c r="Y5" s="160" t="s">
        <v>1063</v>
      </c>
      <c r="Z5" s="160" t="s">
        <v>1063</v>
      </c>
    </row>
    <row r="6" spans="1:26" ht="12" customHeight="1">
      <c r="A6" s="117" t="s">
        <v>33</v>
      </c>
      <c r="B6" s="118" t="s">
        <v>725</v>
      </c>
      <c r="C6" s="117" t="s">
        <v>33</v>
      </c>
      <c r="D6" s="117"/>
      <c r="E6" s="117"/>
      <c r="F6" s="117"/>
      <c r="G6" s="124" t="s">
        <v>726</v>
      </c>
      <c r="H6" s="117"/>
      <c r="I6" s="117"/>
      <c r="J6" s="117"/>
      <c r="K6" s="117"/>
      <c r="L6" s="117"/>
      <c r="M6" s="117"/>
      <c r="N6" s="117"/>
      <c r="O6" s="117"/>
      <c r="P6" s="117"/>
      <c r="Q6" s="122">
        <v>2016</v>
      </c>
      <c r="R6" s="122" t="s">
        <v>4</v>
      </c>
      <c r="S6" s="122">
        <v>7</v>
      </c>
      <c r="V6" s="160" t="s">
        <v>1352</v>
      </c>
      <c r="W6" s="338" t="s">
        <v>1134</v>
      </c>
      <c r="X6" s="160" t="s">
        <v>1407</v>
      </c>
      <c r="Y6" s="160" t="s">
        <v>1064</v>
      </c>
      <c r="Z6" s="160" t="s">
        <v>1064</v>
      </c>
    </row>
    <row r="7" spans="1:26" ht="12" customHeight="1">
      <c r="A7" s="117" t="s">
        <v>34</v>
      </c>
      <c r="B7" s="118" t="s">
        <v>727</v>
      </c>
      <c r="C7" s="117" t="s">
        <v>34</v>
      </c>
      <c r="D7" s="117"/>
      <c r="E7" s="117"/>
      <c r="F7" s="117"/>
      <c r="G7" s="125" t="s">
        <v>730</v>
      </c>
      <c r="H7" s="117"/>
      <c r="I7" s="117"/>
      <c r="J7" s="117"/>
      <c r="K7" s="117"/>
      <c r="L7" s="117"/>
      <c r="M7" s="119" t="s">
        <v>728</v>
      </c>
      <c r="N7" s="117"/>
      <c r="O7" s="117"/>
      <c r="P7" s="117"/>
      <c r="Q7" s="122">
        <v>2017</v>
      </c>
      <c r="R7" s="122" t="s">
        <v>5</v>
      </c>
      <c r="S7" s="122">
        <v>8</v>
      </c>
      <c r="V7" s="160" t="s">
        <v>1353</v>
      </c>
      <c r="X7" s="160" t="s">
        <v>1408</v>
      </c>
      <c r="Y7" s="160" t="s">
        <v>1065</v>
      </c>
      <c r="Z7" s="160" t="s">
        <v>1065</v>
      </c>
    </row>
    <row r="8" spans="1:26" ht="12" customHeight="1">
      <c r="A8" s="117" t="s">
        <v>35</v>
      </c>
      <c r="B8" s="118" t="s">
        <v>729</v>
      </c>
      <c r="C8" s="117" t="s">
        <v>35</v>
      </c>
      <c r="D8" s="117"/>
      <c r="E8" s="117"/>
      <c r="F8" s="117"/>
      <c r="G8" s="125" t="s">
        <v>732</v>
      </c>
      <c r="H8" s="117"/>
      <c r="I8" s="117"/>
      <c r="J8" s="117"/>
      <c r="K8" s="117"/>
      <c r="L8" s="117"/>
      <c r="M8" s="123">
        <v>2021</v>
      </c>
      <c r="N8" s="117"/>
      <c r="O8" s="117"/>
      <c r="P8" s="117"/>
      <c r="Q8" s="122">
        <v>2018</v>
      </c>
      <c r="R8" s="122" t="s">
        <v>6</v>
      </c>
      <c r="S8" s="122">
        <v>9</v>
      </c>
      <c r="V8" s="160" t="s">
        <v>1354</v>
      </c>
      <c r="X8" s="160" t="s">
        <v>1409</v>
      </c>
      <c r="Z8" s="160" t="s">
        <v>1252</v>
      </c>
    </row>
    <row r="9" spans="1:26" ht="12" customHeight="1">
      <c r="A9" s="117" t="s">
        <v>36</v>
      </c>
      <c r="B9" s="118" t="s">
        <v>731</v>
      </c>
      <c r="C9" s="117" t="s">
        <v>36</v>
      </c>
      <c r="D9" s="117"/>
      <c r="E9" s="117"/>
      <c r="F9" s="117"/>
      <c r="G9" s="125" t="s">
        <v>734</v>
      </c>
      <c r="H9" s="117"/>
      <c r="I9" s="117"/>
      <c r="J9" s="117"/>
      <c r="K9" s="117"/>
      <c r="L9" s="117"/>
      <c r="M9" s="117"/>
      <c r="N9" s="117"/>
      <c r="O9" s="117"/>
      <c r="P9" s="117"/>
      <c r="Q9" s="122">
        <v>2019</v>
      </c>
      <c r="R9" s="122" t="s">
        <v>7</v>
      </c>
      <c r="S9" s="122">
        <v>10</v>
      </c>
      <c r="V9" s="160" t="s">
        <v>1355</v>
      </c>
      <c r="X9" s="160" t="s">
        <v>1410</v>
      </c>
    </row>
    <row r="10" spans="1:26" ht="12" customHeight="1">
      <c r="A10" s="117" t="s">
        <v>37</v>
      </c>
      <c r="B10" s="118" t="s">
        <v>733</v>
      </c>
      <c r="C10" s="117" t="s">
        <v>37</v>
      </c>
      <c r="D10" s="117"/>
      <c r="E10" s="117"/>
      <c r="F10" s="117"/>
      <c r="G10" s="127"/>
      <c r="H10" s="117"/>
      <c r="I10" s="117"/>
      <c r="J10" s="117"/>
      <c r="K10" s="117"/>
      <c r="L10" s="117"/>
      <c r="M10" s="119" t="s">
        <v>735</v>
      </c>
      <c r="N10" s="117"/>
      <c r="O10" s="117"/>
      <c r="P10" s="117"/>
      <c r="Q10" s="122">
        <v>2020</v>
      </c>
      <c r="R10" s="122" t="s">
        <v>8</v>
      </c>
      <c r="S10" s="122"/>
      <c r="V10" s="160" t="s">
        <v>1356</v>
      </c>
      <c r="X10" s="160" t="s">
        <v>1411</v>
      </c>
    </row>
    <row r="11" spans="1:26" ht="12" customHeight="1">
      <c r="A11" s="335" t="s">
        <v>38</v>
      </c>
      <c r="B11" s="118" t="s">
        <v>736</v>
      </c>
      <c r="C11" s="126" t="s">
        <v>737</v>
      </c>
      <c r="D11" s="117"/>
      <c r="E11" s="117"/>
      <c r="F11" s="117"/>
      <c r="G11" s="124" t="s">
        <v>740</v>
      </c>
      <c r="H11" s="117"/>
      <c r="I11" s="117"/>
      <c r="J11" s="117"/>
      <c r="K11" s="117"/>
      <c r="L11" s="117"/>
      <c r="M11" s="123" t="str">
        <f>"01.01." &amp; PERIOD</f>
        <v>01.01.2021</v>
      </c>
      <c r="N11" s="117"/>
      <c r="O11" s="117"/>
      <c r="P11" s="117"/>
      <c r="Q11" s="122">
        <v>2021</v>
      </c>
      <c r="R11" s="122" t="s">
        <v>9</v>
      </c>
      <c r="V11" s="160" t="s">
        <v>1357</v>
      </c>
      <c r="X11" s="160" t="s">
        <v>1412</v>
      </c>
    </row>
    <row r="12" spans="1:26" ht="12" customHeight="1">
      <c r="A12" s="335" t="s">
        <v>738</v>
      </c>
      <c r="B12" s="118" t="s">
        <v>739</v>
      </c>
      <c r="C12" s="126"/>
      <c r="D12" s="117"/>
      <c r="E12" s="117"/>
      <c r="F12" s="117"/>
      <c r="G12" s="124" t="s">
        <v>744</v>
      </c>
      <c r="H12" s="117"/>
      <c r="I12" s="117"/>
      <c r="J12" s="117"/>
      <c r="K12" s="117"/>
      <c r="L12" s="117"/>
      <c r="M12" s="123" t="str">
        <f>"31.12." &amp; PERIOD</f>
        <v>31.12.2021</v>
      </c>
      <c r="N12" s="117"/>
      <c r="O12" s="117"/>
      <c r="P12" s="117"/>
      <c r="Q12" s="122">
        <v>2022</v>
      </c>
      <c r="R12" s="122" t="s">
        <v>10</v>
      </c>
      <c r="X12" s="160" t="s">
        <v>1413</v>
      </c>
    </row>
    <row r="13" spans="1:26" ht="12" customHeight="1">
      <c r="A13" s="335" t="s">
        <v>741</v>
      </c>
      <c r="B13" s="118" t="s">
        <v>742</v>
      </c>
      <c r="C13" s="126" t="s">
        <v>743</v>
      </c>
      <c r="D13" s="117"/>
      <c r="E13" s="117"/>
      <c r="F13" s="117"/>
      <c r="G13" s="125" t="s">
        <v>748</v>
      </c>
      <c r="H13" s="117"/>
      <c r="I13" s="117"/>
      <c r="J13" s="117"/>
      <c r="K13" s="117"/>
      <c r="L13" s="117"/>
      <c r="M13" s="117"/>
      <c r="N13" s="117"/>
      <c r="O13" s="117"/>
      <c r="P13" s="117"/>
      <c r="Q13" s="122">
        <v>2023</v>
      </c>
      <c r="R13" s="122" t="s">
        <v>11</v>
      </c>
      <c r="X13" s="160" t="s">
        <v>1414</v>
      </c>
    </row>
    <row r="14" spans="1:26" ht="12" customHeight="1">
      <c r="A14" s="335" t="s">
        <v>745</v>
      </c>
      <c r="B14" s="128" t="s">
        <v>746</v>
      </c>
      <c r="C14" s="129" t="s">
        <v>747</v>
      </c>
      <c r="D14" s="117"/>
      <c r="E14" s="117"/>
      <c r="F14" s="117"/>
      <c r="G14" s="125" t="s">
        <v>751</v>
      </c>
      <c r="H14" s="117"/>
      <c r="I14" s="117"/>
      <c r="J14" s="117"/>
      <c r="K14" s="117"/>
      <c r="L14" s="117"/>
      <c r="M14" s="119" t="s">
        <v>749</v>
      </c>
      <c r="N14" s="117"/>
      <c r="O14" s="117"/>
      <c r="P14" s="117"/>
      <c r="Q14" s="122">
        <v>2024</v>
      </c>
      <c r="R14" s="117"/>
      <c r="X14" s="160" t="s">
        <v>1415</v>
      </c>
    </row>
    <row r="15" spans="1:26" ht="12" customHeight="1">
      <c r="A15" s="117" t="s">
        <v>39</v>
      </c>
      <c r="B15" s="118" t="s">
        <v>750</v>
      </c>
      <c r="C15" s="117" t="s">
        <v>39</v>
      </c>
      <c r="D15" s="117"/>
      <c r="E15" s="117"/>
      <c r="F15" s="117"/>
      <c r="G15" s="125" t="s">
        <v>753</v>
      </c>
      <c r="H15" s="117"/>
      <c r="I15" s="117"/>
      <c r="J15" s="117"/>
      <c r="K15" s="117"/>
      <c r="L15" s="117"/>
      <c r="M15" s="123" t="str">
        <f>"01.01." &amp; PERIOD</f>
        <v>01.01.2021</v>
      </c>
      <c r="N15" s="117"/>
      <c r="O15" s="117"/>
      <c r="P15" s="117"/>
      <c r="Q15" s="122">
        <v>2025</v>
      </c>
      <c r="R15" s="117"/>
    </row>
    <row r="16" spans="1:26" ht="12" customHeight="1">
      <c r="A16" s="117" t="s">
        <v>40</v>
      </c>
      <c r="B16" s="118" t="s">
        <v>752</v>
      </c>
      <c r="C16" s="117" t="s">
        <v>40</v>
      </c>
      <c r="D16" s="117"/>
      <c r="E16" s="117"/>
      <c r="F16" s="117"/>
      <c r="G16" s="125" t="s">
        <v>755</v>
      </c>
      <c r="H16" s="117"/>
      <c r="I16" s="117"/>
      <c r="J16" s="117"/>
      <c r="K16" s="117"/>
      <c r="L16" s="117"/>
      <c r="M16" s="123" t="str">
        <f>"31.12." &amp; PERIOD</f>
        <v>31.12.2021</v>
      </c>
      <c r="N16" s="117"/>
      <c r="O16" s="117"/>
      <c r="P16" s="117"/>
      <c r="Q16" s="122">
        <v>2026</v>
      </c>
      <c r="R16" s="117"/>
      <c r="X16" s="140" t="s">
        <v>1416</v>
      </c>
    </row>
    <row r="17" spans="1:24" ht="12" customHeight="1">
      <c r="A17" s="117" t="s">
        <v>41</v>
      </c>
      <c r="B17" s="118" t="s">
        <v>754</v>
      </c>
      <c r="C17" s="117" t="s">
        <v>41</v>
      </c>
      <c r="D17" s="117"/>
      <c r="E17" s="117"/>
      <c r="F17" s="117"/>
      <c r="G17" s="117"/>
      <c r="H17" s="117"/>
      <c r="I17" s="117"/>
      <c r="J17" s="117"/>
      <c r="K17" s="117"/>
      <c r="L17" s="117"/>
      <c r="M17" s="130"/>
      <c r="N17" s="117"/>
      <c r="O17" s="117"/>
      <c r="P17" s="117"/>
      <c r="Q17" s="122">
        <v>2027</v>
      </c>
      <c r="R17" s="117"/>
      <c r="X17" s="160" t="s">
        <v>1417</v>
      </c>
    </row>
    <row r="18" spans="1:24" ht="12" customHeight="1">
      <c r="A18" s="117" t="s">
        <v>42</v>
      </c>
      <c r="B18" s="118" t="s">
        <v>756</v>
      </c>
      <c r="C18" s="117" t="s">
        <v>42</v>
      </c>
      <c r="D18" s="117"/>
      <c r="E18" s="117"/>
      <c r="F18" s="117"/>
      <c r="G18" s="117"/>
      <c r="H18" s="117"/>
      <c r="I18" s="117"/>
      <c r="J18" s="117"/>
      <c r="K18" s="117"/>
      <c r="L18" s="117"/>
      <c r="M18" s="119" t="s">
        <v>757</v>
      </c>
      <c r="N18" s="117"/>
      <c r="O18" s="117"/>
      <c r="P18" s="117"/>
      <c r="Q18" s="122">
        <v>2028</v>
      </c>
      <c r="R18" s="117"/>
      <c r="X18" s="160" t="s">
        <v>1418</v>
      </c>
    </row>
    <row r="19" spans="1:24" ht="12" customHeight="1">
      <c r="A19" s="117" t="s">
        <v>43</v>
      </c>
      <c r="B19" s="118" t="s">
        <v>758</v>
      </c>
      <c r="C19" s="126" t="s">
        <v>759</v>
      </c>
      <c r="D19" s="117"/>
      <c r="E19" s="117"/>
      <c r="F19" s="117"/>
      <c r="G19" s="117"/>
      <c r="H19" s="117"/>
      <c r="I19" s="117"/>
      <c r="J19" s="117"/>
      <c r="K19" s="117"/>
      <c r="L19" s="117"/>
      <c r="M19" s="123" t="str">
        <f>"01.01." &amp; PERIOD</f>
        <v>01.01.2021</v>
      </c>
      <c r="N19" s="117"/>
      <c r="O19" s="117"/>
      <c r="P19" s="117"/>
      <c r="Q19" s="122">
        <v>2029</v>
      </c>
      <c r="R19" s="117"/>
      <c r="X19" s="160" t="s">
        <v>803</v>
      </c>
    </row>
    <row r="20" spans="1:24" ht="12" customHeight="1">
      <c r="A20" s="117" t="s">
        <v>44</v>
      </c>
      <c r="B20" s="118" t="s">
        <v>760</v>
      </c>
      <c r="C20" s="117" t="s">
        <v>44</v>
      </c>
      <c r="D20" s="117"/>
      <c r="E20" s="117"/>
      <c r="F20" s="117"/>
      <c r="G20" s="117"/>
      <c r="H20" s="117"/>
      <c r="I20" s="117"/>
      <c r="J20" s="117"/>
      <c r="K20" s="117"/>
      <c r="L20" s="117"/>
      <c r="M20" s="123" t="str">
        <f>"31.12." &amp; PERIOD</f>
        <v>31.12.2021</v>
      </c>
      <c r="N20" s="117"/>
      <c r="O20" s="117"/>
      <c r="P20" s="117"/>
      <c r="Q20" s="122">
        <v>2030</v>
      </c>
      <c r="R20" s="117"/>
      <c r="X20" s="160" t="s">
        <v>793</v>
      </c>
    </row>
    <row r="21" spans="1:24" ht="12" customHeight="1">
      <c r="A21" s="117" t="s">
        <v>45</v>
      </c>
      <c r="B21" s="118" t="s">
        <v>761</v>
      </c>
      <c r="C21" s="117" t="s">
        <v>45</v>
      </c>
      <c r="D21" s="117"/>
      <c r="E21" s="117"/>
      <c r="F21" s="117"/>
      <c r="G21" s="117"/>
      <c r="H21" s="117"/>
      <c r="I21" s="117"/>
      <c r="J21" s="117"/>
      <c r="K21" s="117"/>
      <c r="L21" s="117"/>
      <c r="M21" s="117"/>
      <c r="N21" s="117"/>
      <c r="O21" s="117"/>
      <c r="P21" s="117"/>
      <c r="Q21" s="117"/>
      <c r="R21" s="117"/>
      <c r="X21" s="160" t="s">
        <v>795</v>
      </c>
    </row>
    <row r="22" spans="1:24" ht="12" customHeight="1">
      <c r="A22" s="117" t="s">
        <v>46</v>
      </c>
      <c r="B22" s="118" t="s">
        <v>762</v>
      </c>
      <c r="C22" s="117" t="s">
        <v>46</v>
      </c>
      <c r="D22" s="117"/>
      <c r="E22" s="117"/>
      <c r="F22" s="117"/>
      <c r="G22" s="117"/>
      <c r="H22" s="117"/>
      <c r="I22" s="117"/>
      <c r="J22" s="117"/>
      <c r="K22" s="117"/>
      <c r="L22" s="117"/>
      <c r="M22" s="117"/>
      <c r="N22" s="117"/>
      <c r="O22" s="117"/>
      <c r="P22" s="117"/>
      <c r="Q22" s="117"/>
      <c r="R22" s="117"/>
      <c r="X22" s="160" t="s">
        <v>797</v>
      </c>
    </row>
    <row r="23" spans="1:24" ht="12" customHeight="1">
      <c r="A23" s="117" t="s">
        <v>47</v>
      </c>
      <c r="B23" s="118" t="s">
        <v>763</v>
      </c>
      <c r="C23" s="126" t="s">
        <v>764</v>
      </c>
      <c r="D23" s="117"/>
      <c r="E23" s="117"/>
      <c r="F23" s="117"/>
      <c r="G23" s="117"/>
      <c r="H23" s="117"/>
      <c r="I23" s="117"/>
      <c r="J23" s="117"/>
      <c r="K23" s="117"/>
      <c r="L23" s="117"/>
      <c r="M23" s="117"/>
      <c r="N23" s="117"/>
      <c r="O23" s="117"/>
      <c r="P23" s="117"/>
      <c r="Q23" s="117"/>
      <c r="R23" s="117"/>
      <c r="X23" s="160" t="s">
        <v>799</v>
      </c>
    </row>
    <row r="24" spans="1:24" ht="12" customHeight="1">
      <c r="A24" s="117" t="s">
        <v>48</v>
      </c>
      <c r="B24" s="118" t="s">
        <v>765</v>
      </c>
      <c r="C24" s="117" t="s">
        <v>48</v>
      </c>
      <c r="D24" s="117"/>
      <c r="E24" s="117"/>
      <c r="F24" s="117"/>
      <c r="G24" s="117"/>
      <c r="H24" s="117"/>
      <c r="I24" s="117"/>
      <c r="J24" s="117"/>
      <c r="K24" s="117"/>
      <c r="L24" s="117"/>
      <c r="M24" s="117"/>
      <c r="N24" s="117"/>
      <c r="O24" s="117"/>
      <c r="P24" s="117"/>
      <c r="Q24" s="117"/>
      <c r="R24" s="117"/>
      <c r="X24" s="160" t="s">
        <v>1419</v>
      </c>
    </row>
    <row r="25" spans="1:24" ht="12" customHeight="1">
      <c r="A25" s="117" t="s">
        <v>49</v>
      </c>
      <c r="B25" s="118" t="s">
        <v>766</v>
      </c>
      <c r="C25" s="117" t="s">
        <v>49</v>
      </c>
      <c r="D25" s="117"/>
      <c r="E25" s="117"/>
      <c r="F25" s="117"/>
      <c r="G25" s="117"/>
      <c r="H25" s="117"/>
      <c r="I25" s="117"/>
      <c r="J25" s="117"/>
      <c r="K25" s="117"/>
      <c r="L25" s="117"/>
      <c r="M25" s="117"/>
      <c r="N25" s="117"/>
      <c r="O25" s="117"/>
      <c r="P25" s="117"/>
      <c r="Q25" s="117"/>
      <c r="R25" s="117"/>
      <c r="X25" s="160" t="s">
        <v>1420</v>
      </c>
    </row>
    <row r="26" spans="1:24" ht="12" customHeight="1">
      <c r="A26" s="117" t="s">
        <v>50</v>
      </c>
      <c r="B26" s="118" t="s">
        <v>767</v>
      </c>
      <c r="C26" s="117" t="s">
        <v>50</v>
      </c>
      <c r="D26" s="117"/>
      <c r="E26" s="117"/>
      <c r="F26" s="117"/>
      <c r="G26" s="117"/>
      <c r="H26" s="117"/>
      <c r="I26" s="117"/>
      <c r="J26" s="117"/>
      <c r="K26" s="117"/>
      <c r="L26" s="117"/>
      <c r="M26" s="117"/>
      <c r="N26" s="117"/>
      <c r="O26" s="117"/>
      <c r="P26" s="117"/>
      <c r="Q26" s="117"/>
      <c r="R26" s="117"/>
      <c r="X26" s="160" t="s">
        <v>1421</v>
      </c>
    </row>
    <row r="27" spans="1:24" ht="12" customHeight="1">
      <c r="A27" s="117" t="s">
        <v>51</v>
      </c>
      <c r="B27" s="118" t="s">
        <v>768</v>
      </c>
      <c r="C27" s="117" t="s">
        <v>51</v>
      </c>
      <c r="D27" s="117"/>
      <c r="E27" s="117"/>
      <c r="F27" s="117"/>
      <c r="G27" s="117"/>
      <c r="H27" s="117"/>
      <c r="I27" s="117"/>
      <c r="J27" s="117"/>
      <c r="K27" s="117"/>
      <c r="L27" s="117"/>
      <c r="M27" s="117"/>
      <c r="N27" s="117"/>
      <c r="O27" s="117"/>
      <c r="P27" s="117"/>
      <c r="Q27" s="117"/>
      <c r="R27" s="117"/>
      <c r="X27" s="160" t="s">
        <v>1422</v>
      </c>
    </row>
    <row r="28" spans="1:24" ht="12" customHeight="1">
      <c r="A28" s="117" t="s">
        <v>52</v>
      </c>
      <c r="B28" s="118" t="s">
        <v>769</v>
      </c>
      <c r="C28" s="117" t="s">
        <v>52</v>
      </c>
      <c r="D28" s="117"/>
      <c r="E28" s="117"/>
      <c r="F28" s="117"/>
      <c r="G28" s="117"/>
      <c r="H28" s="117"/>
      <c r="I28" s="117"/>
      <c r="J28" s="117"/>
      <c r="K28" s="117"/>
      <c r="L28" s="117"/>
      <c r="M28" s="117"/>
      <c r="N28" s="117"/>
      <c r="O28" s="117"/>
      <c r="P28" s="117"/>
      <c r="Q28" s="117"/>
      <c r="R28" s="117"/>
      <c r="X28" s="160" t="s">
        <v>1423</v>
      </c>
    </row>
    <row r="29" spans="1:24" ht="12" customHeight="1">
      <c r="A29" s="117" t="s">
        <v>53</v>
      </c>
      <c r="B29" s="118" t="s">
        <v>770</v>
      </c>
      <c r="C29" s="117" t="s">
        <v>53</v>
      </c>
      <c r="D29" s="117"/>
      <c r="E29" s="117"/>
      <c r="F29" s="117"/>
      <c r="G29" s="117"/>
      <c r="H29" s="117"/>
      <c r="I29" s="117"/>
      <c r="J29" s="117"/>
      <c r="K29" s="117"/>
      <c r="L29" s="117"/>
      <c r="M29" s="117"/>
      <c r="N29" s="117"/>
      <c r="O29" s="117"/>
      <c r="P29" s="117"/>
      <c r="Q29" s="117"/>
      <c r="R29" s="117"/>
      <c r="X29" s="160" t="s">
        <v>1424</v>
      </c>
    </row>
    <row r="30" spans="1:24" ht="12" customHeight="1">
      <c r="A30" s="117" t="s">
        <v>54</v>
      </c>
      <c r="B30" s="118" t="s">
        <v>771</v>
      </c>
      <c r="C30" s="117" t="s">
        <v>54</v>
      </c>
      <c r="D30" s="117"/>
      <c r="E30" s="117"/>
      <c r="F30" s="117"/>
      <c r="G30" s="117"/>
      <c r="H30" s="117"/>
      <c r="I30" s="117"/>
      <c r="J30" s="117"/>
      <c r="K30" s="117"/>
      <c r="L30" s="117"/>
      <c r="M30" s="117"/>
      <c r="N30" s="117"/>
      <c r="O30" s="117"/>
      <c r="P30" s="117"/>
      <c r="Q30" s="117"/>
      <c r="R30" s="117"/>
      <c r="X30" s="160" t="s">
        <v>1425</v>
      </c>
    </row>
    <row r="31" spans="1:24" ht="12" customHeight="1">
      <c r="A31" s="117" t="s">
        <v>55</v>
      </c>
      <c r="B31" s="118" t="s">
        <v>772</v>
      </c>
      <c r="C31" s="117" t="s">
        <v>55</v>
      </c>
      <c r="D31" s="117"/>
      <c r="E31" s="117"/>
      <c r="F31" s="117"/>
      <c r="G31" s="117"/>
      <c r="H31" s="117"/>
      <c r="I31" s="117"/>
      <c r="J31" s="117"/>
      <c r="K31" s="117"/>
      <c r="L31" s="117"/>
      <c r="M31" s="117"/>
      <c r="N31" s="117"/>
      <c r="O31" s="117"/>
      <c r="P31" s="117"/>
      <c r="Q31" s="117"/>
      <c r="R31" s="117"/>
      <c r="X31" s="160" t="s">
        <v>1426</v>
      </c>
    </row>
    <row r="32" spans="1:24" ht="12" customHeight="1">
      <c r="A32" s="117" t="s">
        <v>56</v>
      </c>
      <c r="B32" s="118" t="s">
        <v>773</v>
      </c>
      <c r="C32" s="117" t="s">
        <v>56</v>
      </c>
      <c r="D32" s="117"/>
      <c r="E32" s="117"/>
      <c r="F32" s="117"/>
      <c r="G32" s="117"/>
      <c r="H32" s="117"/>
      <c r="I32" s="117"/>
      <c r="J32" s="117"/>
      <c r="K32" s="117"/>
      <c r="L32" s="117"/>
      <c r="M32" s="117"/>
      <c r="N32" s="117"/>
      <c r="O32" s="117"/>
      <c r="P32" s="117"/>
      <c r="Q32" s="117"/>
      <c r="R32" s="117"/>
      <c r="X32" s="160" t="s">
        <v>1427</v>
      </c>
    </row>
    <row r="33" spans="1:24" ht="12" customHeight="1">
      <c r="A33" s="117" t="s">
        <v>57</v>
      </c>
      <c r="B33" s="118" t="s">
        <v>774</v>
      </c>
      <c r="C33" s="117" t="s">
        <v>57</v>
      </c>
      <c r="D33" s="117"/>
      <c r="E33" s="117"/>
      <c r="F33" s="117"/>
      <c r="G33" s="117"/>
      <c r="H33" s="117"/>
      <c r="I33" s="117"/>
      <c r="J33" s="117"/>
      <c r="K33" s="117"/>
      <c r="L33" s="117"/>
      <c r="M33" s="117"/>
      <c r="N33" s="117"/>
      <c r="O33" s="117"/>
      <c r="P33" s="117"/>
      <c r="Q33" s="117"/>
      <c r="R33" s="117"/>
      <c r="X33" s="160" t="s">
        <v>1428</v>
      </c>
    </row>
    <row r="34" spans="1:24" ht="12" customHeight="1">
      <c r="A34" s="117" t="s">
        <v>58</v>
      </c>
      <c r="B34" s="118" t="s">
        <v>775</v>
      </c>
      <c r="C34" s="117" t="s">
        <v>58</v>
      </c>
      <c r="D34" s="117"/>
      <c r="E34" s="117"/>
      <c r="F34" s="117"/>
      <c r="G34" s="117"/>
      <c r="H34" s="117"/>
      <c r="I34" s="117"/>
      <c r="J34" s="117"/>
      <c r="K34" s="117"/>
      <c r="L34" s="117"/>
      <c r="M34" s="117"/>
      <c r="N34" s="117"/>
      <c r="O34" s="117"/>
      <c r="P34" s="117"/>
      <c r="Q34" s="117"/>
      <c r="R34" s="117"/>
      <c r="X34" s="160" t="s">
        <v>1429</v>
      </c>
    </row>
    <row r="35" spans="1:24" ht="12" customHeight="1">
      <c r="A35" s="117" t="s">
        <v>22</v>
      </c>
      <c r="B35" s="118" t="s">
        <v>776</v>
      </c>
      <c r="C35" s="117" t="s">
        <v>22</v>
      </c>
      <c r="D35" s="117"/>
      <c r="E35" s="117"/>
      <c r="F35" s="117"/>
      <c r="G35" s="117"/>
      <c r="H35" s="117"/>
      <c r="I35" s="117"/>
      <c r="J35" s="117"/>
      <c r="K35" s="117"/>
      <c r="L35" s="117"/>
      <c r="M35" s="117"/>
      <c r="N35" s="117"/>
      <c r="O35" s="117"/>
      <c r="P35" s="117"/>
      <c r="Q35" s="117"/>
      <c r="R35" s="117"/>
      <c r="X35" s="160" t="s">
        <v>1430</v>
      </c>
    </row>
    <row r="36" spans="1:24" ht="12" customHeight="1">
      <c r="A36" s="117" t="s">
        <v>23</v>
      </c>
      <c r="B36" s="118" t="s">
        <v>777</v>
      </c>
      <c r="C36" s="117" t="s">
        <v>23</v>
      </c>
      <c r="D36" s="117"/>
      <c r="E36" s="117"/>
      <c r="F36" s="117"/>
      <c r="G36" s="117"/>
      <c r="H36" s="117"/>
      <c r="I36" s="117"/>
      <c r="J36" s="117"/>
      <c r="K36" s="117"/>
      <c r="L36" s="117"/>
      <c r="M36" s="117"/>
      <c r="N36" s="117"/>
      <c r="O36" s="117"/>
      <c r="P36" s="117"/>
      <c r="Q36" s="117"/>
      <c r="R36" s="117"/>
      <c r="X36" s="160" t="s">
        <v>1431</v>
      </c>
    </row>
    <row r="37" spans="1:24" ht="12" customHeight="1">
      <c r="A37" s="117" t="s">
        <v>24</v>
      </c>
      <c r="B37" s="118" t="s">
        <v>778</v>
      </c>
      <c r="C37" s="117" t="s">
        <v>24</v>
      </c>
      <c r="D37" s="117"/>
      <c r="E37" s="117"/>
      <c r="F37" s="117"/>
      <c r="G37" s="117"/>
      <c r="H37" s="117"/>
      <c r="I37" s="117"/>
      <c r="J37" s="117"/>
      <c r="K37" s="117"/>
      <c r="L37" s="117"/>
      <c r="M37" s="117"/>
      <c r="N37" s="117"/>
      <c r="O37" s="117"/>
      <c r="P37" s="117"/>
      <c r="Q37" s="117"/>
      <c r="R37" s="117"/>
    </row>
    <row r="38" spans="1:24" ht="12" customHeight="1">
      <c r="A38" s="117" t="s">
        <v>25</v>
      </c>
      <c r="B38" s="118" t="s">
        <v>779</v>
      </c>
      <c r="C38" s="117" t="s">
        <v>25</v>
      </c>
      <c r="D38" s="117"/>
      <c r="E38" s="117"/>
      <c r="F38" s="117"/>
      <c r="G38" s="117"/>
      <c r="H38" s="117"/>
      <c r="I38" s="117"/>
      <c r="J38" s="117"/>
      <c r="K38" s="124" t="s">
        <v>780</v>
      </c>
      <c r="L38" s="117"/>
      <c r="M38" s="117"/>
      <c r="N38" s="117"/>
      <c r="O38" s="117"/>
      <c r="P38" s="117"/>
      <c r="Q38" s="117"/>
      <c r="R38" s="117"/>
    </row>
    <row r="39" spans="1:24" ht="12" customHeight="1">
      <c r="A39" s="117" t="s">
        <v>26</v>
      </c>
      <c r="B39" s="118" t="s">
        <v>781</v>
      </c>
      <c r="C39" s="117" t="s">
        <v>26</v>
      </c>
      <c r="D39" s="117"/>
      <c r="E39" s="117"/>
      <c r="F39" s="117"/>
      <c r="G39" s="117"/>
      <c r="H39" s="117"/>
      <c r="I39" s="117"/>
      <c r="J39" s="117"/>
      <c r="K39" s="125" t="s">
        <v>782</v>
      </c>
      <c r="L39" s="117"/>
      <c r="M39" s="117"/>
      <c r="N39" s="117"/>
      <c r="O39" s="117"/>
      <c r="P39" s="117"/>
      <c r="Q39" s="117"/>
      <c r="R39" s="117"/>
    </row>
    <row r="40" spans="1:24" ht="12" customHeight="1">
      <c r="A40" s="117" t="s">
        <v>27</v>
      </c>
      <c r="B40" s="118" t="s">
        <v>783</v>
      </c>
      <c r="C40" s="117" t="s">
        <v>27</v>
      </c>
      <c r="D40" s="117"/>
      <c r="E40" s="117"/>
      <c r="F40" s="117"/>
      <c r="G40" s="117"/>
      <c r="H40" s="117"/>
      <c r="I40" s="117"/>
      <c r="J40" s="117"/>
      <c r="K40" s="125" t="s">
        <v>784</v>
      </c>
      <c r="L40" s="117"/>
      <c r="M40" s="117"/>
      <c r="N40" s="117"/>
      <c r="O40" s="117"/>
      <c r="P40" s="117"/>
      <c r="Q40" s="117"/>
      <c r="R40" s="117"/>
    </row>
    <row r="41" spans="1:24" ht="12" customHeight="1">
      <c r="A41" s="117" t="s">
        <v>59</v>
      </c>
      <c r="B41" s="118" t="s">
        <v>785</v>
      </c>
      <c r="C41" s="117" t="s">
        <v>59</v>
      </c>
      <c r="D41" s="117"/>
      <c r="E41" s="117"/>
      <c r="F41" s="117"/>
      <c r="G41" s="117"/>
      <c r="H41" s="117"/>
      <c r="I41" s="117"/>
      <c r="J41" s="117"/>
      <c r="K41" s="125" t="s">
        <v>268</v>
      </c>
      <c r="L41" s="117"/>
      <c r="M41" s="117"/>
      <c r="N41" s="117"/>
      <c r="O41" s="117"/>
      <c r="P41" s="117"/>
      <c r="Q41" s="117"/>
      <c r="R41" s="117"/>
    </row>
    <row r="42" spans="1:24" ht="12" customHeight="1">
      <c r="A42" s="117" t="s">
        <v>60</v>
      </c>
      <c r="B42" s="118" t="s">
        <v>786</v>
      </c>
      <c r="C42" s="117" t="s">
        <v>60</v>
      </c>
      <c r="D42" s="117"/>
      <c r="E42" s="117"/>
      <c r="F42" s="117"/>
      <c r="G42" s="117"/>
      <c r="H42" s="117"/>
      <c r="I42" s="117"/>
      <c r="J42" s="117"/>
      <c r="K42" s="125" t="s">
        <v>787</v>
      </c>
      <c r="L42" s="117"/>
      <c r="M42" s="117"/>
      <c r="N42" s="117"/>
      <c r="O42" s="117"/>
      <c r="P42" s="117"/>
      <c r="Q42" s="117"/>
      <c r="R42" s="117"/>
    </row>
    <row r="43" spans="1:24" ht="12" customHeight="1">
      <c r="A43" s="117" t="s">
        <v>61</v>
      </c>
      <c r="B43" s="118" t="s">
        <v>788</v>
      </c>
      <c r="C43" s="117" t="s">
        <v>61</v>
      </c>
      <c r="D43" s="117"/>
      <c r="E43" s="117"/>
      <c r="F43" s="117"/>
      <c r="G43" s="117"/>
      <c r="H43" s="117"/>
      <c r="I43" s="117"/>
      <c r="J43" s="117"/>
      <c r="K43" s="117"/>
      <c r="L43" s="117"/>
      <c r="M43" s="117"/>
      <c r="N43" s="117"/>
      <c r="O43" s="117"/>
      <c r="P43" s="117"/>
      <c r="Q43" s="117"/>
      <c r="R43" s="117"/>
    </row>
    <row r="44" spans="1:24" ht="12" customHeight="1">
      <c r="A44" s="117" t="s">
        <v>62</v>
      </c>
      <c r="B44" s="118" t="s">
        <v>789</v>
      </c>
      <c r="C44" s="117" t="s">
        <v>62</v>
      </c>
      <c r="D44" s="117"/>
      <c r="E44" s="117"/>
      <c r="F44" s="117"/>
      <c r="G44" s="117"/>
      <c r="H44" s="117"/>
      <c r="I44" s="117"/>
      <c r="J44" s="117"/>
      <c r="K44" s="117"/>
      <c r="L44" s="117"/>
      <c r="M44" s="117"/>
      <c r="N44" s="117"/>
      <c r="O44" s="117"/>
      <c r="P44" s="117"/>
      <c r="Q44" s="117"/>
      <c r="R44" s="117"/>
    </row>
    <row r="45" spans="1:24" ht="12" customHeight="1">
      <c r="A45" s="117" t="s">
        <v>63</v>
      </c>
      <c r="B45" s="118" t="s">
        <v>790</v>
      </c>
      <c r="C45" s="117" t="s">
        <v>63</v>
      </c>
      <c r="D45" s="117"/>
      <c r="E45" s="117"/>
      <c r="F45" s="117"/>
      <c r="G45" s="117"/>
      <c r="H45" s="117"/>
      <c r="I45" s="117"/>
      <c r="J45" s="117"/>
      <c r="K45" s="124" t="s">
        <v>791</v>
      </c>
      <c r="L45" s="117"/>
      <c r="M45" s="117"/>
      <c r="N45" s="117"/>
      <c r="O45" s="117"/>
      <c r="P45" s="117"/>
      <c r="Q45" s="117"/>
      <c r="R45" s="117"/>
    </row>
    <row r="46" spans="1:24" ht="12" customHeight="1">
      <c r="A46" s="117" t="s">
        <v>84</v>
      </c>
      <c r="B46" s="118" t="s">
        <v>792</v>
      </c>
      <c r="C46" s="117" t="s">
        <v>84</v>
      </c>
      <c r="D46" s="117"/>
      <c r="E46" s="117"/>
      <c r="F46" s="117"/>
      <c r="G46" s="117"/>
      <c r="H46" s="117"/>
      <c r="I46" s="117"/>
      <c r="J46" s="117"/>
      <c r="K46" s="125" t="s">
        <v>793</v>
      </c>
      <c r="L46" s="117"/>
      <c r="M46" s="117"/>
      <c r="N46" s="117"/>
      <c r="O46" s="117"/>
      <c r="P46" s="117"/>
      <c r="Q46" s="117"/>
      <c r="R46" s="117"/>
    </row>
    <row r="47" spans="1:24" ht="12" customHeight="1">
      <c r="A47" s="117" t="s">
        <v>85</v>
      </c>
      <c r="B47" s="118" t="s">
        <v>794</v>
      </c>
      <c r="C47" s="117" t="s">
        <v>85</v>
      </c>
      <c r="D47" s="117"/>
      <c r="E47" s="117"/>
      <c r="F47" s="117"/>
      <c r="G47" s="117"/>
      <c r="H47" s="117"/>
      <c r="I47" s="117"/>
      <c r="J47" s="117"/>
      <c r="K47" s="125" t="s">
        <v>795</v>
      </c>
      <c r="L47" s="117"/>
      <c r="M47" s="117"/>
      <c r="N47" s="117"/>
      <c r="O47" s="117"/>
      <c r="P47" s="117"/>
      <c r="Q47" s="117"/>
      <c r="R47" s="117"/>
    </row>
    <row r="48" spans="1:24" ht="12" customHeight="1">
      <c r="A48" s="117" t="s">
        <v>86</v>
      </c>
      <c r="B48" s="118" t="s">
        <v>796</v>
      </c>
      <c r="C48" s="117" t="s">
        <v>86</v>
      </c>
      <c r="D48" s="117"/>
      <c r="E48" s="117"/>
      <c r="F48" s="117"/>
      <c r="G48" s="117"/>
      <c r="H48" s="117"/>
      <c r="I48" s="117"/>
      <c r="J48" s="117"/>
      <c r="K48" s="125" t="s">
        <v>797</v>
      </c>
      <c r="L48" s="117"/>
      <c r="M48" s="117"/>
      <c r="N48" s="117"/>
      <c r="O48" s="117"/>
      <c r="P48" s="117"/>
      <c r="Q48" s="117"/>
      <c r="R48" s="117"/>
    </row>
    <row r="49" spans="1:18" ht="12" customHeight="1">
      <c r="A49" s="117" t="s">
        <v>64</v>
      </c>
      <c r="B49" s="118" t="s">
        <v>798</v>
      </c>
      <c r="C49" s="117" t="s">
        <v>64</v>
      </c>
      <c r="D49" s="117"/>
      <c r="E49" s="117"/>
      <c r="F49" s="117"/>
      <c r="G49" s="117"/>
      <c r="H49" s="117"/>
      <c r="I49" s="117"/>
      <c r="J49" s="117"/>
      <c r="K49" s="125" t="s">
        <v>799</v>
      </c>
      <c r="L49" s="117"/>
      <c r="M49" s="117"/>
      <c r="N49" s="117"/>
      <c r="O49" s="117"/>
      <c r="P49" s="117"/>
      <c r="Q49" s="117"/>
      <c r="R49" s="117"/>
    </row>
    <row r="50" spans="1:18" ht="12" customHeight="1">
      <c r="A50" s="117" t="s">
        <v>65</v>
      </c>
      <c r="B50" s="118" t="s">
        <v>800</v>
      </c>
      <c r="C50" s="117" t="s">
        <v>65</v>
      </c>
      <c r="D50" s="117"/>
      <c r="E50" s="117"/>
      <c r="F50" s="117"/>
      <c r="G50" s="117"/>
      <c r="H50" s="117"/>
      <c r="I50" s="117"/>
      <c r="J50" s="117"/>
      <c r="K50" s="125" t="s">
        <v>801</v>
      </c>
      <c r="L50" s="117"/>
      <c r="M50" s="117"/>
      <c r="N50" s="117"/>
      <c r="O50" s="117"/>
      <c r="P50" s="117"/>
      <c r="Q50" s="117"/>
      <c r="R50" s="117"/>
    </row>
    <row r="51" spans="1:18" ht="12" customHeight="1">
      <c r="A51" s="117" t="s">
        <v>66</v>
      </c>
      <c r="B51" s="118" t="s">
        <v>802</v>
      </c>
      <c r="C51" s="117" t="s">
        <v>66</v>
      </c>
      <c r="D51" s="117"/>
      <c r="E51" s="117"/>
      <c r="F51" s="117"/>
      <c r="G51" s="117"/>
      <c r="H51" s="117"/>
      <c r="I51" s="117"/>
      <c r="J51" s="117"/>
      <c r="K51" s="125" t="s">
        <v>803</v>
      </c>
      <c r="L51" s="117"/>
      <c r="M51" s="117"/>
      <c r="N51" s="117"/>
      <c r="O51" s="117"/>
      <c r="P51" s="117"/>
      <c r="Q51" s="117"/>
      <c r="R51" s="117"/>
    </row>
    <row r="52" spans="1:18" ht="12" customHeight="1">
      <c r="A52" s="117" t="s">
        <v>67</v>
      </c>
      <c r="B52" s="118" t="s">
        <v>804</v>
      </c>
      <c r="C52" s="117" t="s">
        <v>67</v>
      </c>
      <c r="D52" s="117"/>
      <c r="E52" s="117"/>
      <c r="F52" s="117"/>
      <c r="G52" s="117"/>
      <c r="H52" s="117"/>
      <c r="I52" s="117"/>
      <c r="J52" s="117"/>
      <c r="K52" s="125" t="s">
        <v>805</v>
      </c>
      <c r="L52" s="117"/>
      <c r="M52" s="117"/>
      <c r="N52" s="117"/>
      <c r="O52" s="117"/>
      <c r="P52" s="117"/>
      <c r="Q52" s="117"/>
      <c r="R52" s="117"/>
    </row>
    <row r="53" spans="1:18" ht="12" customHeight="1">
      <c r="A53" s="117" t="s">
        <v>68</v>
      </c>
      <c r="B53" s="118" t="s">
        <v>806</v>
      </c>
      <c r="C53" s="117" t="s">
        <v>68</v>
      </c>
      <c r="D53" s="117"/>
      <c r="E53" s="117"/>
      <c r="F53" s="117"/>
      <c r="G53" s="117"/>
      <c r="H53" s="117"/>
      <c r="I53" s="117"/>
      <c r="J53" s="117"/>
      <c r="K53" s="117"/>
      <c r="L53" s="117"/>
      <c r="M53" s="117"/>
      <c r="N53" s="117"/>
      <c r="O53" s="117"/>
      <c r="P53" s="117"/>
      <c r="Q53" s="117"/>
      <c r="R53" s="117"/>
    </row>
    <row r="54" spans="1:18" ht="12" customHeight="1">
      <c r="A54" s="117" t="s">
        <v>69</v>
      </c>
      <c r="B54" s="118" t="s">
        <v>807</v>
      </c>
      <c r="C54" s="117" t="s">
        <v>69</v>
      </c>
      <c r="D54" s="117"/>
      <c r="E54" s="117"/>
      <c r="F54" s="117"/>
      <c r="G54" s="117"/>
      <c r="H54" s="117"/>
      <c r="I54" s="117"/>
      <c r="J54" s="117"/>
      <c r="K54" s="117"/>
      <c r="L54" s="117"/>
      <c r="M54" s="117"/>
      <c r="N54" s="117"/>
      <c r="O54" s="117"/>
      <c r="P54" s="117"/>
      <c r="Q54" s="117"/>
      <c r="R54" s="117"/>
    </row>
    <row r="55" spans="1:18" ht="12" customHeight="1">
      <c r="A55" s="117" t="s">
        <v>70</v>
      </c>
      <c r="B55" s="118" t="s">
        <v>808</v>
      </c>
      <c r="C55" s="117" t="s">
        <v>70</v>
      </c>
      <c r="D55" s="117"/>
      <c r="E55" s="117"/>
      <c r="F55" s="117"/>
      <c r="G55" s="117"/>
      <c r="H55" s="117"/>
      <c r="I55" s="117"/>
      <c r="J55" s="117"/>
      <c r="K55" s="117"/>
      <c r="L55" s="117"/>
      <c r="M55" s="117"/>
      <c r="N55" s="117"/>
      <c r="O55" s="117"/>
      <c r="P55" s="117"/>
      <c r="Q55" s="117"/>
      <c r="R55" s="117"/>
    </row>
    <row r="56" spans="1:18" ht="12" customHeight="1">
      <c r="A56" s="117" t="s">
        <v>175</v>
      </c>
      <c r="B56" s="128" t="s">
        <v>809</v>
      </c>
      <c r="C56" s="131" t="s">
        <v>810</v>
      </c>
      <c r="D56" s="117"/>
      <c r="E56" s="117"/>
      <c r="F56" s="117"/>
      <c r="G56" s="117"/>
      <c r="H56" s="117"/>
      <c r="I56" s="117"/>
      <c r="J56" s="117"/>
      <c r="K56" s="117"/>
      <c r="L56" s="117"/>
      <c r="M56" s="117"/>
      <c r="N56" s="117"/>
      <c r="O56" s="117"/>
      <c r="P56" s="117"/>
      <c r="Q56" s="117"/>
      <c r="R56" s="117"/>
    </row>
    <row r="57" spans="1:18" ht="12" customHeight="1">
      <c r="A57" s="117" t="s">
        <v>71</v>
      </c>
      <c r="B57" s="118" t="s">
        <v>811</v>
      </c>
      <c r="C57" s="117" t="s">
        <v>71</v>
      </c>
      <c r="D57" s="117"/>
      <c r="E57" s="117"/>
      <c r="F57" s="117"/>
      <c r="G57" s="117"/>
      <c r="H57" s="117"/>
      <c r="I57" s="117"/>
      <c r="J57" s="117"/>
      <c r="K57" s="117"/>
      <c r="L57" s="117"/>
      <c r="M57" s="117"/>
      <c r="N57" s="117"/>
      <c r="O57" s="117"/>
      <c r="P57" s="117"/>
      <c r="Q57" s="117"/>
      <c r="R57" s="117"/>
    </row>
    <row r="58" spans="1:18" ht="12" customHeight="1">
      <c r="A58" s="117" t="s">
        <v>72</v>
      </c>
      <c r="B58" s="118" t="s">
        <v>812</v>
      </c>
      <c r="C58" s="117" t="s">
        <v>72</v>
      </c>
      <c r="D58" s="117"/>
      <c r="E58" s="117"/>
      <c r="F58" s="117"/>
      <c r="G58" s="117"/>
      <c r="H58" s="117"/>
      <c r="I58" s="117"/>
      <c r="J58" s="117"/>
      <c r="K58" s="117"/>
      <c r="L58" s="117"/>
      <c r="M58" s="117"/>
      <c r="N58" s="117"/>
      <c r="O58" s="117"/>
      <c r="P58" s="117"/>
      <c r="Q58" s="117"/>
      <c r="R58" s="117"/>
    </row>
    <row r="59" spans="1:18" ht="12" customHeight="1">
      <c r="A59" s="117" t="s">
        <v>73</v>
      </c>
      <c r="B59" s="118" t="s">
        <v>813</v>
      </c>
      <c r="C59" s="117" t="s">
        <v>73</v>
      </c>
      <c r="D59" s="117"/>
      <c r="E59" s="117"/>
      <c r="F59" s="117"/>
      <c r="G59" s="117"/>
      <c r="H59" s="117"/>
      <c r="I59" s="117"/>
      <c r="J59" s="117"/>
      <c r="K59" s="117"/>
      <c r="L59" s="117"/>
      <c r="M59" s="117"/>
      <c r="N59" s="117"/>
      <c r="O59" s="117"/>
      <c r="P59" s="117"/>
      <c r="Q59" s="117"/>
      <c r="R59" s="117"/>
    </row>
    <row r="60" spans="1:18" ht="12" customHeight="1">
      <c r="A60" s="117" t="s">
        <v>74</v>
      </c>
      <c r="B60" s="118" t="s">
        <v>814</v>
      </c>
      <c r="C60" s="126" t="s">
        <v>815</v>
      </c>
      <c r="D60" s="117"/>
      <c r="E60" s="117"/>
      <c r="F60" s="117"/>
      <c r="G60" s="117"/>
      <c r="H60" s="117"/>
      <c r="I60" s="117"/>
      <c r="J60" s="117"/>
      <c r="K60" s="117"/>
      <c r="L60" s="117"/>
      <c r="M60" s="117"/>
      <c r="N60" s="117"/>
      <c r="O60" s="117"/>
      <c r="P60" s="117"/>
      <c r="Q60" s="117"/>
      <c r="R60" s="117"/>
    </row>
    <row r="61" spans="1:18" ht="12" customHeight="1">
      <c r="A61" s="117" t="s">
        <v>13</v>
      </c>
      <c r="B61" s="118" t="s">
        <v>816</v>
      </c>
      <c r="C61" s="117" t="s">
        <v>13</v>
      </c>
      <c r="D61" s="117"/>
      <c r="E61" s="117"/>
      <c r="F61" s="117"/>
      <c r="G61" s="117"/>
      <c r="H61" s="117"/>
      <c r="I61" s="117"/>
      <c r="J61" s="117"/>
      <c r="K61" s="117"/>
      <c r="L61" s="117"/>
      <c r="M61" s="117"/>
      <c r="N61" s="117"/>
      <c r="O61" s="117"/>
      <c r="P61" s="117"/>
      <c r="Q61" s="117"/>
      <c r="R61" s="117"/>
    </row>
    <row r="62" spans="1:18" ht="12" customHeight="1">
      <c r="A62" s="117" t="s">
        <v>75</v>
      </c>
      <c r="B62" s="118" t="s">
        <v>817</v>
      </c>
      <c r="C62" s="126" t="s">
        <v>818</v>
      </c>
      <c r="D62" s="117"/>
      <c r="E62" s="117"/>
      <c r="F62" s="117"/>
      <c r="G62" s="117"/>
      <c r="H62" s="117"/>
      <c r="I62" s="117"/>
      <c r="J62" s="117"/>
      <c r="K62" s="117"/>
      <c r="L62" s="117"/>
      <c r="M62" s="117"/>
      <c r="N62" s="117"/>
      <c r="O62" s="117"/>
      <c r="P62" s="117"/>
      <c r="Q62" s="117"/>
      <c r="R62" s="117"/>
    </row>
    <row r="63" spans="1:18" ht="12" customHeight="1">
      <c r="A63" s="117" t="s">
        <v>76</v>
      </c>
      <c r="B63" s="118" t="s">
        <v>819</v>
      </c>
      <c r="C63" s="117" t="s">
        <v>76</v>
      </c>
      <c r="D63" s="117"/>
      <c r="E63" s="117"/>
      <c r="F63" s="117"/>
      <c r="G63" s="117"/>
      <c r="H63" s="117"/>
      <c r="I63" s="117"/>
      <c r="J63" s="117"/>
      <c r="K63" s="117"/>
      <c r="L63" s="117"/>
      <c r="M63" s="117"/>
      <c r="N63" s="117"/>
      <c r="O63" s="117"/>
      <c r="P63" s="117"/>
      <c r="Q63" s="117"/>
      <c r="R63" s="117"/>
    </row>
    <row r="64" spans="1:18" ht="12" customHeight="1">
      <c r="A64" s="117" t="s">
        <v>77</v>
      </c>
      <c r="B64" s="118" t="s">
        <v>820</v>
      </c>
      <c r="C64" s="117" t="s">
        <v>77</v>
      </c>
      <c r="D64" s="117"/>
      <c r="E64" s="117"/>
      <c r="F64" s="117"/>
      <c r="G64" s="117"/>
      <c r="H64" s="117"/>
      <c r="I64" s="117"/>
      <c r="J64" s="117"/>
      <c r="K64" s="117"/>
      <c r="L64" s="117"/>
      <c r="M64" s="117"/>
      <c r="N64" s="117"/>
      <c r="O64" s="117"/>
      <c r="P64" s="117"/>
      <c r="Q64" s="117"/>
      <c r="R64" s="117"/>
    </row>
    <row r="65" spans="1:18" ht="12" customHeight="1">
      <c r="A65" s="117" t="s">
        <v>78</v>
      </c>
      <c r="B65" s="118" t="s">
        <v>821</v>
      </c>
      <c r="C65" s="117" t="s">
        <v>78</v>
      </c>
      <c r="D65" s="117"/>
      <c r="E65" s="117"/>
      <c r="F65" s="117"/>
      <c r="G65" s="117"/>
      <c r="H65" s="117"/>
      <c r="I65" s="117"/>
      <c r="J65" s="117"/>
      <c r="K65" s="117"/>
      <c r="L65" s="117"/>
      <c r="M65" s="117"/>
      <c r="N65" s="117"/>
      <c r="O65" s="117"/>
      <c r="P65" s="117"/>
      <c r="Q65" s="117"/>
      <c r="R65" s="117"/>
    </row>
    <row r="66" spans="1:18" ht="12" customHeight="1">
      <c r="A66" s="117" t="s">
        <v>79</v>
      </c>
      <c r="B66" s="118" t="s">
        <v>822</v>
      </c>
      <c r="C66" s="117" t="s">
        <v>79</v>
      </c>
      <c r="D66" s="117"/>
      <c r="E66" s="117"/>
      <c r="F66" s="117"/>
      <c r="G66" s="117"/>
      <c r="H66" s="117"/>
      <c r="I66" s="117"/>
      <c r="J66" s="117"/>
      <c r="K66" s="117"/>
      <c r="L66" s="117"/>
      <c r="M66" s="117"/>
      <c r="N66" s="117"/>
      <c r="O66" s="117"/>
      <c r="P66" s="117"/>
      <c r="Q66" s="117"/>
      <c r="R66" s="117"/>
    </row>
    <row r="67" spans="1:18" ht="12" customHeight="1">
      <c r="A67" s="117" t="s">
        <v>80</v>
      </c>
      <c r="B67" s="118" t="s">
        <v>823</v>
      </c>
      <c r="C67" s="117" t="s">
        <v>80</v>
      </c>
      <c r="D67" s="117"/>
      <c r="E67" s="117"/>
      <c r="F67" s="117"/>
      <c r="G67" s="117"/>
      <c r="H67" s="117"/>
      <c r="I67" s="117"/>
      <c r="J67" s="117"/>
      <c r="K67" s="117"/>
      <c r="L67" s="117"/>
      <c r="M67" s="117"/>
      <c r="N67" s="117"/>
      <c r="O67" s="117"/>
      <c r="P67" s="117"/>
      <c r="Q67" s="117"/>
      <c r="R67" s="117"/>
    </row>
    <row r="68" spans="1:18" ht="12" customHeight="1">
      <c r="A68" s="117" t="s">
        <v>81</v>
      </c>
      <c r="B68" s="118" t="s">
        <v>824</v>
      </c>
      <c r="C68" s="117" t="s">
        <v>81</v>
      </c>
      <c r="D68" s="117"/>
      <c r="E68" s="117"/>
      <c r="F68" s="117"/>
      <c r="G68" s="117"/>
      <c r="H68" s="117"/>
      <c r="I68" s="117"/>
      <c r="J68" s="117"/>
      <c r="K68" s="117"/>
      <c r="L68" s="117"/>
      <c r="M68" s="117"/>
      <c r="N68" s="117"/>
      <c r="O68" s="117"/>
      <c r="P68" s="117"/>
      <c r="Q68" s="117"/>
      <c r="R68" s="117"/>
    </row>
    <row r="69" spans="1:18" ht="12" customHeight="1">
      <c r="A69" s="117" t="s">
        <v>82</v>
      </c>
      <c r="B69" s="118" t="s">
        <v>825</v>
      </c>
      <c r="C69" s="117" t="s">
        <v>82</v>
      </c>
      <c r="D69" s="117"/>
      <c r="E69" s="117"/>
      <c r="F69" s="117"/>
      <c r="G69" s="117"/>
      <c r="H69" s="117"/>
      <c r="I69" s="117"/>
      <c r="J69" s="117"/>
      <c r="K69" s="117"/>
      <c r="L69" s="117"/>
      <c r="M69" s="117"/>
      <c r="N69" s="117"/>
      <c r="O69" s="117"/>
      <c r="P69" s="117"/>
      <c r="Q69" s="117"/>
      <c r="R69" s="117"/>
    </row>
    <row r="70" spans="1:18" ht="12" customHeight="1">
      <c r="A70" s="117" t="s">
        <v>83</v>
      </c>
      <c r="B70" s="118" t="s">
        <v>826</v>
      </c>
      <c r="C70" s="117" t="s">
        <v>83</v>
      </c>
      <c r="D70" s="117"/>
      <c r="E70" s="117"/>
      <c r="F70" s="117"/>
      <c r="G70" s="117"/>
      <c r="H70" s="117"/>
      <c r="I70" s="117"/>
      <c r="J70" s="117"/>
      <c r="K70" s="117"/>
      <c r="L70" s="117"/>
      <c r="M70" s="117"/>
      <c r="N70" s="117"/>
      <c r="O70" s="117"/>
      <c r="P70" s="117"/>
      <c r="Q70" s="117"/>
      <c r="R70" s="117"/>
    </row>
    <row r="71" spans="1:18" ht="12" customHeight="1">
      <c r="A71" s="117" t="s">
        <v>87</v>
      </c>
      <c r="B71" s="118" t="s">
        <v>827</v>
      </c>
      <c r="C71" s="117" t="s">
        <v>87</v>
      </c>
      <c r="D71" s="117"/>
      <c r="E71" s="117"/>
      <c r="F71" s="117"/>
      <c r="G71" s="117"/>
      <c r="H71" s="117"/>
      <c r="I71" s="117"/>
      <c r="J71" s="117"/>
      <c r="K71" s="117"/>
      <c r="L71" s="117"/>
      <c r="M71" s="117"/>
      <c r="N71" s="117"/>
      <c r="O71" s="117"/>
      <c r="P71" s="117"/>
      <c r="Q71" s="117"/>
      <c r="R71" s="117"/>
    </row>
    <row r="72" spans="1:18" ht="12" customHeight="1">
      <c r="A72" s="117" t="s">
        <v>88</v>
      </c>
      <c r="B72" s="118" t="s">
        <v>828</v>
      </c>
      <c r="C72" s="117" t="s">
        <v>88</v>
      </c>
      <c r="D72" s="117"/>
      <c r="E72" s="117"/>
      <c r="F72" s="117"/>
      <c r="G72" s="117"/>
      <c r="H72" s="117"/>
      <c r="I72" s="117"/>
      <c r="J72" s="117"/>
      <c r="K72" s="117"/>
      <c r="L72" s="117"/>
      <c r="M72" s="117"/>
      <c r="N72" s="117"/>
      <c r="O72" s="117"/>
      <c r="P72" s="117"/>
      <c r="Q72" s="117"/>
      <c r="R72" s="117"/>
    </row>
    <row r="73" spans="1:18" ht="12" customHeight="1">
      <c r="A73" s="117" t="s">
        <v>89</v>
      </c>
      <c r="B73" s="118" t="s">
        <v>829</v>
      </c>
      <c r="C73" s="117" t="s">
        <v>89</v>
      </c>
      <c r="D73" s="117"/>
      <c r="E73" s="117"/>
      <c r="F73" s="117"/>
      <c r="G73" s="117"/>
      <c r="H73" s="117"/>
      <c r="I73" s="117"/>
      <c r="J73" s="117"/>
      <c r="K73" s="117"/>
      <c r="L73" s="117"/>
      <c r="M73" s="117"/>
      <c r="N73" s="117"/>
      <c r="O73" s="117"/>
      <c r="P73" s="117"/>
      <c r="Q73" s="117"/>
      <c r="R73" s="117"/>
    </row>
    <row r="74" spans="1:18" ht="12" customHeight="1">
      <c r="A74" s="117" t="s">
        <v>90</v>
      </c>
      <c r="B74" s="118" t="s">
        <v>830</v>
      </c>
      <c r="C74" s="117" t="s">
        <v>90</v>
      </c>
      <c r="D74" s="117"/>
      <c r="E74" s="117"/>
      <c r="F74" s="117"/>
      <c r="G74" s="117"/>
      <c r="H74" s="117"/>
      <c r="I74" s="117"/>
      <c r="J74" s="117"/>
      <c r="K74" s="117"/>
      <c r="L74" s="117"/>
      <c r="M74" s="117"/>
      <c r="N74" s="117"/>
      <c r="O74" s="117"/>
      <c r="P74" s="117"/>
      <c r="Q74" s="117"/>
      <c r="R74" s="117"/>
    </row>
    <row r="75" spans="1:18" ht="12" customHeight="1">
      <c r="A75" s="117" t="s">
        <v>91</v>
      </c>
      <c r="B75" s="118" t="s">
        <v>831</v>
      </c>
      <c r="C75" s="117" t="s">
        <v>91</v>
      </c>
      <c r="D75" s="117"/>
      <c r="E75" s="117"/>
      <c r="F75" s="117"/>
      <c r="G75" s="117"/>
      <c r="H75" s="117"/>
      <c r="I75" s="117"/>
      <c r="J75" s="117"/>
      <c r="K75" s="117"/>
      <c r="L75" s="117"/>
      <c r="M75" s="117"/>
      <c r="N75" s="117"/>
      <c r="O75" s="117"/>
      <c r="P75" s="117"/>
      <c r="Q75" s="117"/>
      <c r="R75" s="117"/>
    </row>
    <row r="76" spans="1:18" ht="12" customHeight="1">
      <c r="A76" s="117" t="s">
        <v>92</v>
      </c>
      <c r="B76" s="118" t="s">
        <v>832</v>
      </c>
      <c r="C76" s="117" t="s">
        <v>92</v>
      </c>
      <c r="D76" s="117"/>
      <c r="E76" s="117"/>
      <c r="F76" s="117"/>
      <c r="G76" s="117"/>
      <c r="H76" s="117"/>
      <c r="I76" s="117"/>
      <c r="J76" s="117"/>
      <c r="K76" s="117"/>
      <c r="L76" s="117"/>
      <c r="M76" s="117"/>
      <c r="N76" s="117"/>
      <c r="O76" s="117"/>
      <c r="P76" s="117"/>
      <c r="Q76" s="117"/>
      <c r="R76" s="117"/>
    </row>
    <row r="77" spans="1:18" ht="12" customHeight="1">
      <c r="A77" s="117" t="s">
        <v>93</v>
      </c>
      <c r="B77" s="118" t="s">
        <v>833</v>
      </c>
      <c r="C77" s="126" t="s">
        <v>834</v>
      </c>
      <c r="D77" s="117"/>
      <c r="E77" s="117"/>
      <c r="F77" s="117"/>
      <c r="G77" s="117"/>
      <c r="H77" s="117"/>
      <c r="I77" s="117"/>
      <c r="J77" s="117"/>
      <c r="K77" s="117"/>
      <c r="L77" s="117"/>
      <c r="M77" s="117"/>
      <c r="N77" s="117"/>
      <c r="O77" s="117"/>
      <c r="P77" s="117"/>
      <c r="Q77" s="117"/>
      <c r="R77" s="117"/>
    </row>
    <row r="78" spans="1:18" ht="12" customHeight="1">
      <c r="A78" s="117" t="s">
        <v>19</v>
      </c>
      <c r="B78" s="118" t="s">
        <v>835</v>
      </c>
      <c r="C78" s="117" t="s">
        <v>19</v>
      </c>
      <c r="D78" s="117"/>
      <c r="E78" s="117"/>
      <c r="F78" s="117"/>
      <c r="G78" s="117"/>
      <c r="H78" s="117"/>
      <c r="I78" s="117"/>
      <c r="J78" s="117"/>
      <c r="K78" s="117"/>
      <c r="L78" s="117"/>
      <c r="M78" s="117"/>
      <c r="N78" s="117"/>
      <c r="O78" s="117"/>
      <c r="P78" s="117"/>
      <c r="Q78" s="117"/>
      <c r="R78" s="117"/>
    </row>
    <row r="79" spans="1:18" ht="12" customHeight="1">
      <c r="A79" s="117" t="s">
        <v>94</v>
      </c>
      <c r="B79" s="118" t="s">
        <v>836</v>
      </c>
      <c r="C79" s="117" t="s">
        <v>94</v>
      </c>
      <c r="D79" s="117"/>
      <c r="E79" s="117"/>
      <c r="F79" s="117"/>
      <c r="G79" s="117"/>
      <c r="H79" s="117"/>
      <c r="I79" s="117"/>
      <c r="J79" s="117"/>
      <c r="K79" s="117"/>
      <c r="L79" s="117"/>
      <c r="M79" s="117"/>
      <c r="N79" s="117"/>
      <c r="O79" s="117"/>
      <c r="P79" s="117"/>
      <c r="Q79" s="117"/>
      <c r="R79" s="117"/>
    </row>
    <row r="80" spans="1:18" ht="12" customHeight="1">
      <c r="A80" s="117" t="s">
        <v>95</v>
      </c>
      <c r="B80" s="118" t="s">
        <v>837</v>
      </c>
      <c r="C80" s="117" t="s">
        <v>95</v>
      </c>
      <c r="D80" s="117"/>
      <c r="E80" s="117"/>
      <c r="F80" s="117"/>
      <c r="G80" s="117"/>
      <c r="H80" s="117"/>
      <c r="I80" s="117"/>
      <c r="J80" s="117"/>
      <c r="K80" s="117"/>
      <c r="L80" s="117"/>
      <c r="M80" s="117"/>
      <c r="N80" s="117"/>
      <c r="O80" s="117"/>
      <c r="P80" s="117"/>
      <c r="Q80" s="117"/>
      <c r="R80" s="117"/>
    </row>
    <row r="81" spans="1:18" ht="12" customHeight="1">
      <c r="A81" s="117" t="s">
        <v>96</v>
      </c>
      <c r="B81" s="118" t="s">
        <v>838</v>
      </c>
      <c r="C81" s="117" t="s">
        <v>96</v>
      </c>
      <c r="D81" s="117"/>
      <c r="E81" s="117"/>
      <c r="F81" s="117"/>
      <c r="G81" s="117"/>
      <c r="H81" s="117"/>
      <c r="I81" s="117"/>
      <c r="J81" s="117"/>
      <c r="K81" s="117"/>
      <c r="L81" s="117"/>
      <c r="M81" s="117"/>
      <c r="N81" s="117"/>
      <c r="O81" s="117"/>
      <c r="P81" s="117"/>
      <c r="Q81" s="117"/>
      <c r="R81" s="117"/>
    </row>
    <row r="82" spans="1:18" ht="12" customHeight="1">
      <c r="A82" s="117" t="s">
        <v>97</v>
      </c>
      <c r="B82" s="118" t="s">
        <v>839</v>
      </c>
      <c r="C82" s="126" t="s">
        <v>840</v>
      </c>
      <c r="D82" s="117"/>
      <c r="E82" s="117"/>
      <c r="F82" s="117"/>
      <c r="G82" s="117"/>
      <c r="H82" s="117"/>
      <c r="I82" s="117"/>
      <c r="J82" s="117"/>
      <c r="K82" s="117"/>
      <c r="L82" s="117"/>
      <c r="M82" s="117"/>
      <c r="N82" s="117"/>
      <c r="O82" s="117"/>
      <c r="P82" s="117"/>
      <c r="Q82" s="117"/>
      <c r="R82" s="117"/>
    </row>
    <row r="83" spans="1:18" ht="12" customHeight="1">
      <c r="A83" s="117" t="s">
        <v>98</v>
      </c>
      <c r="B83" s="118" t="s">
        <v>841</v>
      </c>
      <c r="C83" s="126" t="s">
        <v>842</v>
      </c>
      <c r="D83" s="117"/>
      <c r="E83" s="117"/>
      <c r="F83" s="117"/>
      <c r="G83" s="117"/>
      <c r="H83" s="117"/>
      <c r="I83" s="117"/>
      <c r="J83" s="117"/>
      <c r="K83" s="117"/>
      <c r="L83" s="117"/>
      <c r="M83" s="117"/>
      <c r="N83" s="117"/>
      <c r="O83" s="117"/>
      <c r="P83" s="117"/>
      <c r="Q83" s="117"/>
      <c r="R83" s="117"/>
    </row>
    <row r="84" spans="1:18" ht="12" customHeight="1">
      <c r="A84" s="117" t="s">
        <v>99</v>
      </c>
      <c r="B84" s="118" t="s">
        <v>843</v>
      </c>
      <c r="C84" s="117" t="s">
        <v>99</v>
      </c>
      <c r="D84" s="117"/>
      <c r="E84" s="117"/>
      <c r="F84" s="117"/>
      <c r="G84" s="117"/>
      <c r="H84" s="117"/>
      <c r="I84" s="117"/>
      <c r="J84" s="117"/>
      <c r="K84" s="117"/>
      <c r="L84" s="117"/>
      <c r="M84" s="117"/>
      <c r="N84" s="117"/>
      <c r="O84" s="117"/>
      <c r="P84" s="117"/>
      <c r="Q84" s="117"/>
      <c r="R84" s="117"/>
    </row>
    <row r="85" spans="1:18" ht="12" customHeight="1">
      <c r="A85" s="117" t="s">
        <v>100</v>
      </c>
      <c r="B85" s="118" t="s">
        <v>844</v>
      </c>
      <c r="C85" s="117" t="s">
        <v>100</v>
      </c>
      <c r="D85" s="117"/>
      <c r="E85" s="117"/>
      <c r="F85" s="117"/>
      <c r="G85" s="117"/>
      <c r="H85" s="117"/>
      <c r="I85" s="117"/>
      <c r="J85" s="117"/>
      <c r="K85" s="117"/>
      <c r="L85" s="117"/>
      <c r="M85" s="117"/>
      <c r="N85" s="117"/>
      <c r="O85" s="117"/>
      <c r="P85" s="117"/>
      <c r="Q85" s="117"/>
      <c r="R85" s="117"/>
    </row>
    <row r="86" spans="1:18" ht="12" customHeight="1">
      <c r="A86" s="117" t="s">
        <v>101</v>
      </c>
      <c r="B86" s="118" t="s">
        <v>845</v>
      </c>
      <c r="C86" s="117" t="s">
        <v>101</v>
      </c>
      <c r="D86" s="117"/>
      <c r="E86" s="117"/>
      <c r="F86" s="117"/>
      <c r="G86" s="117"/>
      <c r="H86" s="117"/>
      <c r="I86" s="117"/>
      <c r="J86" s="117"/>
      <c r="K86" s="117"/>
      <c r="L86" s="117"/>
      <c r="M86" s="117"/>
      <c r="N86" s="117"/>
      <c r="O86" s="117"/>
      <c r="P86" s="117"/>
      <c r="Q86" s="117"/>
      <c r="R86" s="117"/>
    </row>
    <row r="87" spans="1:18" ht="12" customHeight="1">
      <c r="A87" s="118"/>
      <c r="B87" s="132"/>
      <c r="C87" s="133" t="s">
        <v>24</v>
      </c>
      <c r="D87" s="117"/>
      <c r="E87" s="117"/>
      <c r="F87" s="117"/>
      <c r="G87" s="117"/>
      <c r="H87" s="117"/>
      <c r="I87" s="117"/>
      <c r="J87" s="117"/>
      <c r="K87" s="117"/>
      <c r="L87" s="117"/>
      <c r="M87" s="117"/>
      <c r="N87" s="117"/>
      <c r="O87" s="117"/>
      <c r="P87" s="117"/>
      <c r="Q87" s="117"/>
      <c r="R87" s="117"/>
    </row>
    <row r="88" spans="1:18" ht="12" customHeight="1">
      <c r="A88" s="117"/>
      <c r="B88" s="117"/>
      <c r="C88" s="117"/>
      <c r="D88" s="117"/>
      <c r="E88" s="117"/>
      <c r="F88" s="117"/>
      <c r="G88" s="117"/>
      <c r="H88" s="117"/>
      <c r="I88" s="117"/>
      <c r="J88" s="117"/>
      <c r="K88" s="117"/>
      <c r="L88" s="117"/>
      <c r="M88" s="117"/>
      <c r="N88" s="117"/>
      <c r="O88" s="117"/>
      <c r="P88" s="117"/>
      <c r="Q88" s="117"/>
      <c r="R88" s="117"/>
    </row>
    <row r="89" spans="1:18" ht="12" customHeight="1">
      <c r="A89" s="117"/>
      <c r="B89" s="117"/>
      <c r="C89" s="117"/>
      <c r="D89" s="117"/>
      <c r="E89" s="117"/>
      <c r="F89" s="117"/>
      <c r="G89" s="117"/>
      <c r="H89" s="117"/>
      <c r="I89" s="117"/>
      <c r="J89" s="117"/>
      <c r="K89" s="117"/>
      <c r="L89" s="117"/>
      <c r="M89" s="117"/>
      <c r="N89" s="117"/>
      <c r="O89" s="117"/>
      <c r="P89" s="117"/>
      <c r="Q89" s="117"/>
      <c r="R89" s="117"/>
    </row>
    <row r="90" spans="1:18" ht="12" customHeight="1">
      <c r="A90" s="117" t="s">
        <v>28</v>
      </c>
      <c r="B90" s="118" t="s">
        <v>846</v>
      </c>
      <c r="C90" s="117"/>
      <c r="D90" s="117"/>
      <c r="E90" s="117"/>
      <c r="F90" s="117"/>
      <c r="G90" s="117"/>
      <c r="H90" s="117"/>
      <c r="I90" s="117"/>
      <c r="J90" s="117"/>
      <c r="K90" s="117"/>
      <c r="L90" s="117"/>
      <c r="M90" s="117"/>
      <c r="N90" s="117"/>
      <c r="O90" s="117"/>
      <c r="P90" s="117"/>
      <c r="Q90" s="117"/>
      <c r="R90" s="117"/>
    </row>
    <row r="91" spans="1:18" ht="12" customHeight="1">
      <c r="A91" s="117" t="s">
        <v>29</v>
      </c>
      <c r="B91" s="118" t="s">
        <v>847</v>
      </c>
      <c r="C91" s="117"/>
      <c r="D91" s="117"/>
      <c r="E91" s="117"/>
      <c r="F91" s="117"/>
      <c r="G91" s="117"/>
      <c r="H91" s="117"/>
      <c r="I91" s="117"/>
      <c r="J91" s="117"/>
      <c r="K91" s="117"/>
      <c r="L91" s="117"/>
      <c r="M91" s="117"/>
      <c r="N91" s="117"/>
      <c r="O91" s="117"/>
      <c r="P91" s="117"/>
      <c r="Q91" s="117"/>
      <c r="R91" s="117"/>
    </row>
    <row r="92" spans="1:18" ht="12" customHeight="1">
      <c r="A92" s="117" t="s">
        <v>30</v>
      </c>
      <c r="B92" s="118" t="s">
        <v>848</v>
      </c>
      <c r="C92" s="117"/>
      <c r="D92" s="117"/>
      <c r="E92" s="117"/>
      <c r="F92" s="117"/>
      <c r="G92" s="117"/>
      <c r="H92" s="117"/>
      <c r="I92" s="117"/>
      <c r="J92" s="117"/>
      <c r="K92" s="117"/>
      <c r="L92" s="117"/>
      <c r="M92" s="117"/>
      <c r="N92" s="117"/>
      <c r="O92" s="117"/>
      <c r="P92" s="117"/>
      <c r="Q92" s="117"/>
      <c r="R92" s="117"/>
    </row>
    <row r="93" spans="1:18" ht="12" customHeight="1">
      <c r="A93" s="117" t="s">
        <v>31</v>
      </c>
      <c r="B93" s="118" t="s">
        <v>1365</v>
      </c>
      <c r="C93" s="117"/>
      <c r="D93" s="117"/>
      <c r="E93" s="117"/>
      <c r="F93" s="117"/>
      <c r="G93" s="117"/>
      <c r="H93" s="117"/>
      <c r="I93" s="117"/>
      <c r="J93" s="117"/>
      <c r="K93" s="117"/>
      <c r="L93" s="117"/>
      <c r="M93" s="117"/>
      <c r="N93" s="117"/>
      <c r="O93" s="117"/>
      <c r="P93" s="117"/>
      <c r="Q93" s="117"/>
      <c r="R93" s="117"/>
    </row>
    <row r="94" spans="1:18" ht="12" customHeight="1">
      <c r="A94" s="117" t="s">
        <v>32</v>
      </c>
      <c r="B94" s="118" t="s">
        <v>849</v>
      </c>
      <c r="C94" s="117"/>
      <c r="D94" s="117"/>
      <c r="E94" s="117"/>
      <c r="F94" s="117"/>
      <c r="G94" s="117"/>
      <c r="H94" s="117"/>
      <c r="I94" s="117"/>
      <c r="J94" s="117"/>
      <c r="K94" s="117"/>
      <c r="L94" s="117"/>
      <c r="M94" s="117"/>
      <c r="N94" s="117"/>
      <c r="O94" s="117"/>
      <c r="P94" s="117"/>
      <c r="Q94" s="117"/>
      <c r="R94" s="117"/>
    </row>
    <row r="95" spans="1:18" ht="12" customHeight="1">
      <c r="A95" s="117" t="s">
        <v>33</v>
      </c>
      <c r="B95" s="118" t="s">
        <v>850</v>
      </c>
      <c r="C95" s="117"/>
      <c r="D95" s="117"/>
      <c r="E95" s="117"/>
      <c r="F95" s="117"/>
      <c r="G95" s="117"/>
      <c r="H95" s="117"/>
      <c r="I95" s="117"/>
      <c r="J95" s="117"/>
      <c r="K95" s="117"/>
      <c r="L95" s="117"/>
      <c r="M95" s="117"/>
      <c r="N95" s="117"/>
      <c r="O95" s="117"/>
      <c r="P95" s="117"/>
      <c r="Q95" s="117"/>
      <c r="R95" s="117"/>
    </row>
    <row r="96" spans="1:18" ht="12" customHeight="1">
      <c r="A96" s="117" t="s">
        <v>34</v>
      </c>
      <c r="B96" s="118" t="s">
        <v>851</v>
      </c>
      <c r="C96" s="117"/>
      <c r="D96" s="117"/>
      <c r="E96" s="117"/>
      <c r="F96" s="117"/>
      <c r="G96" s="117"/>
      <c r="H96" s="117"/>
      <c r="I96" s="117"/>
      <c r="J96" s="117"/>
      <c r="K96" s="117"/>
      <c r="L96" s="117"/>
      <c r="M96" s="117"/>
      <c r="N96" s="117"/>
      <c r="O96" s="117"/>
      <c r="P96" s="117"/>
      <c r="Q96" s="117"/>
      <c r="R96" s="117"/>
    </row>
    <row r="97" spans="1:18" ht="12" customHeight="1">
      <c r="A97" s="117" t="s">
        <v>35</v>
      </c>
      <c r="B97" s="118" t="s">
        <v>852</v>
      </c>
      <c r="C97" s="117"/>
      <c r="D97" s="117"/>
      <c r="E97" s="117"/>
      <c r="F97" s="117"/>
      <c r="G97" s="117"/>
      <c r="H97" s="117"/>
      <c r="I97" s="117"/>
      <c r="J97" s="117"/>
      <c r="K97" s="117"/>
      <c r="L97" s="117"/>
      <c r="M97" s="117"/>
      <c r="N97" s="117"/>
      <c r="O97" s="117"/>
      <c r="P97" s="117"/>
      <c r="Q97" s="117"/>
      <c r="R97" s="117"/>
    </row>
    <row r="98" spans="1:18" ht="12" customHeight="1">
      <c r="A98" s="117" t="s">
        <v>36</v>
      </c>
      <c r="B98" s="118" t="s">
        <v>853</v>
      </c>
      <c r="C98" s="117"/>
      <c r="D98" s="117"/>
      <c r="E98" s="117"/>
      <c r="F98" s="117"/>
      <c r="G98" s="117"/>
      <c r="H98" s="117"/>
      <c r="I98" s="117"/>
      <c r="J98" s="117"/>
      <c r="K98" s="117"/>
      <c r="L98" s="117"/>
      <c r="M98" s="117"/>
      <c r="N98" s="117"/>
      <c r="O98" s="117"/>
      <c r="P98" s="117"/>
      <c r="Q98" s="117"/>
      <c r="R98" s="117"/>
    </row>
    <row r="99" spans="1:18" ht="12" customHeight="1">
      <c r="A99" s="117" t="s">
        <v>37</v>
      </c>
      <c r="B99" s="118" t="s">
        <v>1127</v>
      </c>
      <c r="C99" s="117"/>
      <c r="D99" s="117"/>
      <c r="E99" s="117"/>
      <c r="F99" s="117"/>
      <c r="G99" s="117"/>
      <c r="H99" s="117"/>
      <c r="I99" s="117"/>
      <c r="J99" s="117"/>
      <c r="K99" s="117"/>
      <c r="L99" s="117"/>
      <c r="M99" s="117"/>
      <c r="N99" s="117"/>
      <c r="O99" s="117"/>
      <c r="P99" s="117"/>
      <c r="Q99" s="117"/>
      <c r="R99" s="117"/>
    </row>
    <row r="100" spans="1:18" ht="12" customHeight="1">
      <c r="A100" s="335" t="s">
        <v>38</v>
      </c>
      <c r="B100" s="118" t="s">
        <v>854</v>
      </c>
      <c r="C100" s="117"/>
      <c r="D100" s="117"/>
      <c r="E100" s="117"/>
      <c r="F100" s="117"/>
      <c r="G100" s="117"/>
      <c r="H100" s="117"/>
      <c r="I100" s="117"/>
      <c r="J100" s="117"/>
      <c r="K100" s="117"/>
      <c r="L100" s="117"/>
      <c r="M100" s="117"/>
      <c r="N100" s="117"/>
      <c r="O100" s="134"/>
      <c r="P100" s="117"/>
      <c r="Q100" s="117"/>
      <c r="R100" s="117"/>
    </row>
    <row r="101" spans="1:18" ht="12" customHeight="1">
      <c r="A101" s="335" t="s">
        <v>738</v>
      </c>
      <c r="B101" s="118" t="s">
        <v>855</v>
      </c>
      <c r="C101" s="117"/>
      <c r="D101" s="117"/>
      <c r="E101" s="117"/>
      <c r="F101" s="117"/>
      <c r="G101" s="117"/>
      <c r="H101" s="117"/>
      <c r="I101" s="117"/>
      <c r="J101" s="117"/>
      <c r="K101" s="117"/>
      <c r="L101" s="117"/>
      <c r="M101" s="117"/>
      <c r="N101" s="117"/>
      <c r="O101" s="134"/>
      <c r="P101" s="117"/>
      <c r="Q101" s="117"/>
      <c r="R101" s="117"/>
    </row>
    <row r="102" spans="1:18" ht="12" customHeight="1">
      <c r="A102" s="335" t="s">
        <v>741</v>
      </c>
      <c r="B102" s="118" t="s">
        <v>856</v>
      </c>
      <c r="C102" s="117"/>
      <c r="D102" s="117"/>
      <c r="E102" s="117"/>
      <c r="F102" s="117"/>
      <c r="G102" s="117"/>
      <c r="H102" s="117"/>
      <c r="I102" s="117"/>
      <c r="J102" s="117"/>
      <c r="K102" s="117"/>
      <c r="L102" s="117"/>
      <c r="M102" s="117"/>
      <c r="N102" s="117"/>
      <c r="O102" s="134"/>
      <c r="P102" s="117"/>
      <c r="Q102" s="117"/>
      <c r="R102" s="117"/>
    </row>
    <row r="103" spans="1:18" ht="12" customHeight="1">
      <c r="A103" s="335" t="s">
        <v>745</v>
      </c>
      <c r="B103" s="118" t="s">
        <v>1366</v>
      </c>
      <c r="C103" s="117"/>
      <c r="D103" s="117"/>
      <c r="E103" s="117"/>
      <c r="F103" s="117"/>
      <c r="G103" s="117"/>
      <c r="H103" s="117"/>
      <c r="I103" s="117"/>
      <c r="J103" s="117"/>
      <c r="K103" s="117"/>
      <c r="L103" s="117"/>
      <c r="M103" s="117"/>
      <c r="N103" s="117"/>
      <c r="O103" s="134"/>
      <c r="P103" s="117"/>
      <c r="Q103" s="117"/>
      <c r="R103" s="117"/>
    </row>
    <row r="104" spans="1:18" ht="12" customHeight="1">
      <c r="A104" s="117" t="s">
        <v>39</v>
      </c>
      <c r="B104" s="118" t="s">
        <v>857</v>
      </c>
      <c r="C104" s="117"/>
      <c r="D104" s="117"/>
      <c r="E104" s="117"/>
      <c r="F104" s="117"/>
      <c r="G104" s="117"/>
      <c r="H104" s="117"/>
      <c r="I104" s="117"/>
      <c r="J104" s="117"/>
      <c r="K104" s="117"/>
      <c r="L104" s="117"/>
      <c r="M104" s="117"/>
      <c r="N104" s="117"/>
      <c r="O104" s="134"/>
      <c r="P104" s="117"/>
      <c r="Q104" s="117"/>
      <c r="R104" s="117"/>
    </row>
    <row r="105" spans="1:18" ht="12" customHeight="1">
      <c r="A105" s="117" t="s">
        <v>40</v>
      </c>
      <c r="B105" s="118" t="s">
        <v>858</v>
      </c>
      <c r="C105" s="117"/>
      <c r="D105" s="117"/>
      <c r="E105" s="117"/>
      <c r="F105" s="117"/>
      <c r="G105" s="117"/>
      <c r="H105" s="117"/>
      <c r="I105" s="117"/>
      <c r="J105" s="117"/>
      <c r="K105" s="117"/>
      <c r="L105" s="117"/>
      <c r="M105" s="117"/>
      <c r="N105" s="117"/>
      <c r="O105" s="134"/>
      <c r="P105" s="117"/>
      <c r="Q105" s="117"/>
      <c r="R105" s="117"/>
    </row>
    <row r="106" spans="1:18" ht="12" customHeight="1">
      <c r="A106" s="117" t="s">
        <v>41</v>
      </c>
      <c r="B106" s="118" t="s">
        <v>859</v>
      </c>
      <c r="C106" s="117"/>
      <c r="D106" s="117"/>
      <c r="E106" s="117"/>
      <c r="F106" s="117"/>
      <c r="G106" s="117"/>
      <c r="H106" s="117"/>
      <c r="I106" s="117"/>
      <c r="J106" s="117"/>
      <c r="K106" s="117"/>
      <c r="L106" s="117"/>
      <c r="M106" s="117"/>
      <c r="N106" s="117"/>
      <c r="O106" s="134"/>
      <c r="P106" s="117"/>
      <c r="Q106" s="117"/>
      <c r="R106" s="117"/>
    </row>
    <row r="107" spans="1:18" ht="12" customHeight="1">
      <c r="A107" s="117" t="s">
        <v>42</v>
      </c>
      <c r="B107" s="118" t="s">
        <v>860</v>
      </c>
      <c r="C107" s="117"/>
      <c r="D107" s="117"/>
      <c r="E107" s="117"/>
      <c r="F107" s="117"/>
      <c r="G107" s="117"/>
      <c r="H107" s="117"/>
      <c r="I107" s="117"/>
      <c r="J107" s="117"/>
      <c r="K107" s="117"/>
      <c r="L107" s="117"/>
      <c r="M107" s="117"/>
      <c r="N107" s="117"/>
      <c r="O107" s="134"/>
      <c r="P107" s="117"/>
      <c r="Q107" s="117"/>
      <c r="R107" s="117"/>
    </row>
    <row r="108" spans="1:18" ht="12" customHeight="1">
      <c r="A108" s="117" t="s">
        <v>43</v>
      </c>
      <c r="B108" s="118" t="s">
        <v>861</v>
      </c>
      <c r="C108" s="117"/>
      <c r="D108" s="117"/>
      <c r="E108" s="117"/>
      <c r="F108" s="117"/>
      <c r="G108" s="117"/>
      <c r="H108" s="117"/>
      <c r="I108" s="117"/>
      <c r="J108" s="117"/>
      <c r="K108" s="117"/>
      <c r="L108" s="117"/>
      <c r="M108" s="134"/>
      <c r="N108" s="117"/>
      <c r="O108" s="134"/>
      <c r="P108" s="117"/>
      <c r="Q108" s="117"/>
      <c r="R108" s="117"/>
    </row>
    <row r="109" spans="1:18" ht="12" customHeight="1">
      <c r="A109" s="117" t="s">
        <v>44</v>
      </c>
      <c r="B109" s="118" t="s">
        <v>862</v>
      </c>
      <c r="C109" s="117"/>
      <c r="D109" s="117"/>
      <c r="E109" s="117"/>
      <c r="F109" s="117"/>
      <c r="G109" s="117"/>
      <c r="H109" s="117"/>
      <c r="I109" s="117"/>
      <c r="J109" s="117"/>
      <c r="K109" s="117"/>
      <c r="L109" s="117"/>
      <c r="M109" s="134"/>
      <c r="N109" s="117"/>
      <c r="O109" s="134"/>
      <c r="P109" s="117"/>
      <c r="Q109" s="117"/>
      <c r="R109" s="117"/>
    </row>
    <row r="110" spans="1:18" ht="12" customHeight="1">
      <c r="A110" s="117" t="s">
        <v>45</v>
      </c>
      <c r="B110" s="118" t="s">
        <v>863</v>
      </c>
      <c r="C110" s="117"/>
      <c r="D110" s="117"/>
      <c r="E110" s="117"/>
      <c r="F110" s="117"/>
      <c r="G110" s="117"/>
      <c r="H110" s="117"/>
      <c r="I110" s="117"/>
      <c r="J110" s="117"/>
      <c r="K110" s="117"/>
      <c r="L110" s="117"/>
      <c r="M110" s="134"/>
      <c r="N110" s="117"/>
      <c r="O110" s="134"/>
      <c r="P110" s="117"/>
      <c r="Q110" s="117"/>
      <c r="R110" s="117"/>
    </row>
    <row r="111" spans="1:18" ht="12" customHeight="1">
      <c r="A111" s="117" t="s">
        <v>46</v>
      </c>
      <c r="B111" s="118" t="s">
        <v>864</v>
      </c>
      <c r="C111" s="117"/>
      <c r="D111" s="117"/>
      <c r="E111" s="117"/>
      <c r="F111" s="117"/>
      <c r="G111" s="117"/>
      <c r="H111" s="117"/>
      <c r="I111" s="117"/>
      <c r="J111" s="117"/>
      <c r="K111" s="117"/>
      <c r="L111" s="117"/>
      <c r="M111" s="134"/>
      <c r="N111" s="117"/>
      <c r="O111" s="134"/>
      <c r="P111" s="117"/>
      <c r="Q111" s="117"/>
      <c r="R111" s="117"/>
    </row>
    <row r="112" spans="1:18" ht="12" customHeight="1">
      <c r="A112" s="117" t="s">
        <v>47</v>
      </c>
      <c r="B112" s="118" t="s">
        <v>865</v>
      </c>
      <c r="C112" s="117"/>
      <c r="D112" s="117"/>
      <c r="E112" s="117"/>
      <c r="F112" s="117"/>
      <c r="G112" s="117"/>
      <c r="H112" s="117"/>
      <c r="I112" s="117"/>
      <c r="J112" s="117"/>
      <c r="K112" s="117"/>
      <c r="L112" s="117"/>
      <c r="M112" s="134"/>
      <c r="N112" s="117"/>
      <c r="O112" s="134"/>
      <c r="P112" s="117"/>
      <c r="Q112" s="117"/>
      <c r="R112" s="117"/>
    </row>
    <row r="113" spans="1:18" ht="12" customHeight="1">
      <c r="A113" s="117" t="s">
        <v>48</v>
      </c>
      <c r="B113" s="118" t="s">
        <v>866</v>
      </c>
      <c r="C113" s="117"/>
      <c r="D113" s="117"/>
      <c r="E113" s="117"/>
      <c r="F113" s="117"/>
      <c r="G113" s="117"/>
      <c r="H113" s="117"/>
      <c r="I113" s="117"/>
      <c r="J113" s="117"/>
      <c r="K113" s="117"/>
      <c r="L113" s="117"/>
      <c r="M113" s="134"/>
      <c r="N113" s="117"/>
      <c r="O113" s="134"/>
      <c r="P113" s="117"/>
      <c r="Q113" s="117"/>
      <c r="R113" s="117"/>
    </row>
    <row r="114" spans="1:18" ht="12" customHeight="1">
      <c r="A114" s="117" t="s">
        <v>49</v>
      </c>
      <c r="B114" s="118" t="s">
        <v>867</v>
      </c>
      <c r="C114" s="117"/>
      <c r="D114" s="117"/>
      <c r="E114" s="117"/>
      <c r="F114" s="117"/>
      <c r="G114" s="117"/>
      <c r="H114" s="117"/>
      <c r="I114" s="117"/>
      <c r="J114" s="117"/>
      <c r="K114" s="117"/>
      <c r="L114" s="117"/>
      <c r="M114" s="134"/>
      <c r="N114" s="117"/>
      <c r="O114" s="134"/>
      <c r="P114" s="117"/>
      <c r="Q114" s="117"/>
      <c r="R114" s="117"/>
    </row>
    <row r="115" spans="1:18" ht="12" customHeight="1">
      <c r="A115" s="117" t="s">
        <v>50</v>
      </c>
      <c r="B115" s="118" t="s">
        <v>868</v>
      </c>
      <c r="C115" s="117"/>
      <c r="D115" s="117"/>
      <c r="E115" s="117"/>
      <c r="F115" s="117"/>
      <c r="G115" s="117"/>
      <c r="H115" s="117"/>
      <c r="I115" s="117"/>
      <c r="J115" s="117"/>
      <c r="K115" s="117"/>
      <c r="L115" s="117"/>
      <c r="M115" s="134"/>
      <c r="N115" s="117"/>
      <c r="O115" s="134"/>
      <c r="P115" s="117"/>
      <c r="Q115" s="117"/>
      <c r="R115" s="117"/>
    </row>
    <row r="116" spans="1:18" ht="12" customHeight="1">
      <c r="A116" s="117" t="s">
        <v>51</v>
      </c>
      <c r="B116" s="118" t="s">
        <v>1367</v>
      </c>
      <c r="C116" s="117"/>
      <c r="D116" s="117"/>
      <c r="E116" s="117"/>
      <c r="F116" s="117"/>
      <c r="G116" s="117"/>
      <c r="H116" s="117"/>
      <c r="I116" s="117"/>
      <c r="J116" s="117"/>
      <c r="K116" s="117"/>
      <c r="L116" s="117"/>
      <c r="M116" s="134"/>
      <c r="N116" s="117"/>
      <c r="O116" s="134"/>
      <c r="P116" s="117"/>
      <c r="Q116" s="117"/>
      <c r="R116" s="117"/>
    </row>
    <row r="117" spans="1:18" ht="12" customHeight="1">
      <c r="A117" s="117" t="s">
        <v>52</v>
      </c>
      <c r="B117" s="118" t="s">
        <v>869</v>
      </c>
      <c r="C117" s="117"/>
      <c r="D117" s="117"/>
      <c r="E117" s="117"/>
      <c r="F117" s="117"/>
      <c r="G117" s="117"/>
      <c r="H117" s="117"/>
      <c r="I117" s="117"/>
      <c r="J117" s="117"/>
      <c r="K117" s="117"/>
      <c r="L117" s="117"/>
      <c r="M117" s="134"/>
      <c r="N117" s="117"/>
      <c r="O117" s="134"/>
      <c r="P117" s="117"/>
      <c r="Q117" s="117"/>
      <c r="R117" s="117"/>
    </row>
    <row r="118" spans="1:18" ht="12" customHeight="1">
      <c r="A118" s="117" t="s">
        <v>53</v>
      </c>
      <c r="B118" s="118" t="s">
        <v>870</v>
      </c>
      <c r="C118" s="117"/>
      <c r="D118" s="117"/>
      <c r="E118" s="117"/>
      <c r="F118" s="117"/>
      <c r="G118" s="117"/>
      <c r="H118" s="117"/>
      <c r="I118" s="117"/>
      <c r="J118" s="117"/>
      <c r="K118" s="117"/>
      <c r="L118" s="117"/>
      <c r="M118" s="134"/>
      <c r="N118" s="117"/>
      <c r="O118" s="134"/>
      <c r="P118" s="117"/>
      <c r="Q118" s="117"/>
      <c r="R118" s="117"/>
    </row>
    <row r="119" spans="1:18" ht="12" customHeight="1">
      <c r="A119" s="117" t="s">
        <v>54</v>
      </c>
      <c r="B119" s="118" t="s">
        <v>871</v>
      </c>
      <c r="C119" s="117"/>
      <c r="D119" s="117"/>
      <c r="E119" s="117"/>
      <c r="F119" s="117"/>
      <c r="G119" s="117"/>
      <c r="H119" s="117"/>
      <c r="I119" s="117"/>
      <c r="J119" s="117"/>
      <c r="K119" s="117"/>
      <c r="L119" s="117"/>
      <c r="M119" s="134"/>
      <c r="N119" s="117"/>
      <c r="O119" s="134"/>
      <c r="P119" s="117"/>
      <c r="Q119" s="117"/>
      <c r="R119" s="117"/>
    </row>
    <row r="120" spans="1:18" ht="12" customHeight="1">
      <c r="A120" s="117" t="s">
        <v>55</v>
      </c>
      <c r="B120" s="118" t="s">
        <v>872</v>
      </c>
      <c r="C120" s="117"/>
      <c r="D120" s="117"/>
      <c r="E120" s="117"/>
      <c r="F120" s="117"/>
      <c r="G120" s="117"/>
      <c r="H120" s="117"/>
      <c r="I120" s="117"/>
      <c r="J120" s="117"/>
      <c r="K120" s="117"/>
      <c r="L120" s="117"/>
      <c r="M120" s="134"/>
      <c r="N120" s="117"/>
      <c r="O120" s="134"/>
      <c r="P120" s="117"/>
      <c r="Q120" s="117"/>
      <c r="R120" s="117"/>
    </row>
    <row r="121" spans="1:18" ht="12" customHeight="1">
      <c r="A121" s="117" t="s">
        <v>56</v>
      </c>
      <c r="B121" s="118" t="s">
        <v>873</v>
      </c>
      <c r="C121" s="117"/>
      <c r="D121" s="117"/>
      <c r="E121" s="117"/>
      <c r="F121" s="117"/>
      <c r="G121" s="117"/>
      <c r="H121" s="117"/>
      <c r="I121" s="117"/>
      <c r="J121" s="117"/>
      <c r="K121" s="117"/>
      <c r="L121" s="117"/>
      <c r="M121" s="134"/>
      <c r="N121" s="117"/>
      <c r="O121" s="134"/>
      <c r="P121" s="117"/>
      <c r="Q121" s="117"/>
      <c r="R121" s="117"/>
    </row>
    <row r="122" spans="1:18" ht="12" customHeight="1">
      <c r="A122" s="117" t="s">
        <v>57</v>
      </c>
      <c r="B122" s="118" t="s">
        <v>874</v>
      </c>
      <c r="C122" s="117"/>
      <c r="D122" s="117"/>
      <c r="E122" s="117"/>
      <c r="F122" s="117"/>
      <c r="G122" s="117"/>
      <c r="H122" s="117"/>
      <c r="I122" s="117"/>
      <c r="J122" s="117"/>
      <c r="K122" s="117"/>
      <c r="L122" s="117"/>
      <c r="M122" s="134"/>
      <c r="N122" s="117"/>
      <c r="O122" s="134"/>
      <c r="P122" s="117"/>
      <c r="Q122" s="117"/>
      <c r="R122" s="117"/>
    </row>
    <row r="123" spans="1:18" ht="12" customHeight="1">
      <c r="A123" s="117" t="s">
        <v>58</v>
      </c>
      <c r="B123" s="118" t="s">
        <v>875</v>
      </c>
      <c r="C123" s="117"/>
      <c r="D123" s="117"/>
      <c r="E123" s="117"/>
      <c r="F123" s="117"/>
      <c r="G123" s="117"/>
      <c r="H123" s="117"/>
      <c r="I123" s="117"/>
      <c r="J123" s="117"/>
      <c r="K123" s="117"/>
      <c r="L123" s="117"/>
      <c r="M123" s="134"/>
      <c r="N123" s="117"/>
      <c r="O123" s="134"/>
      <c r="P123" s="117"/>
      <c r="Q123" s="117"/>
      <c r="R123" s="117"/>
    </row>
    <row r="124" spans="1:18" ht="12" customHeight="1">
      <c r="A124" s="117" t="s">
        <v>22</v>
      </c>
      <c r="B124" s="118" t="s">
        <v>876</v>
      </c>
      <c r="C124" s="117"/>
      <c r="D124" s="117"/>
      <c r="E124" s="117"/>
      <c r="F124" s="117"/>
      <c r="G124" s="117"/>
      <c r="H124" s="117"/>
      <c r="I124" s="117"/>
      <c r="J124" s="117"/>
      <c r="K124" s="117"/>
      <c r="L124" s="117"/>
      <c r="M124" s="134"/>
      <c r="N124" s="117"/>
      <c r="O124" s="134"/>
      <c r="P124" s="117"/>
      <c r="Q124" s="117"/>
      <c r="R124" s="117"/>
    </row>
    <row r="125" spans="1:18" ht="12" customHeight="1">
      <c r="A125" s="117" t="s">
        <v>23</v>
      </c>
      <c r="B125" s="118" t="s">
        <v>877</v>
      </c>
      <c r="C125" s="117"/>
      <c r="D125" s="117"/>
      <c r="E125" s="117"/>
      <c r="F125" s="117"/>
      <c r="G125" s="117"/>
      <c r="H125" s="117"/>
      <c r="I125" s="117"/>
      <c r="J125" s="117"/>
      <c r="K125" s="117"/>
      <c r="L125" s="117"/>
      <c r="M125" s="134"/>
      <c r="N125" s="117"/>
      <c r="O125" s="134"/>
      <c r="P125" s="117"/>
      <c r="Q125" s="117"/>
      <c r="R125" s="117"/>
    </row>
    <row r="126" spans="1:18" ht="12" customHeight="1">
      <c r="A126" s="117" t="s">
        <v>24</v>
      </c>
      <c r="B126" s="118" t="s">
        <v>878</v>
      </c>
      <c r="C126" s="117"/>
      <c r="D126" s="117"/>
      <c r="E126" s="117"/>
      <c r="F126" s="117"/>
      <c r="G126" s="117"/>
      <c r="H126" s="117"/>
      <c r="I126" s="117"/>
      <c r="J126" s="117"/>
      <c r="K126" s="117"/>
      <c r="L126" s="117"/>
      <c r="M126" s="134"/>
      <c r="N126" s="117"/>
      <c r="O126" s="134"/>
      <c r="P126" s="117"/>
      <c r="Q126" s="117"/>
      <c r="R126" s="117"/>
    </row>
    <row r="127" spans="1:18" ht="12" customHeight="1">
      <c r="A127" s="117" t="s">
        <v>25</v>
      </c>
      <c r="B127" s="118" t="s">
        <v>879</v>
      </c>
      <c r="C127" s="117"/>
      <c r="D127" s="117"/>
      <c r="E127" s="117"/>
      <c r="F127" s="117"/>
      <c r="G127" s="117"/>
      <c r="H127" s="117"/>
      <c r="I127" s="117"/>
      <c r="J127" s="117"/>
      <c r="K127" s="117"/>
      <c r="L127" s="117"/>
      <c r="M127" s="134"/>
      <c r="N127" s="117"/>
      <c r="O127" s="134"/>
      <c r="P127" s="117"/>
      <c r="Q127" s="117"/>
      <c r="R127" s="117"/>
    </row>
    <row r="128" spans="1:18" ht="12" customHeight="1">
      <c r="A128" s="117" t="s">
        <v>26</v>
      </c>
      <c r="B128" s="118" t="s">
        <v>880</v>
      </c>
      <c r="C128" s="117"/>
      <c r="D128" s="117"/>
      <c r="E128" s="117"/>
      <c r="F128" s="117"/>
      <c r="G128" s="117"/>
      <c r="H128" s="117"/>
      <c r="I128" s="117"/>
      <c r="J128" s="117"/>
      <c r="K128" s="117"/>
      <c r="L128" s="117"/>
      <c r="M128" s="134"/>
      <c r="N128" s="117"/>
      <c r="O128" s="134"/>
      <c r="P128" s="117"/>
      <c r="Q128" s="117"/>
      <c r="R128" s="117"/>
    </row>
    <row r="129" spans="1:18" ht="12" customHeight="1">
      <c r="A129" s="117" t="s">
        <v>27</v>
      </c>
      <c r="B129" s="118" t="s">
        <v>881</v>
      </c>
      <c r="C129" s="117"/>
      <c r="D129" s="117"/>
      <c r="E129" s="117"/>
      <c r="F129" s="117"/>
      <c r="G129" s="117"/>
      <c r="H129" s="117"/>
      <c r="I129" s="117"/>
      <c r="J129" s="117"/>
      <c r="K129" s="117"/>
      <c r="L129" s="117"/>
      <c r="M129" s="134"/>
      <c r="N129" s="117"/>
      <c r="O129" s="134"/>
      <c r="P129" s="117"/>
      <c r="Q129" s="117"/>
      <c r="R129" s="117"/>
    </row>
    <row r="130" spans="1:18" ht="12" customHeight="1">
      <c r="A130" s="117" t="s">
        <v>59</v>
      </c>
      <c r="B130" s="118" t="s">
        <v>882</v>
      </c>
      <c r="C130" s="117"/>
      <c r="D130" s="117"/>
      <c r="E130" s="117"/>
      <c r="F130" s="117"/>
      <c r="G130" s="117"/>
      <c r="H130" s="117"/>
      <c r="I130" s="117"/>
      <c r="J130" s="117"/>
      <c r="K130" s="117"/>
      <c r="L130" s="134"/>
      <c r="M130" s="134"/>
      <c r="N130" s="117"/>
      <c r="O130" s="117"/>
      <c r="P130" s="117"/>
      <c r="Q130" s="117"/>
      <c r="R130" s="117"/>
    </row>
    <row r="131" spans="1:18" ht="12" customHeight="1">
      <c r="A131" s="117" t="s">
        <v>60</v>
      </c>
      <c r="B131" s="118" t="s">
        <v>883</v>
      </c>
      <c r="C131" s="117"/>
      <c r="D131" s="117"/>
      <c r="E131" s="117"/>
      <c r="F131" s="117"/>
      <c r="G131" s="117"/>
      <c r="H131" s="117"/>
      <c r="I131" s="117"/>
      <c r="J131" s="117"/>
      <c r="K131" s="117"/>
      <c r="L131" s="134"/>
      <c r="M131" s="134"/>
      <c r="N131" s="117"/>
      <c r="O131" s="117"/>
      <c r="P131" s="117"/>
      <c r="Q131" s="117"/>
      <c r="R131" s="117"/>
    </row>
    <row r="132" spans="1:18" ht="12" customHeight="1">
      <c r="A132" s="117" t="s">
        <v>61</v>
      </c>
      <c r="B132" s="118" t="s">
        <v>1368</v>
      </c>
      <c r="C132" s="117"/>
      <c r="D132" s="117"/>
      <c r="E132" s="117"/>
      <c r="F132" s="117"/>
      <c r="G132" s="117"/>
      <c r="H132" s="117"/>
      <c r="I132" s="117"/>
      <c r="J132" s="117"/>
      <c r="K132" s="117"/>
      <c r="L132" s="134"/>
      <c r="M132" s="134"/>
      <c r="N132" s="117"/>
      <c r="O132" s="117"/>
      <c r="P132" s="117"/>
      <c r="Q132" s="117"/>
      <c r="R132" s="117"/>
    </row>
    <row r="133" spans="1:18" ht="12" customHeight="1">
      <c r="A133" s="117" t="s">
        <v>62</v>
      </c>
      <c r="B133" s="118" t="s">
        <v>884</v>
      </c>
      <c r="C133" s="117"/>
      <c r="D133" s="117"/>
      <c r="E133" s="117"/>
      <c r="F133" s="117"/>
      <c r="G133" s="117"/>
      <c r="H133" s="117"/>
      <c r="I133" s="117"/>
      <c r="J133" s="117"/>
      <c r="K133" s="117"/>
      <c r="L133" s="134"/>
      <c r="M133" s="134"/>
      <c r="N133" s="117"/>
      <c r="O133" s="117"/>
      <c r="P133" s="117"/>
      <c r="Q133" s="117"/>
      <c r="R133" s="117"/>
    </row>
    <row r="134" spans="1:18" ht="12" customHeight="1">
      <c r="A134" s="117" t="s">
        <v>63</v>
      </c>
      <c r="B134" s="118" t="s">
        <v>885</v>
      </c>
      <c r="C134" s="117"/>
      <c r="D134" s="117"/>
      <c r="E134" s="117"/>
      <c r="F134" s="117"/>
      <c r="G134" s="117"/>
      <c r="H134" s="117"/>
      <c r="I134" s="117"/>
      <c r="J134" s="117"/>
      <c r="K134" s="117"/>
      <c r="L134" s="134"/>
      <c r="M134" s="134"/>
      <c r="N134" s="117"/>
      <c r="O134" s="117"/>
      <c r="P134" s="117"/>
      <c r="Q134" s="117"/>
      <c r="R134" s="117"/>
    </row>
    <row r="135" spans="1:18" ht="12" customHeight="1">
      <c r="A135" s="117" t="s">
        <v>84</v>
      </c>
      <c r="B135" s="118" t="s">
        <v>886</v>
      </c>
      <c r="C135" s="117"/>
      <c r="D135" s="117"/>
      <c r="E135" s="117"/>
      <c r="F135" s="117"/>
      <c r="G135" s="117"/>
      <c r="H135" s="117"/>
      <c r="I135" s="117"/>
      <c r="J135" s="117"/>
      <c r="K135" s="134"/>
      <c r="L135" s="134"/>
      <c r="M135" s="134"/>
      <c r="N135" s="117"/>
      <c r="O135" s="117"/>
      <c r="P135" s="117"/>
      <c r="Q135" s="117"/>
      <c r="R135" s="117"/>
    </row>
    <row r="136" spans="1:18" ht="12" customHeight="1">
      <c r="A136" s="117" t="s">
        <v>85</v>
      </c>
      <c r="B136" s="118" t="s">
        <v>887</v>
      </c>
      <c r="C136" s="117"/>
      <c r="D136" s="117"/>
      <c r="E136" s="117"/>
      <c r="F136" s="117"/>
      <c r="G136" s="117"/>
      <c r="H136" s="117"/>
      <c r="I136" s="117"/>
      <c r="J136" s="117"/>
      <c r="K136" s="134"/>
      <c r="L136" s="134"/>
      <c r="M136" s="134"/>
      <c r="N136" s="117"/>
      <c r="O136" s="117"/>
      <c r="P136" s="117"/>
      <c r="Q136" s="117"/>
      <c r="R136" s="117"/>
    </row>
    <row r="137" spans="1:18" ht="12" customHeight="1">
      <c r="A137" s="117" t="s">
        <v>86</v>
      </c>
      <c r="B137" s="118" t="s">
        <v>888</v>
      </c>
      <c r="C137" s="117"/>
      <c r="D137" s="117"/>
      <c r="E137" s="117"/>
      <c r="F137" s="117"/>
      <c r="G137" s="117"/>
      <c r="H137" s="117"/>
      <c r="I137" s="117"/>
      <c r="J137" s="117"/>
      <c r="K137" s="134"/>
      <c r="L137" s="134"/>
      <c r="M137" s="134"/>
      <c r="N137" s="117"/>
      <c r="O137" s="117"/>
      <c r="P137" s="117"/>
      <c r="Q137" s="117"/>
      <c r="R137" s="117"/>
    </row>
    <row r="138" spans="1:18" ht="12" customHeight="1">
      <c r="A138" s="117" t="s">
        <v>64</v>
      </c>
      <c r="B138" s="118" t="s">
        <v>889</v>
      </c>
      <c r="C138" s="117"/>
      <c r="D138" s="117"/>
      <c r="E138" s="117"/>
      <c r="F138" s="117"/>
      <c r="G138" s="117"/>
      <c r="H138" s="117"/>
      <c r="I138" s="117"/>
      <c r="J138" s="117"/>
      <c r="K138" s="134"/>
      <c r="L138" s="134"/>
      <c r="M138" s="134"/>
      <c r="N138" s="117"/>
      <c r="O138" s="117"/>
      <c r="P138" s="117"/>
      <c r="Q138" s="117"/>
      <c r="R138" s="117"/>
    </row>
    <row r="139" spans="1:18" ht="12" customHeight="1">
      <c r="A139" s="117" t="s">
        <v>65</v>
      </c>
      <c r="B139" s="118" t="s">
        <v>890</v>
      </c>
      <c r="C139" s="117"/>
      <c r="D139" s="117"/>
      <c r="E139" s="117"/>
      <c r="F139" s="117"/>
      <c r="G139" s="117"/>
      <c r="H139" s="117"/>
      <c r="I139" s="117"/>
      <c r="J139" s="117"/>
      <c r="K139" s="134"/>
      <c r="L139" s="134"/>
      <c r="M139" s="134"/>
      <c r="N139" s="117"/>
      <c r="O139" s="117"/>
      <c r="P139" s="117"/>
      <c r="Q139" s="117"/>
      <c r="R139" s="117"/>
    </row>
    <row r="140" spans="1:18" ht="12" customHeight="1">
      <c r="A140" s="117" t="s">
        <v>66</v>
      </c>
      <c r="B140" s="118" t="s">
        <v>891</v>
      </c>
      <c r="C140" s="117"/>
      <c r="D140" s="117"/>
      <c r="E140" s="117"/>
      <c r="F140" s="117"/>
      <c r="G140" s="117"/>
      <c r="H140" s="117"/>
      <c r="I140" s="117"/>
      <c r="J140" s="117"/>
      <c r="K140" s="134"/>
      <c r="L140" s="134"/>
      <c r="M140" s="134"/>
      <c r="N140" s="117"/>
      <c r="O140" s="117"/>
      <c r="P140" s="117"/>
      <c r="Q140" s="117"/>
      <c r="R140" s="117"/>
    </row>
    <row r="141" spans="1:18" ht="12" customHeight="1">
      <c r="A141" s="117" t="s">
        <v>67</v>
      </c>
      <c r="B141" s="118" t="s">
        <v>1369</v>
      </c>
      <c r="C141" s="117"/>
      <c r="D141" s="117"/>
      <c r="E141" s="117"/>
      <c r="F141" s="117"/>
      <c r="G141" s="117"/>
      <c r="H141" s="117"/>
      <c r="I141" s="117"/>
      <c r="J141" s="117"/>
      <c r="K141" s="134"/>
      <c r="L141" s="134"/>
      <c r="M141" s="134"/>
      <c r="N141" s="117"/>
      <c r="O141" s="117"/>
      <c r="P141" s="117"/>
      <c r="Q141" s="117"/>
      <c r="R141" s="117"/>
    </row>
    <row r="142" spans="1:18" ht="12" customHeight="1">
      <c r="A142" s="117" t="s">
        <v>68</v>
      </c>
      <c r="B142" s="118" t="s">
        <v>892</v>
      </c>
      <c r="C142" s="117"/>
      <c r="D142" s="117"/>
      <c r="E142" s="117"/>
      <c r="F142" s="117"/>
      <c r="G142" s="117"/>
      <c r="H142" s="117"/>
      <c r="I142" s="117"/>
      <c r="J142" s="117"/>
      <c r="K142" s="134"/>
      <c r="L142" s="134"/>
      <c r="M142" s="134"/>
      <c r="N142" s="117"/>
      <c r="O142" s="117"/>
      <c r="P142" s="117"/>
      <c r="Q142" s="117"/>
      <c r="R142" s="117"/>
    </row>
    <row r="143" spans="1:18" ht="12" customHeight="1">
      <c r="A143" s="117" t="s">
        <v>69</v>
      </c>
      <c r="B143" s="118" t="s">
        <v>893</v>
      </c>
      <c r="C143" s="117"/>
      <c r="D143" s="117"/>
      <c r="E143" s="117"/>
      <c r="F143" s="117"/>
      <c r="G143" s="117"/>
      <c r="H143" s="117"/>
      <c r="I143" s="117"/>
      <c r="J143" s="117"/>
      <c r="K143" s="134"/>
      <c r="L143" s="134"/>
      <c r="M143" s="134"/>
      <c r="N143" s="117"/>
      <c r="O143" s="117"/>
      <c r="P143" s="117"/>
      <c r="Q143" s="117"/>
      <c r="R143" s="117"/>
    </row>
    <row r="144" spans="1:18" ht="12" customHeight="1">
      <c r="A144" s="117" t="s">
        <v>70</v>
      </c>
      <c r="B144" s="118" t="s">
        <v>1432</v>
      </c>
      <c r="C144" s="117"/>
      <c r="D144" s="117"/>
      <c r="E144" s="117"/>
      <c r="F144" s="117"/>
      <c r="G144" s="117"/>
      <c r="H144" s="117"/>
      <c r="I144" s="117"/>
      <c r="J144" s="117"/>
      <c r="K144" s="134"/>
      <c r="L144" s="134"/>
      <c r="M144" s="134"/>
      <c r="N144" s="117"/>
      <c r="O144" s="117"/>
      <c r="P144" s="117"/>
      <c r="Q144" s="117"/>
      <c r="R144" s="117"/>
    </row>
    <row r="145" spans="1:18" ht="12" customHeight="1">
      <c r="A145" s="117" t="s">
        <v>175</v>
      </c>
      <c r="B145" s="118" t="s">
        <v>894</v>
      </c>
      <c r="C145" s="117"/>
      <c r="D145" s="117"/>
      <c r="E145" s="117"/>
      <c r="F145" s="117"/>
      <c r="G145" s="117"/>
      <c r="H145" s="117"/>
      <c r="I145" s="117"/>
      <c r="J145" s="117"/>
      <c r="K145" s="134"/>
      <c r="L145" s="134"/>
      <c r="M145" s="134"/>
      <c r="N145" s="117"/>
      <c r="O145" s="117"/>
      <c r="P145" s="117"/>
      <c r="R145" s="117"/>
    </row>
    <row r="146" spans="1:18" ht="12" customHeight="1">
      <c r="A146" s="117" t="s">
        <v>71</v>
      </c>
      <c r="B146" s="118" t="s">
        <v>895</v>
      </c>
      <c r="C146" s="117"/>
      <c r="D146" s="117"/>
      <c r="E146" s="117"/>
      <c r="F146" s="117"/>
      <c r="G146" s="117"/>
      <c r="H146" s="117"/>
      <c r="I146" s="117"/>
      <c r="J146" s="117"/>
      <c r="K146" s="134"/>
      <c r="L146" s="134"/>
      <c r="M146" s="134"/>
      <c r="N146" s="117"/>
      <c r="O146" s="117"/>
      <c r="P146" s="117"/>
      <c r="R146" s="117"/>
    </row>
    <row r="147" spans="1:18" ht="12" customHeight="1">
      <c r="A147" s="117" t="s">
        <v>72</v>
      </c>
      <c r="B147" s="118" t="s">
        <v>896</v>
      </c>
      <c r="C147" s="117"/>
      <c r="D147" s="117"/>
      <c r="E147" s="117"/>
      <c r="F147" s="117"/>
      <c r="G147" s="117"/>
      <c r="H147" s="117"/>
      <c r="I147" s="117"/>
      <c r="J147" s="117"/>
      <c r="K147" s="134"/>
      <c r="L147" s="134"/>
      <c r="M147" s="134"/>
      <c r="N147" s="117"/>
      <c r="O147" s="117"/>
      <c r="P147" s="117"/>
      <c r="R147" s="117"/>
    </row>
    <row r="148" spans="1:18" ht="12" customHeight="1">
      <c r="A148" s="117" t="s">
        <v>73</v>
      </c>
      <c r="B148" s="118" t="s">
        <v>897</v>
      </c>
      <c r="C148" s="117"/>
      <c r="D148" s="117"/>
      <c r="E148" s="117"/>
      <c r="F148" s="117"/>
      <c r="G148" s="117"/>
      <c r="H148" s="117"/>
      <c r="I148" s="117"/>
      <c r="J148" s="117"/>
      <c r="K148" s="134"/>
      <c r="L148" s="134"/>
      <c r="M148" s="134"/>
      <c r="N148" s="117"/>
      <c r="O148" s="117"/>
      <c r="P148" s="117"/>
      <c r="R148" s="117"/>
    </row>
    <row r="149" spans="1:18" ht="12" customHeight="1">
      <c r="A149" s="117" t="s">
        <v>74</v>
      </c>
      <c r="B149" s="118" t="s">
        <v>898</v>
      </c>
      <c r="C149" s="117"/>
      <c r="D149" s="117"/>
      <c r="E149" s="117"/>
      <c r="F149" s="117"/>
      <c r="G149" s="117"/>
      <c r="H149" s="117"/>
      <c r="I149" s="117"/>
      <c r="J149" s="117"/>
      <c r="K149" s="134"/>
      <c r="L149" s="134"/>
      <c r="M149" s="134"/>
      <c r="N149" s="117"/>
      <c r="O149" s="117"/>
      <c r="P149" s="117"/>
      <c r="R149" s="117"/>
    </row>
    <row r="150" spans="1:18" ht="12" customHeight="1">
      <c r="A150" s="117" t="s">
        <v>13</v>
      </c>
      <c r="B150" s="118" t="s">
        <v>899</v>
      </c>
      <c r="C150" s="117"/>
      <c r="D150" s="117"/>
      <c r="E150" s="117"/>
      <c r="F150" s="117"/>
      <c r="G150" s="117"/>
      <c r="H150" s="117"/>
      <c r="I150" s="117"/>
      <c r="J150" s="117"/>
      <c r="K150" s="134"/>
      <c r="L150" s="134"/>
      <c r="M150" s="134"/>
      <c r="N150" s="117"/>
      <c r="O150" s="117"/>
      <c r="P150" s="117"/>
      <c r="R150" s="117"/>
    </row>
    <row r="151" spans="1:18" ht="12" customHeight="1">
      <c r="A151" s="117" t="s">
        <v>75</v>
      </c>
      <c r="B151" s="118" t="s">
        <v>900</v>
      </c>
      <c r="C151" s="117"/>
      <c r="D151" s="117"/>
      <c r="E151" s="117"/>
      <c r="F151" s="117"/>
      <c r="G151" s="117"/>
      <c r="H151" s="117"/>
      <c r="I151" s="117"/>
      <c r="J151" s="117"/>
      <c r="K151" s="134"/>
      <c r="L151" s="134"/>
      <c r="M151" s="134"/>
      <c r="N151" s="117"/>
      <c r="O151" s="117"/>
      <c r="P151" s="117"/>
      <c r="R151" s="117"/>
    </row>
    <row r="152" spans="1:18" ht="12" customHeight="1">
      <c r="A152" s="117" t="s">
        <v>76</v>
      </c>
      <c r="B152" s="118" t="s">
        <v>901</v>
      </c>
      <c r="C152" s="117"/>
      <c r="D152" s="117"/>
      <c r="E152" s="117"/>
      <c r="F152" s="117"/>
      <c r="G152" s="117"/>
      <c r="H152" s="117"/>
      <c r="I152" s="117"/>
      <c r="J152" s="117"/>
      <c r="K152" s="134"/>
      <c r="L152" s="134"/>
      <c r="M152" s="134"/>
      <c r="N152" s="117"/>
      <c r="O152" s="117"/>
      <c r="P152" s="117"/>
      <c r="R152" s="117"/>
    </row>
    <row r="153" spans="1:18" ht="12" customHeight="1">
      <c r="A153" s="117" t="s">
        <v>77</v>
      </c>
      <c r="B153" s="118" t="s">
        <v>902</v>
      </c>
      <c r="C153" s="117"/>
      <c r="D153" s="117"/>
      <c r="E153" s="117"/>
      <c r="F153" s="117"/>
      <c r="G153" s="117"/>
      <c r="H153" s="117"/>
      <c r="I153" s="117"/>
      <c r="J153" s="117"/>
      <c r="K153" s="134"/>
      <c r="L153" s="134"/>
      <c r="M153" s="134"/>
      <c r="N153" s="117"/>
      <c r="O153" s="117"/>
      <c r="P153" s="117"/>
      <c r="R153" s="117"/>
    </row>
    <row r="154" spans="1:18" ht="12" customHeight="1">
      <c r="A154" s="117" t="s">
        <v>78</v>
      </c>
      <c r="B154" s="118" t="s">
        <v>903</v>
      </c>
      <c r="C154" s="117"/>
      <c r="D154" s="117"/>
      <c r="E154" s="117"/>
      <c r="F154" s="117"/>
      <c r="G154" s="117"/>
      <c r="H154" s="117"/>
      <c r="I154" s="117"/>
      <c r="J154" s="117"/>
      <c r="K154" s="134"/>
      <c r="L154" s="134"/>
      <c r="M154" s="134"/>
      <c r="N154" s="117"/>
      <c r="O154" s="117"/>
      <c r="P154" s="117"/>
      <c r="R154" s="117"/>
    </row>
    <row r="155" spans="1:18" ht="12" customHeight="1">
      <c r="A155" s="117" t="s">
        <v>79</v>
      </c>
      <c r="B155" s="118" t="s">
        <v>904</v>
      </c>
      <c r="C155" s="117"/>
      <c r="D155" s="117"/>
      <c r="E155" s="117"/>
      <c r="F155" s="117"/>
      <c r="G155" s="117"/>
      <c r="H155" s="117"/>
      <c r="I155" s="117"/>
      <c r="J155" s="117"/>
      <c r="K155" s="134"/>
      <c r="L155" s="134"/>
      <c r="M155" s="134"/>
      <c r="N155" s="117"/>
      <c r="O155" s="117"/>
      <c r="P155" s="117"/>
      <c r="R155" s="117"/>
    </row>
    <row r="156" spans="1:18" ht="12" customHeight="1">
      <c r="A156" s="117" t="s">
        <v>80</v>
      </c>
      <c r="B156" s="118" t="s">
        <v>905</v>
      </c>
      <c r="C156" s="117"/>
      <c r="D156" s="117"/>
      <c r="E156" s="117"/>
      <c r="F156" s="117"/>
      <c r="G156" s="117"/>
      <c r="H156" s="117"/>
      <c r="I156" s="117"/>
      <c r="J156" s="117"/>
      <c r="K156" s="134"/>
      <c r="L156" s="134"/>
      <c r="M156" s="134"/>
      <c r="N156" s="117"/>
      <c r="O156" s="117"/>
      <c r="P156" s="117"/>
      <c r="R156" s="117"/>
    </row>
    <row r="157" spans="1:18" ht="12" customHeight="1">
      <c r="A157" s="117" t="s">
        <v>81</v>
      </c>
      <c r="B157" s="118" t="s">
        <v>906</v>
      </c>
      <c r="C157" s="117"/>
      <c r="D157" s="117"/>
      <c r="E157" s="117"/>
      <c r="F157" s="117"/>
      <c r="G157" s="117"/>
      <c r="H157" s="117"/>
      <c r="I157" s="117"/>
      <c r="J157" s="117"/>
      <c r="K157" s="134"/>
      <c r="L157" s="134"/>
      <c r="M157" s="134"/>
      <c r="N157" s="117"/>
      <c r="O157" s="117"/>
      <c r="P157" s="117"/>
      <c r="R157" s="117"/>
    </row>
    <row r="158" spans="1:18" ht="12" customHeight="1">
      <c r="A158" s="117" t="s">
        <v>82</v>
      </c>
      <c r="B158" s="118" t="s">
        <v>907</v>
      </c>
      <c r="C158" s="117"/>
      <c r="D158" s="117"/>
      <c r="E158" s="117"/>
      <c r="F158" s="117"/>
      <c r="G158" s="117"/>
      <c r="H158" s="117"/>
      <c r="I158" s="117"/>
      <c r="J158" s="117"/>
      <c r="K158" s="134"/>
      <c r="L158" s="134"/>
      <c r="M158" s="134"/>
      <c r="N158" s="117"/>
      <c r="O158" s="117"/>
      <c r="P158" s="117"/>
      <c r="R158" s="117"/>
    </row>
    <row r="159" spans="1:18" ht="12" customHeight="1">
      <c r="A159" s="117" t="s">
        <v>83</v>
      </c>
      <c r="B159" s="118" t="s">
        <v>908</v>
      </c>
      <c r="C159" s="117"/>
      <c r="D159" s="117"/>
      <c r="E159" s="117"/>
      <c r="F159" s="117"/>
      <c r="G159" s="117"/>
      <c r="H159" s="117"/>
      <c r="I159" s="117"/>
      <c r="J159" s="117"/>
      <c r="K159" s="134"/>
      <c r="L159" s="134"/>
      <c r="M159" s="134"/>
      <c r="N159" s="117"/>
      <c r="O159" s="117"/>
      <c r="P159" s="117"/>
      <c r="R159" s="117"/>
    </row>
    <row r="160" spans="1:18" ht="12" customHeight="1">
      <c r="A160" s="117" t="s">
        <v>87</v>
      </c>
      <c r="B160" s="118" t="s">
        <v>909</v>
      </c>
      <c r="C160" s="117"/>
      <c r="D160" s="117"/>
      <c r="E160" s="117"/>
      <c r="F160" s="117"/>
      <c r="G160" s="117"/>
      <c r="H160" s="117"/>
      <c r="I160" s="117"/>
      <c r="J160" s="117"/>
      <c r="K160" s="134"/>
      <c r="L160" s="134"/>
      <c r="M160" s="134"/>
      <c r="N160" s="117"/>
      <c r="O160" s="117"/>
      <c r="P160" s="117"/>
      <c r="R160" s="117"/>
    </row>
    <row r="161" spans="1:18" ht="12" customHeight="1">
      <c r="A161" s="117" t="s">
        <v>88</v>
      </c>
      <c r="B161" s="118" t="s">
        <v>910</v>
      </c>
      <c r="C161" s="117"/>
      <c r="D161" s="117"/>
      <c r="E161" s="117"/>
      <c r="F161" s="117"/>
      <c r="G161" s="117"/>
      <c r="H161" s="117"/>
      <c r="I161" s="117"/>
      <c r="J161" s="117"/>
      <c r="K161" s="134"/>
      <c r="L161" s="134"/>
      <c r="M161" s="134"/>
      <c r="N161" s="117"/>
      <c r="O161" s="117"/>
      <c r="P161" s="117"/>
      <c r="R161" s="117"/>
    </row>
    <row r="162" spans="1:18" ht="12" customHeight="1">
      <c r="A162" s="117" t="s">
        <v>89</v>
      </c>
      <c r="B162" s="118" t="s">
        <v>911</v>
      </c>
      <c r="C162" s="117"/>
      <c r="D162" s="117"/>
      <c r="E162" s="117"/>
      <c r="F162" s="117"/>
      <c r="G162" s="117"/>
      <c r="H162" s="117"/>
      <c r="I162" s="117"/>
      <c r="J162" s="117"/>
      <c r="K162" s="134"/>
      <c r="L162" s="134"/>
      <c r="M162" s="134"/>
      <c r="N162" s="117"/>
      <c r="O162" s="117"/>
      <c r="P162" s="117"/>
      <c r="R162" s="117"/>
    </row>
    <row r="163" spans="1:18" ht="12" customHeight="1">
      <c r="A163" s="117" t="s">
        <v>90</v>
      </c>
      <c r="B163" s="118" t="s">
        <v>912</v>
      </c>
      <c r="C163" s="117"/>
      <c r="D163" s="117"/>
      <c r="E163" s="117"/>
      <c r="F163" s="117"/>
      <c r="G163" s="117"/>
      <c r="H163" s="117"/>
      <c r="I163" s="117"/>
      <c r="J163" s="117"/>
      <c r="K163" s="134"/>
      <c r="L163" s="134"/>
      <c r="M163" s="134"/>
      <c r="N163" s="117"/>
      <c r="O163" s="117"/>
      <c r="P163" s="117"/>
      <c r="R163" s="117"/>
    </row>
    <row r="164" spans="1:18" ht="12" customHeight="1">
      <c r="A164" s="117" t="s">
        <v>91</v>
      </c>
      <c r="B164" s="118" t="s">
        <v>913</v>
      </c>
      <c r="C164" s="117"/>
      <c r="D164" s="117"/>
      <c r="E164" s="117"/>
      <c r="F164" s="117"/>
      <c r="G164" s="117"/>
      <c r="H164" s="117"/>
      <c r="I164" s="117"/>
      <c r="J164" s="117"/>
      <c r="L164" s="134"/>
      <c r="M164" s="134"/>
      <c r="N164" s="117"/>
      <c r="O164" s="117"/>
      <c r="P164" s="117"/>
      <c r="R164" s="117"/>
    </row>
    <row r="165" spans="1:18" ht="12" customHeight="1">
      <c r="A165" s="117" t="s">
        <v>92</v>
      </c>
      <c r="B165" s="118" t="s">
        <v>914</v>
      </c>
      <c r="C165" s="117"/>
      <c r="D165" s="117"/>
      <c r="E165" s="117"/>
      <c r="F165" s="117"/>
      <c r="G165" s="117"/>
      <c r="H165" s="117"/>
      <c r="I165" s="117"/>
      <c r="J165" s="117"/>
      <c r="L165" s="134"/>
      <c r="M165" s="134"/>
      <c r="N165" s="117"/>
      <c r="O165" s="117"/>
      <c r="P165" s="117"/>
      <c r="R165" s="117"/>
    </row>
    <row r="166" spans="1:18" ht="12" customHeight="1">
      <c r="A166" s="117" t="s">
        <v>93</v>
      </c>
      <c r="B166" s="118" t="s">
        <v>915</v>
      </c>
      <c r="C166" s="117"/>
      <c r="D166" s="117"/>
      <c r="E166" s="117"/>
      <c r="F166" s="117"/>
      <c r="G166" s="117"/>
      <c r="H166" s="117"/>
      <c r="I166" s="117"/>
      <c r="J166" s="117"/>
      <c r="L166" s="134"/>
      <c r="M166" s="134"/>
      <c r="N166" s="117"/>
      <c r="O166" s="117"/>
      <c r="P166" s="117"/>
      <c r="R166" s="117"/>
    </row>
    <row r="167" spans="1:18" ht="12" customHeight="1">
      <c r="A167" s="117" t="s">
        <v>19</v>
      </c>
      <c r="B167" s="118" t="s">
        <v>916</v>
      </c>
      <c r="C167" s="117"/>
      <c r="D167" s="117"/>
      <c r="E167" s="117"/>
      <c r="F167" s="117"/>
      <c r="G167" s="117"/>
      <c r="H167" s="117"/>
      <c r="I167" s="117"/>
      <c r="J167" s="117"/>
      <c r="L167" s="134"/>
      <c r="M167" s="134"/>
      <c r="N167" s="117"/>
      <c r="O167" s="117"/>
      <c r="P167" s="117"/>
      <c r="R167" s="117"/>
    </row>
    <row r="168" spans="1:18" ht="12" customHeight="1">
      <c r="A168" s="117" t="s">
        <v>94</v>
      </c>
      <c r="B168" s="118" t="s">
        <v>917</v>
      </c>
      <c r="C168" s="117"/>
      <c r="D168" s="117"/>
      <c r="E168" s="117"/>
      <c r="F168" s="117"/>
      <c r="G168" s="117"/>
      <c r="H168" s="117"/>
      <c r="I168" s="117"/>
      <c r="J168" s="117"/>
      <c r="L168" s="134"/>
      <c r="M168" s="134"/>
      <c r="N168" s="117"/>
      <c r="O168" s="117"/>
      <c r="P168" s="117"/>
      <c r="R168" s="117"/>
    </row>
    <row r="169" spans="1:18" ht="12" customHeight="1">
      <c r="A169" s="117" t="s">
        <v>95</v>
      </c>
      <c r="B169" s="118" t="s">
        <v>918</v>
      </c>
      <c r="C169" s="117"/>
      <c r="D169" s="117"/>
      <c r="E169" s="117"/>
      <c r="F169" s="117"/>
      <c r="H169" s="117"/>
      <c r="I169" s="117"/>
      <c r="J169" s="117"/>
      <c r="L169" s="134"/>
      <c r="M169" s="134"/>
      <c r="N169" s="117"/>
      <c r="O169" s="117"/>
      <c r="P169" s="117"/>
      <c r="R169" s="117"/>
    </row>
    <row r="170" spans="1:18" ht="12" customHeight="1">
      <c r="A170" s="117" t="s">
        <v>96</v>
      </c>
      <c r="B170" s="118" t="s">
        <v>919</v>
      </c>
      <c r="C170" s="117"/>
      <c r="D170" s="117"/>
      <c r="E170" s="117"/>
      <c r="F170" s="117"/>
      <c r="H170" s="117"/>
      <c r="I170" s="117"/>
      <c r="J170" s="117"/>
      <c r="L170" s="134"/>
      <c r="M170" s="134"/>
      <c r="N170" s="117"/>
      <c r="O170" s="117"/>
      <c r="P170" s="117"/>
      <c r="R170" s="117"/>
    </row>
    <row r="171" spans="1:18" ht="12" customHeight="1">
      <c r="A171" s="117" t="s">
        <v>97</v>
      </c>
      <c r="B171" s="118" t="s">
        <v>920</v>
      </c>
      <c r="C171" s="117"/>
      <c r="D171" s="117"/>
      <c r="E171" s="117"/>
      <c r="F171" s="117"/>
      <c r="H171" s="117"/>
      <c r="I171" s="117"/>
      <c r="J171" s="117"/>
      <c r="L171" s="134"/>
      <c r="M171" s="134"/>
      <c r="N171" s="117"/>
      <c r="O171" s="117"/>
      <c r="P171" s="117"/>
      <c r="R171" s="117"/>
    </row>
    <row r="172" spans="1:18" ht="12" customHeight="1">
      <c r="A172" s="117" t="s">
        <v>98</v>
      </c>
      <c r="B172" s="118" t="s">
        <v>921</v>
      </c>
      <c r="C172" s="117"/>
      <c r="D172" s="117"/>
      <c r="E172" s="117"/>
      <c r="F172" s="117"/>
      <c r="H172" s="117"/>
      <c r="I172" s="117"/>
      <c r="J172" s="117"/>
      <c r="L172" s="134"/>
      <c r="M172" s="134"/>
      <c r="N172" s="117"/>
      <c r="O172" s="117"/>
      <c r="P172" s="117"/>
      <c r="R172" s="117"/>
    </row>
    <row r="173" spans="1:18" ht="12" customHeight="1">
      <c r="A173" s="117" t="s">
        <v>99</v>
      </c>
      <c r="B173" s="118" t="s">
        <v>922</v>
      </c>
      <c r="C173" s="117"/>
      <c r="D173" s="117"/>
      <c r="E173" s="117"/>
      <c r="F173" s="117"/>
      <c r="H173" s="117"/>
      <c r="I173" s="117"/>
      <c r="J173" s="117"/>
      <c r="L173" s="134"/>
      <c r="M173" s="134"/>
      <c r="N173" s="117"/>
      <c r="O173" s="117"/>
      <c r="P173" s="117"/>
      <c r="R173" s="117"/>
    </row>
    <row r="174" spans="1:18" ht="12" customHeight="1">
      <c r="A174" s="117" t="s">
        <v>100</v>
      </c>
      <c r="B174" s="118" t="s">
        <v>923</v>
      </c>
      <c r="C174" s="117"/>
      <c r="D174" s="117"/>
      <c r="E174" s="117"/>
      <c r="F174" s="117"/>
      <c r="H174" s="117"/>
      <c r="I174" s="117"/>
      <c r="J174" s="117"/>
      <c r="L174" s="134"/>
      <c r="M174" s="134"/>
      <c r="N174" s="117"/>
      <c r="O174" s="117"/>
      <c r="P174" s="117"/>
      <c r="R174" s="117"/>
    </row>
    <row r="175" spans="1:18" ht="12" customHeight="1">
      <c r="A175" s="117" t="s">
        <v>101</v>
      </c>
      <c r="B175" s="118" t="s">
        <v>924</v>
      </c>
      <c r="C175" s="117"/>
      <c r="D175" s="117"/>
      <c r="E175" s="117"/>
      <c r="F175" s="117"/>
      <c r="H175" s="117"/>
      <c r="I175" s="117"/>
      <c r="J175" s="117"/>
      <c r="L175" s="134"/>
      <c r="M175" s="134"/>
      <c r="N175" s="117"/>
      <c r="O175" s="117"/>
      <c r="P175" s="117"/>
      <c r="R175" s="117"/>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election activeCell="D10" sqref="D10"/>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157"/>
      <c r="B1" s="1157"/>
      <c r="C1" s="1157"/>
      <c r="D1" s="1157"/>
    </row>
    <row r="2" spans="1:4" hidden="1">
      <c r="A2" s="1157"/>
      <c r="B2" s="1157"/>
      <c r="C2" s="1157"/>
      <c r="D2" s="1157"/>
    </row>
    <row r="3" spans="1:4" hidden="1">
      <c r="A3" s="1157"/>
      <c r="B3" s="1157"/>
      <c r="C3" s="1157"/>
      <c r="D3" s="1157"/>
    </row>
    <row r="4" spans="1:4" hidden="1">
      <c r="A4" s="1157"/>
      <c r="B4" s="1157"/>
      <c r="C4" s="1157"/>
      <c r="D4" s="1157"/>
    </row>
    <row r="5" spans="1:4" hidden="1">
      <c r="A5" s="1157"/>
      <c r="B5" s="1157"/>
      <c r="C5" s="1157"/>
      <c r="D5" s="1157"/>
    </row>
    <row r="6" spans="1:4">
      <c r="A6" s="1157"/>
      <c r="B6" s="1157"/>
      <c r="C6" s="1158"/>
      <c r="D6" s="1158"/>
    </row>
    <row r="7" spans="1:4" ht="20.100000000000001" customHeight="1">
      <c r="A7" s="1157"/>
      <c r="B7" s="1157"/>
      <c r="C7" s="1158"/>
      <c r="D7" s="1159" t="s">
        <v>109</v>
      </c>
    </row>
    <row r="8" spans="1:4">
      <c r="A8" s="1157"/>
      <c r="B8" s="1157"/>
      <c r="C8" s="1158"/>
      <c r="D8" s="1158"/>
    </row>
    <row r="9" spans="1:4" ht="20.100000000000001" customHeight="1">
      <c r="A9" s="1157"/>
      <c r="B9" s="1157"/>
      <c r="C9" s="1158"/>
      <c r="D9" s="1160" t="s">
        <v>2532</v>
      </c>
    </row>
    <row r="10" spans="1:4" ht="20.100000000000001" customHeight="1">
      <c r="A10" s="1157"/>
      <c r="B10" s="1157"/>
      <c r="C10" s="1158"/>
      <c r="D10" s="1160" t="s">
        <v>2533</v>
      </c>
    </row>
    <row r="11" spans="1:4" ht="20.100000000000001" customHeight="1">
      <c r="A11" s="1157"/>
      <c r="B11" s="1157"/>
      <c r="C11" s="1158"/>
      <c r="D11" s="1161"/>
    </row>
    <row r="12" spans="1:4" ht="20.100000000000001" customHeight="1">
      <c r="A12" s="1157"/>
      <c r="B12" s="1157"/>
      <c r="C12" s="1158"/>
      <c r="D12" s="1161"/>
    </row>
    <row r="13" spans="1:4" ht="20.100000000000001" customHeight="1">
      <c r="A13" s="1157"/>
      <c r="B13" s="1157"/>
      <c r="C13" s="1158"/>
      <c r="D13" s="1161"/>
    </row>
    <row r="14" spans="1:4" ht="20.100000000000001" customHeight="1">
      <c r="A14" s="1157"/>
      <c r="B14" s="1157"/>
      <c r="C14" s="1158"/>
      <c r="D14" s="1161"/>
    </row>
    <row r="15" spans="1:4" ht="20.100000000000001" customHeight="1">
      <c r="A15" s="1157"/>
      <c r="B15" s="1157"/>
      <c r="C15" s="1158"/>
      <c r="D15" s="1161"/>
    </row>
    <row r="16" spans="1:4" ht="20.100000000000001" customHeight="1">
      <c r="A16" s="1157"/>
      <c r="B16" s="1157"/>
      <c r="C16" s="1158"/>
      <c r="D16" s="1161"/>
    </row>
    <row r="17" spans="1:4" ht="20.100000000000001" customHeight="1">
      <c r="A17" s="1157"/>
      <c r="B17" s="1157"/>
      <c r="C17" s="1158"/>
      <c r="D17" s="1161"/>
    </row>
    <row r="18" spans="1:4" ht="20.100000000000001" customHeight="1">
      <c r="A18" s="1157"/>
      <c r="B18" s="1157"/>
      <c r="C18" s="1158"/>
      <c r="D18" s="1161"/>
    </row>
    <row r="19" spans="1:4">
      <c r="A19" s="1157"/>
      <c r="B19" s="1157"/>
      <c r="C19" s="1158"/>
      <c r="D19" s="1158"/>
    </row>
  </sheetData>
  <sheetProtection formatColumns="0" formatRows="0" autoFilter="0"/>
  <phoneticPr fontId="14"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162" t="s">
        <v>110</v>
      </c>
      <c r="C2" s="1162"/>
      <c r="D2" s="1162"/>
      <c r="E2" s="1162"/>
    </row>
    <row r="3" spans="2:5">
      <c r="B3" s="1163"/>
      <c r="C3" s="1163"/>
      <c r="D3" s="1163"/>
      <c r="E3" s="1163"/>
    </row>
    <row r="4" spans="2:5" ht="21.75" customHeight="1" thickBot="1">
      <c r="B4" s="1164" t="s">
        <v>1151</v>
      </c>
      <c r="C4" s="1164" t="s">
        <v>1152</v>
      </c>
      <c r="D4" s="1164" t="s">
        <v>15</v>
      </c>
      <c r="E4" s="1165" t="s">
        <v>163</v>
      </c>
    </row>
    <row r="5" spans="2:5" ht="12" thickTop="1">
      <c r="B5" s="1163"/>
      <c r="C5" s="1163"/>
      <c r="D5" s="1163"/>
      <c r="E5" s="1163"/>
    </row>
  </sheetData>
  <sheetProtection formatColumns="0" formatRows="0" autoFilter="0"/>
  <autoFilter ref="B4:E4"/>
  <mergeCells count="1">
    <mergeCell ref="B2:E2"/>
  </mergeCells>
  <phoneticPr fontId="14" type="noConversion"/>
  <pageMargins left="0.75" right="0.75" top="1" bottom="0.47222222222222221" header="0.5" footer="0.5"/>
  <pageSetup paperSize="9" orientation="portrait" r:id="rId1"/>
  <headerFooter alignWithMargins="0">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30"/>
  <sheetViews>
    <sheetView showGridLines="0" zoomScaleNormal="100" workbookViewId="0"/>
  </sheetViews>
  <sheetFormatPr defaultRowHeight="11.25"/>
  <cols>
    <col min="1" max="1" width="30.7109375" style="41" customWidth="1"/>
    <col min="2" max="2" width="80.7109375" style="41" customWidth="1"/>
    <col min="3" max="3" width="30.7109375" style="41" customWidth="1"/>
    <col min="4" max="16384" width="9.140625" style="40"/>
  </cols>
  <sheetData>
    <row r="1" spans="1:4" ht="24" customHeight="1" thickBot="1">
      <c r="A1" s="38" t="s">
        <v>187</v>
      </c>
      <c r="B1" s="38" t="s">
        <v>188</v>
      </c>
      <c r="C1" s="38" t="s">
        <v>163</v>
      </c>
      <c r="D1" s="39"/>
    </row>
    <row r="2" spans="1:4" ht="12" thickTop="1"/>
    <row r="3" spans="1:4">
      <c r="A3" s="598">
        <v>45161.417569444442</v>
      </c>
      <c r="B3" s="41" t="s">
        <v>1440</v>
      </c>
      <c r="C3" s="41" t="s">
        <v>1441</v>
      </c>
    </row>
    <row r="4" spans="1:4">
      <c r="A4" s="598">
        <v>45161.417581018519</v>
      </c>
      <c r="B4" s="41" t="s">
        <v>1442</v>
      </c>
      <c r="C4" s="41" t="s">
        <v>1441</v>
      </c>
    </row>
    <row r="5" spans="1:4">
      <c r="A5" s="598">
        <v>45161.418090277781</v>
      </c>
      <c r="B5" s="41" t="s">
        <v>1440</v>
      </c>
      <c r="C5" s="41" t="s">
        <v>1441</v>
      </c>
    </row>
    <row r="6" spans="1:4">
      <c r="A6" s="598">
        <v>45161.41810185185</v>
      </c>
      <c r="B6" s="41" t="s">
        <v>1442</v>
      </c>
      <c r="C6" s="41" t="s">
        <v>1441</v>
      </c>
    </row>
    <row r="7" spans="1:4">
      <c r="A7" s="598">
        <v>45166.699502314812</v>
      </c>
      <c r="B7" s="41" t="s">
        <v>1440</v>
      </c>
      <c r="C7" s="41" t="s">
        <v>1441</v>
      </c>
    </row>
    <row r="8" spans="1:4">
      <c r="A8" s="598">
        <v>45166.699513888889</v>
      </c>
      <c r="B8" s="41" t="s">
        <v>1442</v>
      </c>
      <c r="C8" s="41" t="s">
        <v>1441</v>
      </c>
    </row>
    <row r="9" spans="1:4">
      <c r="A9" s="598">
        <v>45167.607152777775</v>
      </c>
      <c r="B9" s="41" t="s">
        <v>1440</v>
      </c>
      <c r="C9" s="41" t="s">
        <v>1441</v>
      </c>
    </row>
    <row r="10" spans="1:4">
      <c r="A10" s="598">
        <v>45167.607175925928</v>
      </c>
      <c r="B10" s="41" t="s">
        <v>1442</v>
      </c>
      <c r="C10" s="41" t="s">
        <v>1441</v>
      </c>
    </row>
    <row r="11" spans="1:4">
      <c r="A11" s="598">
        <v>45167.634641203702</v>
      </c>
      <c r="B11" s="41" t="s">
        <v>1440</v>
      </c>
      <c r="C11" s="41" t="s">
        <v>1441</v>
      </c>
    </row>
    <row r="12" spans="1:4">
      <c r="A12" s="598">
        <v>45167.634664351855</v>
      </c>
      <c r="B12" s="41" t="s">
        <v>1442</v>
      </c>
      <c r="C12" s="41" t="s">
        <v>1441</v>
      </c>
    </row>
    <row r="13" spans="1:4">
      <c r="A13" s="598">
        <v>45167.647881944446</v>
      </c>
      <c r="B13" s="41" t="s">
        <v>1440</v>
      </c>
      <c r="C13" s="41" t="s">
        <v>1441</v>
      </c>
    </row>
    <row r="14" spans="1:4">
      <c r="A14" s="598">
        <v>45167.647905092592</v>
      </c>
      <c r="B14" s="41" t="s">
        <v>1442</v>
      </c>
      <c r="C14" s="41" t="s">
        <v>1441</v>
      </c>
    </row>
    <row r="15" spans="1:4">
      <c r="A15" s="598">
        <v>45167.657060185185</v>
      </c>
      <c r="B15" s="41" t="s">
        <v>1440</v>
      </c>
      <c r="C15" s="41" t="s">
        <v>1441</v>
      </c>
    </row>
    <row r="16" spans="1:4">
      <c r="A16" s="598">
        <v>45167.657083333332</v>
      </c>
      <c r="B16" s="41" t="s">
        <v>1442</v>
      </c>
      <c r="C16" s="41" t="s">
        <v>1441</v>
      </c>
    </row>
    <row r="17" spans="1:3">
      <c r="A17" s="598">
        <v>45168.437962962962</v>
      </c>
      <c r="B17" s="41" t="s">
        <v>1440</v>
      </c>
      <c r="C17" s="41" t="s">
        <v>1441</v>
      </c>
    </row>
    <row r="18" spans="1:3">
      <c r="A18" s="598">
        <v>45168.437986111108</v>
      </c>
      <c r="B18" s="41" t="s">
        <v>1442</v>
      </c>
      <c r="C18" s="41" t="s">
        <v>1441</v>
      </c>
    </row>
    <row r="19" spans="1:3">
      <c r="A19" s="598">
        <v>45168.486562500002</v>
      </c>
      <c r="B19" s="41" t="s">
        <v>1440</v>
      </c>
      <c r="C19" s="41" t="s">
        <v>1441</v>
      </c>
    </row>
    <row r="20" spans="1:3">
      <c r="A20" s="598">
        <v>45168.486574074072</v>
      </c>
      <c r="B20" s="41" t="s">
        <v>1442</v>
      </c>
      <c r="C20" s="41" t="s">
        <v>1441</v>
      </c>
    </row>
    <row r="21" spans="1:3">
      <c r="A21" s="598">
        <v>45259.492349537039</v>
      </c>
      <c r="B21" s="41" t="s">
        <v>1440</v>
      </c>
      <c r="C21" s="41" t="s">
        <v>1441</v>
      </c>
    </row>
    <row r="22" spans="1:3">
      <c r="A22" s="598">
        <v>45259.647129629629</v>
      </c>
      <c r="B22" s="41" t="s">
        <v>1440</v>
      </c>
      <c r="C22" s="41" t="s">
        <v>1441</v>
      </c>
    </row>
    <row r="23" spans="1:3">
      <c r="A23" s="598">
        <v>45259.647141203706</v>
      </c>
      <c r="B23" s="41" t="s">
        <v>1442</v>
      </c>
      <c r="C23" s="41" t="s">
        <v>1441</v>
      </c>
    </row>
    <row r="24" spans="1:3">
      <c r="A24" s="598">
        <v>45264.450185185182</v>
      </c>
      <c r="B24" s="41" t="s">
        <v>1440</v>
      </c>
      <c r="C24" s="41" t="s">
        <v>1441</v>
      </c>
    </row>
    <row r="25" spans="1:3">
      <c r="A25" s="598">
        <v>45264.450219907405</v>
      </c>
      <c r="B25" s="41" t="s">
        <v>1442</v>
      </c>
      <c r="C25" s="41" t="s">
        <v>1441</v>
      </c>
    </row>
    <row r="26" spans="1:3">
      <c r="A26" s="598">
        <v>45264.54173611111</v>
      </c>
      <c r="B26" s="41" t="s">
        <v>1440</v>
      </c>
      <c r="C26" s="41" t="s">
        <v>1441</v>
      </c>
    </row>
    <row r="27" spans="1:3">
      <c r="A27" s="598">
        <v>45264.541747685187</v>
      </c>
      <c r="B27" s="41" t="s">
        <v>1442</v>
      </c>
      <c r="C27" s="41" t="s">
        <v>1441</v>
      </c>
    </row>
    <row r="28" spans="1:3">
      <c r="A28" s="598">
        <v>45274.642372685186</v>
      </c>
      <c r="B28" s="41" t="s">
        <v>1440</v>
      </c>
      <c r="C28" s="41" t="s">
        <v>1441</v>
      </c>
    </row>
    <row r="29" spans="1:3">
      <c r="A29" s="598">
        <v>45274.691516203704</v>
      </c>
      <c r="B29" s="41" t="s">
        <v>1440</v>
      </c>
      <c r="C29" s="41" t="s">
        <v>1441</v>
      </c>
    </row>
    <row r="30" spans="1:3">
      <c r="A30" s="598">
        <v>45274.691527777781</v>
      </c>
      <c r="B30" s="41" t="s">
        <v>1442</v>
      </c>
      <c r="C30" s="41" t="s">
        <v>1441</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599" t="s">
        <v>1037</v>
      </c>
      <c r="B1" s="599" t="s">
        <v>1038</v>
      </c>
      <c r="C1" s="599" t="s">
        <v>2135</v>
      </c>
      <c r="D1" s="599" t="s">
        <v>2469</v>
      </c>
      <c r="E1" s="599"/>
    </row>
    <row r="2" spans="1:5">
      <c r="A2" s="599" t="s">
        <v>2136</v>
      </c>
      <c r="B2" s="599" t="s">
        <v>2136</v>
      </c>
      <c r="C2" s="599" t="s">
        <v>2137</v>
      </c>
      <c r="D2" s="599" t="s">
        <v>2136</v>
      </c>
      <c r="E2" s="599" t="s">
        <v>2470</v>
      </c>
    </row>
    <row r="3" spans="1:5">
      <c r="A3" s="599" t="s">
        <v>2136</v>
      </c>
      <c r="B3" s="599" t="s">
        <v>2138</v>
      </c>
      <c r="C3" s="599" t="s">
        <v>2139</v>
      </c>
      <c r="D3" s="599" t="s">
        <v>2148</v>
      </c>
      <c r="E3" s="599" t="s">
        <v>2471</v>
      </c>
    </row>
    <row r="4" spans="1:5">
      <c r="A4" s="599" t="s">
        <v>2136</v>
      </c>
      <c r="B4" s="599" t="s">
        <v>2140</v>
      </c>
      <c r="C4" s="599" t="s">
        <v>2141</v>
      </c>
      <c r="D4" s="599" t="s">
        <v>2168</v>
      </c>
      <c r="E4" s="599" t="s">
        <v>2472</v>
      </c>
    </row>
    <row r="5" spans="1:5">
      <c r="A5" s="599" t="s">
        <v>2136</v>
      </c>
      <c r="B5" s="599" t="s">
        <v>2142</v>
      </c>
      <c r="C5" s="599" t="s">
        <v>2143</v>
      </c>
      <c r="D5" s="599" t="s">
        <v>2182</v>
      </c>
      <c r="E5" s="599" t="s">
        <v>2473</v>
      </c>
    </row>
    <row r="6" spans="1:5">
      <c r="A6" s="599" t="s">
        <v>2136</v>
      </c>
      <c r="B6" s="599" t="s">
        <v>2144</v>
      </c>
      <c r="C6" s="599" t="s">
        <v>2145</v>
      </c>
      <c r="D6" s="599" t="s">
        <v>2200</v>
      </c>
      <c r="E6" s="599" t="s">
        <v>2474</v>
      </c>
    </row>
    <row r="7" spans="1:5">
      <c r="A7" s="599" t="s">
        <v>2136</v>
      </c>
      <c r="B7" s="599" t="s">
        <v>2146</v>
      </c>
      <c r="C7" s="599" t="s">
        <v>2147</v>
      </c>
      <c r="D7" s="599" t="s">
        <v>2218</v>
      </c>
      <c r="E7" s="599" t="s">
        <v>2475</v>
      </c>
    </row>
    <row r="8" spans="1:5">
      <c r="A8" s="599" t="s">
        <v>2148</v>
      </c>
      <c r="B8" s="599" t="s">
        <v>2148</v>
      </c>
      <c r="C8" s="599" t="s">
        <v>2149</v>
      </c>
      <c r="D8" s="599" t="s">
        <v>2232</v>
      </c>
      <c r="E8" s="599" t="s">
        <v>2476</v>
      </c>
    </row>
    <row r="9" spans="1:5">
      <c r="A9" s="599" t="s">
        <v>2148</v>
      </c>
      <c r="B9" s="599" t="s">
        <v>2150</v>
      </c>
      <c r="C9" s="599" t="s">
        <v>2151</v>
      </c>
      <c r="D9" s="599" t="s">
        <v>2248</v>
      </c>
      <c r="E9" s="599" t="s">
        <v>2477</v>
      </c>
    </row>
    <row r="10" spans="1:5">
      <c r="A10" s="599" t="s">
        <v>2148</v>
      </c>
      <c r="B10" s="599" t="s">
        <v>2152</v>
      </c>
      <c r="C10" s="599" t="s">
        <v>2153</v>
      </c>
      <c r="D10" s="599" t="s">
        <v>2266</v>
      </c>
      <c r="E10" s="599" t="s">
        <v>2478</v>
      </c>
    </row>
    <row r="11" spans="1:5">
      <c r="A11" s="599" t="s">
        <v>2148</v>
      </c>
      <c r="B11" s="599" t="s">
        <v>2154</v>
      </c>
      <c r="C11" s="599" t="s">
        <v>2155</v>
      </c>
      <c r="D11" s="599" t="s">
        <v>2286</v>
      </c>
      <c r="E11" s="599" t="s">
        <v>2479</v>
      </c>
    </row>
    <row r="12" spans="1:5">
      <c r="A12" s="599" t="s">
        <v>2148</v>
      </c>
      <c r="B12" s="599" t="s">
        <v>2156</v>
      </c>
      <c r="C12" s="599" t="s">
        <v>2157</v>
      </c>
      <c r="D12" s="599" t="s">
        <v>2298</v>
      </c>
      <c r="E12" s="599" t="s">
        <v>2480</v>
      </c>
    </row>
    <row r="13" spans="1:5">
      <c r="A13" s="599" t="s">
        <v>2148</v>
      </c>
      <c r="B13" s="599" t="s">
        <v>2158</v>
      </c>
      <c r="C13" s="599" t="s">
        <v>2159</v>
      </c>
      <c r="D13" s="599" t="s">
        <v>2312</v>
      </c>
      <c r="E13" s="599" t="s">
        <v>2481</v>
      </c>
    </row>
    <row r="14" spans="1:5">
      <c r="A14" s="599" t="s">
        <v>2148</v>
      </c>
      <c r="B14" s="599" t="s">
        <v>2160</v>
      </c>
      <c r="C14" s="599" t="s">
        <v>2161</v>
      </c>
      <c r="D14" s="599" t="s">
        <v>2326</v>
      </c>
      <c r="E14" s="599" t="s">
        <v>2482</v>
      </c>
    </row>
    <row r="15" spans="1:5">
      <c r="A15" s="599" t="s">
        <v>2148</v>
      </c>
      <c r="B15" s="599" t="s">
        <v>2162</v>
      </c>
      <c r="C15" s="599" t="s">
        <v>2163</v>
      </c>
      <c r="D15" s="599" t="s">
        <v>2338</v>
      </c>
      <c r="E15" s="599" t="s">
        <v>2483</v>
      </c>
    </row>
    <row r="16" spans="1:5">
      <c r="A16" s="599" t="s">
        <v>2148</v>
      </c>
      <c r="B16" s="599" t="s">
        <v>2164</v>
      </c>
      <c r="C16" s="599" t="s">
        <v>2165</v>
      </c>
      <c r="D16" s="599" t="s">
        <v>2352</v>
      </c>
      <c r="E16" s="599" t="s">
        <v>2484</v>
      </c>
    </row>
    <row r="17" spans="1:5">
      <c r="A17" s="599" t="s">
        <v>2148</v>
      </c>
      <c r="B17" s="599" t="s">
        <v>2166</v>
      </c>
      <c r="C17" s="599" t="s">
        <v>2167</v>
      </c>
      <c r="D17" s="599" t="s">
        <v>2364</v>
      </c>
      <c r="E17" s="599" t="s">
        <v>2485</v>
      </c>
    </row>
    <row r="18" spans="1:5">
      <c r="A18" s="599" t="s">
        <v>2168</v>
      </c>
      <c r="B18" s="599" t="s">
        <v>2169</v>
      </c>
      <c r="C18" s="599" t="s">
        <v>2170</v>
      </c>
      <c r="D18" s="599" t="s">
        <v>2380</v>
      </c>
      <c r="E18" s="599" t="s">
        <v>2486</v>
      </c>
    </row>
    <row r="19" spans="1:5">
      <c r="A19" s="599" t="s">
        <v>2168</v>
      </c>
      <c r="B19" s="599" t="s">
        <v>2168</v>
      </c>
      <c r="C19" s="599" t="s">
        <v>2171</v>
      </c>
      <c r="D19" s="599" t="s">
        <v>2396</v>
      </c>
      <c r="E19" s="599" t="s">
        <v>2487</v>
      </c>
    </row>
    <row r="20" spans="1:5">
      <c r="A20" s="599" t="s">
        <v>2168</v>
      </c>
      <c r="B20" s="599" t="s">
        <v>2172</v>
      </c>
      <c r="C20" s="599" t="s">
        <v>2173</v>
      </c>
      <c r="D20" s="599" t="s">
        <v>2410</v>
      </c>
      <c r="E20" s="599" t="s">
        <v>2488</v>
      </c>
    </row>
    <row r="21" spans="1:5">
      <c r="A21" s="599" t="s">
        <v>2168</v>
      </c>
      <c r="B21" s="599" t="s">
        <v>2174</v>
      </c>
      <c r="C21" s="599" t="s">
        <v>2175</v>
      </c>
      <c r="D21" s="599" t="s">
        <v>2424</v>
      </c>
      <c r="E21" s="599" t="s">
        <v>2489</v>
      </c>
    </row>
    <row r="22" spans="1:5">
      <c r="A22" s="599" t="s">
        <v>2168</v>
      </c>
      <c r="B22" s="599" t="s">
        <v>2176</v>
      </c>
      <c r="C22" s="599" t="s">
        <v>2177</v>
      </c>
      <c r="D22" s="599" t="s">
        <v>2441</v>
      </c>
      <c r="E22" s="599" t="s">
        <v>2490</v>
      </c>
    </row>
    <row r="23" spans="1:5">
      <c r="A23" s="599" t="s">
        <v>2168</v>
      </c>
      <c r="B23" s="599" t="s">
        <v>2178</v>
      </c>
      <c r="C23" s="599" t="s">
        <v>2179</v>
      </c>
      <c r="D23" s="599" t="s">
        <v>2463</v>
      </c>
      <c r="E23" s="599" t="s">
        <v>2491</v>
      </c>
    </row>
    <row r="24" spans="1:5">
      <c r="A24" s="599" t="s">
        <v>2168</v>
      </c>
      <c r="B24" s="599" t="s">
        <v>2180</v>
      </c>
      <c r="C24" s="599" t="s">
        <v>2181</v>
      </c>
      <c r="D24" s="599" t="s">
        <v>2465</v>
      </c>
      <c r="E24" s="599" t="s">
        <v>2492</v>
      </c>
    </row>
    <row r="25" spans="1:5">
      <c r="A25" s="599" t="s">
        <v>2182</v>
      </c>
      <c r="B25" s="599" t="s">
        <v>2183</v>
      </c>
      <c r="C25" s="599" t="s">
        <v>2184</v>
      </c>
      <c r="D25" s="599" t="s">
        <v>2467</v>
      </c>
      <c r="E25" s="599" t="s">
        <v>2493</v>
      </c>
    </row>
    <row r="26" spans="1:5">
      <c r="A26" s="599" t="s">
        <v>2182</v>
      </c>
      <c r="B26" s="599" t="s">
        <v>2185</v>
      </c>
      <c r="C26" s="599" t="s">
        <v>2186</v>
      </c>
      <c r="D26" s="599"/>
      <c r="E26" s="599"/>
    </row>
    <row r="27" spans="1:5">
      <c r="A27" s="599" t="s">
        <v>2182</v>
      </c>
      <c r="B27" s="599" t="s">
        <v>2182</v>
      </c>
      <c r="C27" s="599" t="s">
        <v>2187</v>
      </c>
      <c r="D27" s="599"/>
      <c r="E27" s="599"/>
    </row>
    <row r="28" spans="1:5">
      <c r="A28" s="599" t="s">
        <v>2182</v>
      </c>
      <c r="B28" s="599" t="s">
        <v>2188</v>
      </c>
      <c r="C28" s="599" t="s">
        <v>2189</v>
      </c>
      <c r="D28" s="599"/>
      <c r="E28" s="599"/>
    </row>
    <row r="29" spans="1:5">
      <c r="A29" s="599" t="s">
        <v>2182</v>
      </c>
      <c r="B29" s="599" t="s">
        <v>2190</v>
      </c>
      <c r="C29" s="599" t="s">
        <v>2191</v>
      </c>
      <c r="D29" s="599"/>
      <c r="E29" s="599"/>
    </row>
    <row r="30" spans="1:5">
      <c r="A30" s="599" t="s">
        <v>2182</v>
      </c>
      <c r="B30" s="599" t="s">
        <v>2192</v>
      </c>
      <c r="C30" s="599" t="s">
        <v>2193</v>
      </c>
      <c r="D30" s="599"/>
      <c r="E30" s="599"/>
    </row>
    <row r="31" spans="1:5">
      <c r="A31" s="599" t="s">
        <v>2182</v>
      </c>
      <c r="B31" s="599" t="s">
        <v>2194</v>
      </c>
      <c r="C31" s="599" t="s">
        <v>2195</v>
      </c>
      <c r="D31" s="599"/>
      <c r="E31" s="599"/>
    </row>
    <row r="32" spans="1:5">
      <c r="A32" s="599" t="s">
        <v>2182</v>
      </c>
      <c r="B32" s="599" t="s">
        <v>2196</v>
      </c>
      <c r="C32" s="599" t="s">
        <v>2197</v>
      </c>
      <c r="D32" s="599"/>
      <c r="E32" s="599"/>
    </row>
    <row r="33" spans="1:5">
      <c r="A33" s="599" t="s">
        <v>2182</v>
      </c>
      <c r="B33" s="599" t="s">
        <v>2198</v>
      </c>
      <c r="C33" s="599" t="s">
        <v>2199</v>
      </c>
      <c r="D33" s="599"/>
      <c r="E33" s="599"/>
    </row>
    <row r="34" spans="1:5">
      <c r="A34" s="599" t="s">
        <v>2200</v>
      </c>
      <c r="B34" s="599" t="s">
        <v>2201</v>
      </c>
      <c r="C34" s="599" t="s">
        <v>2202</v>
      </c>
      <c r="D34" s="599"/>
      <c r="E34" s="599"/>
    </row>
    <row r="35" spans="1:5">
      <c r="A35" s="599" t="s">
        <v>2200</v>
      </c>
      <c r="B35" s="599" t="s">
        <v>2203</v>
      </c>
      <c r="C35" s="599" t="s">
        <v>2204</v>
      </c>
      <c r="D35" s="599"/>
      <c r="E35" s="599"/>
    </row>
    <row r="36" spans="1:5">
      <c r="A36" s="599" t="s">
        <v>2200</v>
      </c>
      <c r="B36" s="599" t="s">
        <v>2205</v>
      </c>
      <c r="C36" s="599" t="s">
        <v>2206</v>
      </c>
      <c r="D36" s="599"/>
      <c r="E36" s="599"/>
    </row>
    <row r="37" spans="1:5">
      <c r="A37" s="599" t="s">
        <v>2200</v>
      </c>
      <c r="B37" s="599" t="s">
        <v>2200</v>
      </c>
      <c r="C37" s="599" t="s">
        <v>2207</v>
      </c>
      <c r="D37" s="599"/>
      <c r="E37" s="599"/>
    </row>
    <row r="38" spans="1:5">
      <c r="A38" s="599" t="s">
        <v>2200</v>
      </c>
      <c r="B38" s="599" t="s">
        <v>2208</v>
      </c>
      <c r="C38" s="599" t="s">
        <v>2209</v>
      </c>
      <c r="D38" s="599"/>
      <c r="E38" s="599"/>
    </row>
    <row r="39" spans="1:5">
      <c r="A39" s="599" t="s">
        <v>2200</v>
      </c>
      <c r="B39" s="599" t="s">
        <v>2210</v>
      </c>
      <c r="C39" s="599" t="s">
        <v>2211</v>
      </c>
      <c r="D39" s="599"/>
      <c r="E39" s="599"/>
    </row>
    <row r="40" spans="1:5">
      <c r="A40" s="599" t="s">
        <v>2200</v>
      </c>
      <c r="B40" s="599" t="s">
        <v>2212</v>
      </c>
      <c r="C40" s="599" t="s">
        <v>2213</v>
      </c>
      <c r="D40" s="599"/>
      <c r="E40" s="599"/>
    </row>
    <row r="41" spans="1:5">
      <c r="A41" s="599" t="s">
        <v>2200</v>
      </c>
      <c r="B41" s="599" t="s">
        <v>2214</v>
      </c>
      <c r="C41" s="599" t="s">
        <v>2215</v>
      </c>
      <c r="D41" s="599"/>
      <c r="E41" s="599"/>
    </row>
    <row r="42" spans="1:5">
      <c r="A42" s="599" t="s">
        <v>2200</v>
      </c>
      <c r="B42" s="599" t="s">
        <v>2216</v>
      </c>
      <c r="C42" s="599" t="s">
        <v>2217</v>
      </c>
      <c r="D42" s="599"/>
      <c r="E42" s="599"/>
    </row>
    <row r="43" spans="1:5">
      <c r="A43" s="599" t="s">
        <v>2218</v>
      </c>
      <c r="B43" s="599" t="s">
        <v>2219</v>
      </c>
      <c r="C43" s="599" t="s">
        <v>2220</v>
      </c>
      <c r="D43" s="599"/>
      <c r="E43" s="599"/>
    </row>
    <row r="44" spans="1:5">
      <c r="A44" s="599" t="s">
        <v>2218</v>
      </c>
      <c r="B44" s="599" t="s">
        <v>2221</v>
      </c>
      <c r="C44" s="599" t="s">
        <v>2222</v>
      </c>
      <c r="D44" s="599"/>
      <c r="E44" s="599"/>
    </row>
    <row r="45" spans="1:5">
      <c r="A45" s="599" t="s">
        <v>2218</v>
      </c>
      <c r="B45" s="599" t="s">
        <v>2223</v>
      </c>
      <c r="C45" s="599" t="s">
        <v>2224</v>
      </c>
      <c r="D45" s="599"/>
      <c r="E45" s="599"/>
    </row>
    <row r="46" spans="1:5">
      <c r="A46" s="599" t="s">
        <v>2218</v>
      </c>
      <c r="B46" s="599" t="s">
        <v>2218</v>
      </c>
      <c r="C46" s="599" t="s">
        <v>2225</v>
      </c>
      <c r="D46" s="599"/>
      <c r="E46" s="599"/>
    </row>
    <row r="47" spans="1:5">
      <c r="A47" s="599" t="s">
        <v>2218</v>
      </c>
      <c r="B47" s="599" t="s">
        <v>2226</v>
      </c>
      <c r="C47" s="599" t="s">
        <v>2227</v>
      </c>
      <c r="D47" s="599"/>
      <c r="E47" s="599"/>
    </row>
    <row r="48" spans="1:5">
      <c r="A48" s="599" t="s">
        <v>2218</v>
      </c>
      <c r="B48" s="599" t="s">
        <v>2228</v>
      </c>
      <c r="C48" s="599" t="s">
        <v>2229</v>
      </c>
      <c r="D48" s="599"/>
      <c r="E48" s="599"/>
    </row>
    <row r="49" spans="1:5">
      <c r="A49" s="599" t="s">
        <v>2218</v>
      </c>
      <c r="B49" s="599" t="s">
        <v>2230</v>
      </c>
      <c r="C49" s="599" t="s">
        <v>2231</v>
      </c>
      <c r="D49" s="599"/>
      <c r="E49" s="599"/>
    </row>
    <row r="50" spans="1:5">
      <c r="A50" s="599" t="s">
        <v>2232</v>
      </c>
      <c r="B50" s="599" t="s">
        <v>2233</v>
      </c>
      <c r="C50" s="599" t="s">
        <v>2234</v>
      </c>
      <c r="D50" s="599"/>
      <c r="E50" s="599"/>
    </row>
    <row r="51" spans="1:5">
      <c r="A51" s="599" t="s">
        <v>2232</v>
      </c>
      <c r="B51" s="599" t="s">
        <v>2235</v>
      </c>
      <c r="C51" s="599" t="s">
        <v>2236</v>
      </c>
      <c r="D51" s="599"/>
      <c r="E51" s="599"/>
    </row>
    <row r="52" spans="1:5">
      <c r="A52" s="599" t="s">
        <v>2232</v>
      </c>
      <c r="B52" s="599" t="s">
        <v>2237</v>
      </c>
      <c r="C52" s="599" t="s">
        <v>2238</v>
      </c>
      <c r="D52" s="599"/>
      <c r="E52" s="599"/>
    </row>
    <row r="53" spans="1:5">
      <c r="A53" s="599" t="s">
        <v>2232</v>
      </c>
      <c r="B53" s="599" t="s">
        <v>2239</v>
      </c>
      <c r="C53" s="599" t="s">
        <v>2240</v>
      </c>
      <c r="D53" s="599"/>
      <c r="E53" s="599"/>
    </row>
    <row r="54" spans="1:5">
      <c r="A54" s="599" t="s">
        <v>2232</v>
      </c>
      <c r="B54" s="599" t="s">
        <v>2232</v>
      </c>
      <c r="C54" s="599" t="s">
        <v>2241</v>
      </c>
      <c r="D54" s="599"/>
      <c r="E54" s="599"/>
    </row>
    <row r="55" spans="1:5">
      <c r="A55" s="599" t="s">
        <v>2232</v>
      </c>
      <c r="B55" s="599" t="s">
        <v>2242</v>
      </c>
      <c r="C55" s="599" t="s">
        <v>2243</v>
      </c>
      <c r="D55" s="599"/>
      <c r="E55" s="599"/>
    </row>
    <row r="56" spans="1:5">
      <c r="A56" s="599" t="s">
        <v>2232</v>
      </c>
      <c r="B56" s="599" t="s">
        <v>2244</v>
      </c>
      <c r="C56" s="599" t="s">
        <v>2245</v>
      </c>
      <c r="D56" s="599"/>
      <c r="E56" s="599"/>
    </row>
    <row r="57" spans="1:5">
      <c r="A57" s="599" t="s">
        <v>2232</v>
      </c>
      <c r="B57" s="599" t="s">
        <v>2246</v>
      </c>
      <c r="C57" s="599" t="s">
        <v>2247</v>
      </c>
      <c r="D57" s="599"/>
      <c r="E57" s="599"/>
    </row>
    <row r="58" spans="1:5">
      <c r="A58" s="599" t="s">
        <v>2248</v>
      </c>
      <c r="B58" s="599" t="s">
        <v>2249</v>
      </c>
      <c r="C58" s="599" t="s">
        <v>2250</v>
      </c>
      <c r="D58" s="599"/>
      <c r="E58" s="599"/>
    </row>
    <row r="59" spans="1:5">
      <c r="A59" s="599" t="s">
        <v>2248</v>
      </c>
      <c r="B59" s="599" t="s">
        <v>2248</v>
      </c>
      <c r="C59" s="599" t="s">
        <v>2251</v>
      </c>
      <c r="D59" s="599"/>
      <c r="E59" s="599"/>
    </row>
    <row r="60" spans="1:5">
      <c r="A60" s="599" t="s">
        <v>2248</v>
      </c>
      <c r="B60" s="599" t="s">
        <v>2252</v>
      </c>
      <c r="C60" s="599" t="s">
        <v>2253</v>
      </c>
      <c r="D60" s="599"/>
      <c r="E60" s="599"/>
    </row>
    <row r="61" spans="1:5">
      <c r="A61" s="599" t="s">
        <v>2248</v>
      </c>
      <c r="B61" s="599" t="s">
        <v>2254</v>
      </c>
      <c r="C61" s="599" t="s">
        <v>2255</v>
      </c>
      <c r="D61" s="599"/>
      <c r="E61" s="599"/>
    </row>
    <row r="62" spans="1:5">
      <c r="A62" s="599" t="s">
        <v>2248</v>
      </c>
      <c r="B62" s="599" t="s">
        <v>2256</v>
      </c>
      <c r="C62" s="599" t="s">
        <v>2257</v>
      </c>
      <c r="D62" s="599"/>
      <c r="E62" s="599"/>
    </row>
    <row r="63" spans="1:5">
      <c r="A63" s="599" t="s">
        <v>2248</v>
      </c>
      <c r="B63" s="599" t="s">
        <v>2258</v>
      </c>
      <c r="C63" s="599" t="s">
        <v>2259</v>
      </c>
      <c r="D63" s="599"/>
      <c r="E63" s="599"/>
    </row>
    <row r="64" spans="1:5">
      <c r="A64" s="599" t="s">
        <v>2248</v>
      </c>
      <c r="B64" s="599" t="s">
        <v>2260</v>
      </c>
      <c r="C64" s="599" t="s">
        <v>2261</v>
      </c>
      <c r="D64" s="599"/>
      <c r="E64" s="599"/>
    </row>
    <row r="65" spans="1:5">
      <c r="A65" s="599" t="s">
        <v>2248</v>
      </c>
      <c r="B65" s="599" t="s">
        <v>2262</v>
      </c>
      <c r="C65" s="599" t="s">
        <v>2263</v>
      </c>
      <c r="D65" s="599"/>
      <c r="E65" s="599"/>
    </row>
    <row r="66" spans="1:5">
      <c r="A66" s="599" t="s">
        <v>2248</v>
      </c>
      <c r="B66" s="599" t="s">
        <v>2264</v>
      </c>
      <c r="C66" s="599" t="s">
        <v>2265</v>
      </c>
      <c r="D66" s="599"/>
      <c r="E66" s="599"/>
    </row>
    <row r="67" spans="1:5">
      <c r="A67" s="599" t="s">
        <v>2266</v>
      </c>
      <c r="B67" s="599" t="s">
        <v>2267</v>
      </c>
      <c r="C67" s="599" t="s">
        <v>2268</v>
      </c>
      <c r="D67" s="599"/>
      <c r="E67" s="599"/>
    </row>
    <row r="68" spans="1:5">
      <c r="A68" s="599" t="s">
        <v>2266</v>
      </c>
      <c r="B68" s="599" t="s">
        <v>2269</v>
      </c>
      <c r="C68" s="599" t="s">
        <v>2270</v>
      </c>
      <c r="D68" s="599"/>
      <c r="E68" s="599"/>
    </row>
    <row r="69" spans="1:5">
      <c r="A69" s="599" t="s">
        <v>2266</v>
      </c>
      <c r="B69" s="599" t="s">
        <v>2271</v>
      </c>
      <c r="C69" s="599" t="s">
        <v>2272</v>
      </c>
      <c r="D69" s="599"/>
      <c r="E69" s="599"/>
    </row>
    <row r="70" spans="1:5">
      <c r="A70" s="599" t="s">
        <v>2266</v>
      </c>
      <c r="B70" s="599" t="s">
        <v>2273</v>
      </c>
      <c r="C70" s="599" t="s">
        <v>2274</v>
      </c>
      <c r="D70" s="599"/>
      <c r="E70" s="599"/>
    </row>
    <row r="71" spans="1:5">
      <c r="A71" s="599" t="s">
        <v>2266</v>
      </c>
      <c r="B71" s="599" t="s">
        <v>2266</v>
      </c>
      <c r="C71" s="599" t="s">
        <v>2275</v>
      </c>
      <c r="D71" s="599"/>
      <c r="E71" s="599"/>
    </row>
    <row r="72" spans="1:5">
      <c r="A72" s="599" t="s">
        <v>2266</v>
      </c>
      <c r="B72" s="599" t="s">
        <v>2276</v>
      </c>
      <c r="C72" s="599" t="s">
        <v>2277</v>
      </c>
      <c r="D72" s="599"/>
      <c r="E72" s="599"/>
    </row>
    <row r="73" spans="1:5">
      <c r="A73" s="599" t="s">
        <v>2266</v>
      </c>
      <c r="B73" s="599" t="s">
        <v>2278</v>
      </c>
      <c r="C73" s="599" t="s">
        <v>2279</v>
      </c>
      <c r="D73" s="599"/>
      <c r="E73" s="599"/>
    </row>
    <row r="74" spans="1:5">
      <c r="A74" s="599" t="s">
        <v>2266</v>
      </c>
      <c r="B74" s="599" t="s">
        <v>2280</v>
      </c>
      <c r="C74" s="599" t="s">
        <v>2281</v>
      </c>
      <c r="D74" s="599"/>
      <c r="E74" s="599"/>
    </row>
    <row r="75" spans="1:5">
      <c r="A75" s="599" t="s">
        <v>2266</v>
      </c>
      <c r="B75" s="599" t="s">
        <v>2282</v>
      </c>
      <c r="C75" s="599" t="s">
        <v>2283</v>
      </c>
      <c r="D75" s="599"/>
      <c r="E75" s="599"/>
    </row>
    <row r="76" spans="1:5">
      <c r="A76" s="599" t="s">
        <v>2266</v>
      </c>
      <c r="B76" s="599" t="s">
        <v>2284</v>
      </c>
      <c r="C76" s="599" t="s">
        <v>2285</v>
      </c>
      <c r="D76" s="599"/>
      <c r="E76" s="599"/>
    </row>
    <row r="77" spans="1:5">
      <c r="A77" s="599" t="s">
        <v>2286</v>
      </c>
      <c r="B77" s="599" t="s">
        <v>2287</v>
      </c>
      <c r="C77" s="599" t="s">
        <v>2288</v>
      </c>
      <c r="D77" s="599"/>
      <c r="E77" s="599"/>
    </row>
    <row r="78" spans="1:5">
      <c r="A78" s="599" t="s">
        <v>2286</v>
      </c>
      <c r="B78" s="599" t="s">
        <v>2286</v>
      </c>
      <c r="C78" s="599" t="s">
        <v>2289</v>
      </c>
      <c r="D78" s="599"/>
      <c r="E78" s="599"/>
    </row>
    <row r="79" spans="1:5">
      <c r="A79" s="599" t="s">
        <v>2286</v>
      </c>
      <c r="B79" s="599" t="s">
        <v>2290</v>
      </c>
      <c r="C79" s="599" t="s">
        <v>2291</v>
      </c>
      <c r="D79" s="599"/>
      <c r="E79" s="599"/>
    </row>
    <row r="80" spans="1:5">
      <c r="A80" s="599" t="s">
        <v>2286</v>
      </c>
      <c r="B80" s="599" t="s">
        <v>2292</v>
      </c>
      <c r="C80" s="599" t="s">
        <v>2293</v>
      </c>
      <c r="D80" s="599"/>
      <c r="E80" s="599"/>
    </row>
    <row r="81" spans="1:5">
      <c r="A81" s="599" t="s">
        <v>2286</v>
      </c>
      <c r="B81" s="599" t="s">
        <v>2294</v>
      </c>
      <c r="C81" s="599" t="s">
        <v>2295</v>
      </c>
      <c r="D81" s="599"/>
      <c r="E81" s="599"/>
    </row>
    <row r="82" spans="1:5">
      <c r="A82" s="599" t="s">
        <v>2286</v>
      </c>
      <c r="B82" s="599" t="s">
        <v>2296</v>
      </c>
      <c r="C82" s="599" t="s">
        <v>2297</v>
      </c>
      <c r="D82" s="599"/>
      <c r="E82" s="599"/>
    </row>
    <row r="83" spans="1:5">
      <c r="A83" s="599" t="s">
        <v>2298</v>
      </c>
      <c r="B83" s="599" t="s">
        <v>2299</v>
      </c>
      <c r="C83" s="599" t="s">
        <v>2300</v>
      </c>
      <c r="D83" s="599"/>
      <c r="E83" s="599"/>
    </row>
    <row r="84" spans="1:5">
      <c r="A84" s="599" t="s">
        <v>2298</v>
      </c>
      <c r="B84" s="599" t="s">
        <v>2301</v>
      </c>
      <c r="C84" s="599" t="s">
        <v>2302</v>
      </c>
      <c r="D84" s="599"/>
      <c r="E84" s="599"/>
    </row>
    <row r="85" spans="1:5">
      <c r="A85" s="599" t="s">
        <v>2298</v>
      </c>
      <c r="B85" s="599" t="s">
        <v>2298</v>
      </c>
      <c r="C85" s="599" t="s">
        <v>2303</v>
      </c>
      <c r="D85" s="599"/>
      <c r="E85" s="599"/>
    </row>
    <row r="86" spans="1:5">
      <c r="A86" s="599" t="s">
        <v>2298</v>
      </c>
      <c r="B86" s="599" t="s">
        <v>2304</v>
      </c>
      <c r="C86" s="599" t="s">
        <v>2305</v>
      </c>
      <c r="D86" s="599"/>
      <c r="E86" s="599"/>
    </row>
    <row r="87" spans="1:5">
      <c r="A87" s="599" t="s">
        <v>2298</v>
      </c>
      <c r="B87" s="599" t="s">
        <v>2306</v>
      </c>
      <c r="C87" s="599" t="s">
        <v>2307</v>
      </c>
      <c r="D87" s="599"/>
      <c r="E87" s="599"/>
    </row>
    <row r="88" spans="1:5">
      <c r="A88" s="599" t="s">
        <v>2298</v>
      </c>
      <c r="B88" s="599" t="s">
        <v>2308</v>
      </c>
      <c r="C88" s="599" t="s">
        <v>2309</v>
      </c>
      <c r="D88" s="599"/>
      <c r="E88" s="599"/>
    </row>
    <row r="89" spans="1:5">
      <c r="A89" s="599" t="s">
        <v>2298</v>
      </c>
      <c r="B89" s="599" t="s">
        <v>2310</v>
      </c>
      <c r="C89" s="599" t="s">
        <v>2311</v>
      </c>
      <c r="D89" s="599"/>
      <c r="E89" s="599"/>
    </row>
    <row r="90" spans="1:5">
      <c r="A90" s="599" t="s">
        <v>2312</v>
      </c>
      <c r="B90" s="599" t="s">
        <v>2313</v>
      </c>
      <c r="C90" s="599" t="s">
        <v>2314</v>
      </c>
      <c r="D90" s="599"/>
      <c r="E90" s="599"/>
    </row>
    <row r="91" spans="1:5">
      <c r="A91" s="599" t="s">
        <v>2312</v>
      </c>
      <c r="B91" s="599" t="s">
        <v>2312</v>
      </c>
      <c r="C91" s="599" t="s">
        <v>2315</v>
      </c>
      <c r="D91" s="599"/>
      <c r="E91" s="599"/>
    </row>
    <row r="92" spans="1:5">
      <c r="A92" s="599" t="s">
        <v>2312</v>
      </c>
      <c r="B92" s="599" t="s">
        <v>2316</v>
      </c>
      <c r="C92" s="599" t="s">
        <v>2317</v>
      </c>
      <c r="D92" s="599"/>
      <c r="E92" s="599"/>
    </row>
    <row r="93" spans="1:5">
      <c r="A93" s="599" t="s">
        <v>2312</v>
      </c>
      <c r="B93" s="599" t="s">
        <v>2318</v>
      </c>
      <c r="C93" s="599" t="s">
        <v>2319</v>
      </c>
      <c r="D93" s="599"/>
      <c r="E93" s="599"/>
    </row>
    <row r="94" spans="1:5">
      <c r="A94" s="599" t="s">
        <v>2312</v>
      </c>
      <c r="B94" s="599" t="s">
        <v>2320</v>
      </c>
      <c r="C94" s="599" t="s">
        <v>2321</v>
      </c>
      <c r="D94" s="599"/>
      <c r="E94" s="599"/>
    </row>
    <row r="95" spans="1:5">
      <c r="A95" s="599" t="s">
        <v>2312</v>
      </c>
      <c r="B95" s="599" t="s">
        <v>2322</v>
      </c>
      <c r="C95" s="599" t="s">
        <v>2323</v>
      </c>
      <c r="D95" s="599"/>
      <c r="E95" s="599"/>
    </row>
    <row r="96" spans="1:5">
      <c r="A96" s="599" t="s">
        <v>2312</v>
      </c>
      <c r="B96" s="599" t="s">
        <v>2324</v>
      </c>
      <c r="C96" s="599" t="s">
        <v>2325</v>
      </c>
      <c r="D96" s="599"/>
      <c r="E96" s="599"/>
    </row>
    <row r="97" spans="1:5">
      <c r="A97" s="599" t="s">
        <v>2326</v>
      </c>
      <c r="B97" s="599" t="s">
        <v>2327</v>
      </c>
      <c r="C97" s="599" t="s">
        <v>2328</v>
      </c>
      <c r="D97" s="599"/>
      <c r="E97" s="599"/>
    </row>
    <row r="98" spans="1:5">
      <c r="A98" s="599" t="s">
        <v>2326</v>
      </c>
      <c r="B98" s="599" t="s">
        <v>2329</v>
      </c>
      <c r="C98" s="599" t="s">
        <v>2330</v>
      </c>
      <c r="D98" s="599"/>
      <c r="E98" s="599"/>
    </row>
    <row r="99" spans="1:5">
      <c r="A99" s="599" t="s">
        <v>2326</v>
      </c>
      <c r="B99" s="599" t="s">
        <v>2331</v>
      </c>
      <c r="C99" s="599" t="s">
        <v>2332</v>
      </c>
      <c r="D99" s="599"/>
      <c r="E99" s="599"/>
    </row>
    <row r="100" spans="1:5">
      <c r="A100" s="599" t="s">
        <v>2326</v>
      </c>
      <c r="B100" s="599" t="s">
        <v>2333</v>
      </c>
      <c r="C100" s="599" t="s">
        <v>2334</v>
      </c>
      <c r="D100" s="599"/>
      <c r="E100" s="599"/>
    </row>
    <row r="101" spans="1:5">
      <c r="A101" s="599" t="s">
        <v>2326</v>
      </c>
      <c r="B101" s="599" t="s">
        <v>2326</v>
      </c>
      <c r="C101" s="599" t="s">
        <v>2335</v>
      </c>
      <c r="D101" s="599"/>
      <c r="E101" s="599"/>
    </row>
    <row r="102" spans="1:5">
      <c r="A102" s="599" t="s">
        <v>2326</v>
      </c>
      <c r="B102" s="599" t="s">
        <v>2336</v>
      </c>
      <c r="C102" s="599" t="s">
        <v>2337</v>
      </c>
      <c r="D102" s="599"/>
      <c r="E102" s="599"/>
    </row>
    <row r="103" spans="1:5">
      <c r="A103" s="599" t="s">
        <v>2338</v>
      </c>
      <c r="B103" s="599" t="s">
        <v>2339</v>
      </c>
      <c r="C103" s="599" t="s">
        <v>2340</v>
      </c>
      <c r="D103" s="599"/>
      <c r="E103" s="599"/>
    </row>
    <row r="104" spans="1:5">
      <c r="A104" s="599" t="s">
        <v>2338</v>
      </c>
      <c r="B104" s="599" t="s">
        <v>2341</v>
      </c>
      <c r="C104" s="599" t="s">
        <v>2342</v>
      </c>
      <c r="D104" s="599"/>
      <c r="E104" s="599"/>
    </row>
    <row r="105" spans="1:5">
      <c r="A105" s="599" t="s">
        <v>2338</v>
      </c>
      <c r="B105" s="599" t="s">
        <v>2343</v>
      </c>
      <c r="C105" s="599" t="s">
        <v>2344</v>
      </c>
      <c r="D105" s="599"/>
      <c r="E105" s="599"/>
    </row>
    <row r="106" spans="1:5">
      <c r="A106" s="599" t="s">
        <v>2338</v>
      </c>
      <c r="B106" s="599" t="s">
        <v>2338</v>
      </c>
      <c r="C106" s="599" t="s">
        <v>2345</v>
      </c>
      <c r="D106" s="599"/>
      <c r="E106" s="599"/>
    </row>
    <row r="107" spans="1:5">
      <c r="A107" s="599" t="s">
        <v>2338</v>
      </c>
      <c r="B107" s="599" t="s">
        <v>2346</v>
      </c>
      <c r="C107" s="599" t="s">
        <v>2347</v>
      </c>
      <c r="D107" s="599"/>
      <c r="E107" s="599"/>
    </row>
    <row r="108" spans="1:5">
      <c r="A108" s="599" t="s">
        <v>2338</v>
      </c>
      <c r="B108" s="599" t="s">
        <v>2348</v>
      </c>
      <c r="C108" s="599" t="s">
        <v>2349</v>
      </c>
      <c r="D108" s="599"/>
      <c r="E108" s="599"/>
    </row>
    <row r="109" spans="1:5">
      <c r="A109" s="599" t="s">
        <v>2338</v>
      </c>
      <c r="B109" s="599" t="s">
        <v>2350</v>
      </c>
      <c r="C109" s="599" t="s">
        <v>2351</v>
      </c>
      <c r="D109" s="599"/>
      <c r="E109" s="599"/>
    </row>
    <row r="110" spans="1:5">
      <c r="A110" s="599" t="s">
        <v>2352</v>
      </c>
      <c r="B110" s="599" t="s">
        <v>2353</v>
      </c>
      <c r="C110" s="599" t="s">
        <v>2354</v>
      </c>
      <c r="D110" s="599"/>
      <c r="E110" s="599"/>
    </row>
    <row r="111" spans="1:5">
      <c r="A111" s="599" t="s">
        <v>2352</v>
      </c>
      <c r="B111" s="599" t="s">
        <v>2355</v>
      </c>
      <c r="C111" s="599" t="s">
        <v>2356</v>
      </c>
      <c r="D111" s="599"/>
      <c r="E111" s="599"/>
    </row>
    <row r="112" spans="1:5">
      <c r="A112" s="599" t="s">
        <v>2352</v>
      </c>
      <c r="B112" s="599" t="s">
        <v>2357</v>
      </c>
      <c r="C112" s="599" t="s">
        <v>2358</v>
      </c>
      <c r="D112" s="599"/>
      <c r="E112" s="599"/>
    </row>
    <row r="113" spans="1:5">
      <c r="A113" s="599" t="s">
        <v>2352</v>
      </c>
      <c r="B113" s="599" t="s">
        <v>2352</v>
      </c>
      <c r="C113" s="599" t="s">
        <v>2359</v>
      </c>
      <c r="D113" s="599"/>
      <c r="E113" s="599"/>
    </row>
    <row r="114" spans="1:5">
      <c r="A114" s="599" t="s">
        <v>2352</v>
      </c>
      <c r="B114" s="599" t="s">
        <v>2360</v>
      </c>
      <c r="C114" s="599" t="s">
        <v>2361</v>
      </c>
      <c r="D114" s="599"/>
      <c r="E114" s="599"/>
    </row>
    <row r="115" spans="1:5">
      <c r="A115" s="599" t="s">
        <v>2352</v>
      </c>
      <c r="B115" s="599" t="s">
        <v>2362</v>
      </c>
      <c r="C115" s="599" t="s">
        <v>2363</v>
      </c>
      <c r="D115" s="599"/>
      <c r="E115" s="599"/>
    </row>
    <row r="116" spans="1:5">
      <c r="A116" s="599" t="s">
        <v>2364</v>
      </c>
      <c r="B116" s="599" t="s">
        <v>2365</v>
      </c>
      <c r="C116" s="599" t="s">
        <v>2366</v>
      </c>
      <c r="D116" s="599"/>
      <c r="E116" s="599"/>
    </row>
    <row r="117" spans="1:5">
      <c r="A117" s="599" t="s">
        <v>2364</v>
      </c>
      <c r="B117" s="599" t="s">
        <v>2367</v>
      </c>
      <c r="C117" s="599" t="s">
        <v>2368</v>
      </c>
      <c r="D117" s="599"/>
      <c r="E117" s="599"/>
    </row>
    <row r="118" spans="1:5">
      <c r="A118" s="599" t="s">
        <v>2364</v>
      </c>
      <c r="B118" s="599" t="s">
        <v>2369</v>
      </c>
      <c r="C118" s="599" t="s">
        <v>2370</v>
      </c>
      <c r="D118" s="599"/>
      <c r="E118" s="599"/>
    </row>
    <row r="119" spans="1:5">
      <c r="A119" s="599" t="s">
        <v>2364</v>
      </c>
      <c r="B119" s="599" t="s">
        <v>2371</v>
      </c>
      <c r="C119" s="599" t="s">
        <v>2372</v>
      </c>
      <c r="D119" s="599"/>
      <c r="E119" s="599"/>
    </row>
    <row r="120" spans="1:5">
      <c r="A120" s="599" t="s">
        <v>2364</v>
      </c>
      <c r="B120" s="599" t="s">
        <v>2373</v>
      </c>
      <c r="C120" s="599" t="s">
        <v>2374</v>
      </c>
      <c r="D120" s="599"/>
      <c r="E120" s="599"/>
    </row>
    <row r="121" spans="1:5">
      <c r="A121" s="599" t="s">
        <v>2364</v>
      </c>
      <c r="B121" s="599" t="s">
        <v>2364</v>
      </c>
      <c r="C121" s="599" t="s">
        <v>2375</v>
      </c>
      <c r="D121" s="599"/>
      <c r="E121" s="599"/>
    </row>
    <row r="122" spans="1:5">
      <c r="A122" s="599" t="s">
        <v>2364</v>
      </c>
      <c r="B122" s="599" t="s">
        <v>2376</v>
      </c>
      <c r="C122" s="599" t="s">
        <v>2377</v>
      </c>
      <c r="D122" s="599"/>
      <c r="E122" s="599"/>
    </row>
    <row r="123" spans="1:5">
      <c r="A123" s="599" t="s">
        <v>2364</v>
      </c>
      <c r="B123" s="599" t="s">
        <v>2378</v>
      </c>
      <c r="C123" s="599" t="s">
        <v>2379</v>
      </c>
      <c r="D123" s="599"/>
      <c r="E123" s="599"/>
    </row>
    <row r="124" spans="1:5">
      <c r="A124" s="599" t="s">
        <v>2380</v>
      </c>
      <c r="B124" s="599" t="s">
        <v>2381</v>
      </c>
      <c r="C124" s="599" t="s">
        <v>2382</v>
      </c>
      <c r="D124" s="599"/>
      <c r="E124" s="599"/>
    </row>
    <row r="125" spans="1:5">
      <c r="A125" s="599" t="s">
        <v>2380</v>
      </c>
      <c r="B125" s="599" t="s">
        <v>2383</v>
      </c>
      <c r="C125" s="599" t="s">
        <v>2384</v>
      </c>
      <c r="D125" s="599"/>
      <c r="E125" s="599"/>
    </row>
    <row r="126" spans="1:5">
      <c r="A126" s="599" t="s">
        <v>2380</v>
      </c>
      <c r="B126" s="599" t="s">
        <v>2385</v>
      </c>
      <c r="C126" s="599" t="s">
        <v>2386</v>
      </c>
      <c r="D126" s="599"/>
      <c r="E126" s="599"/>
    </row>
    <row r="127" spans="1:5">
      <c r="A127" s="599" t="s">
        <v>2380</v>
      </c>
      <c r="B127" s="599" t="s">
        <v>2387</v>
      </c>
      <c r="C127" s="599" t="s">
        <v>2388</v>
      </c>
      <c r="D127" s="599"/>
      <c r="E127" s="599"/>
    </row>
    <row r="128" spans="1:5">
      <c r="A128" s="599" t="s">
        <v>2380</v>
      </c>
      <c r="B128" s="599" t="s">
        <v>2380</v>
      </c>
      <c r="C128" s="599" t="s">
        <v>2389</v>
      </c>
      <c r="D128" s="599"/>
      <c r="E128" s="599"/>
    </row>
    <row r="129" spans="1:5">
      <c r="A129" s="599" t="s">
        <v>2380</v>
      </c>
      <c r="B129" s="599" t="s">
        <v>2390</v>
      </c>
      <c r="C129" s="599" t="s">
        <v>2391</v>
      </c>
      <c r="D129" s="599"/>
      <c r="E129" s="599"/>
    </row>
    <row r="130" spans="1:5">
      <c r="A130" s="599" t="s">
        <v>2380</v>
      </c>
      <c r="B130" s="599" t="s">
        <v>2392</v>
      </c>
      <c r="C130" s="599" t="s">
        <v>2393</v>
      </c>
      <c r="D130" s="599"/>
      <c r="E130" s="599"/>
    </row>
    <row r="131" spans="1:5">
      <c r="A131" s="599" t="s">
        <v>2380</v>
      </c>
      <c r="B131" s="599" t="s">
        <v>2394</v>
      </c>
      <c r="C131" s="599" t="s">
        <v>2395</v>
      </c>
      <c r="D131" s="599"/>
      <c r="E131" s="599"/>
    </row>
    <row r="132" spans="1:5">
      <c r="A132" s="599" t="s">
        <v>2396</v>
      </c>
      <c r="B132" s="599" t="s">
        <v>2397</v>
      </c>
      <c r="C132" s="599" t="s">
        <v>2398</v>
      </c>
      <c r="D132" s="599"/>
      <c r="E132" s="599"/>
    </row>
    <row r="133" spans="1:5">
      <c r="A133" s="599" t="s">
        <v>2396</v>
      </c>
      <c r="B133" s="599" t="s">
        <v>2399</v>
      </c>
      <c r="C133" s="599" t="s">
        <v>2400</v>
      </c>
      <c r="D133" s="599"/>
      <c r="E133" s="599"/>
    </row>
    <row r="134" spans="1:5">
      <c r="A134" s="599" t="s">
        <v>2396</v>
      </c>
      <c r="B134" s="599" t="s">
        <v>2401</v>
      </c>
      <c r="C134" s="599" t="s">
        <v>2402</v>
      </c>
      <c r="D134" s="599"/>
      <c r="E134" s="599"/>
    </row>
    <row r="135" spans="1:5">
      <c r="A135" s="599" t="s">
        <v>2396</v>
      </c>
      <c r="B135" s="599" t="s">
        <v>2403</v>
      </c>
      <c r="C135" s="599" t="s">
        <v>2404</v>
      </c>
      <c r="D135" s="599"/>
      <c r="E135" s="599"/>
    </row>
    <row r="136" spans="1:5">
      <c r="A136" s="599" t="s">
        <v>2396</v>
      </c>
      <c r="B136" s="599" t="s">
        <v>2396</v>
      </c>
      <c r="C136" s="599" t="s">
        <v>2405</v>
      </c>
      <c r="D136" s="599"/>
      <c r="E136" s="599"/>
    </row>
    <row r="137" spans="1:5">
      <c r="A137" s="599" t="s">
        <v>2396</v>
      </c>
      <c r="B137" s="599" t="s">
        <v>2406</v>
      </c>
      <c r="C137" s="599" t="s">
        <v>2407</v>
      </c>
      <c r="D137" s="599"/>
      <c r="E137" s="599"/>
    </row>
    <row r="138" spans="1:5">
      <c r="A138" s="599" t="s">
        <v>2396</v>
      </c>
      <c r="B138" s="599" t="s">
        <v>2408</v>
      </c>
      <c r="C138" s="599" t="s">
        <v>2409</v>
      </c>
      <c r="D138" s="599"/>
      <c r="E138" s="599"/>
    </row>
    <row r="139" spans="1:5">
      <c r="A139" s="599" t="s">
        <v>2410</v>
      </c>
      <c r="B139" s="599" t="s">
        <v>2411</v>
      </c>
      <c r="C139" s="599" t="s">
        <v>2412</v>
      </c>
      <c r="D139" s="599"/>
      <c r="E139" s="599"/>
    </row>
    <row r="140" spans="1:5">
      <c r="A140" s="599" t="s">
        <v>2410</v>
      </c>
      <c r="B140" s="599" t="s">
        <v>2413</v>
      </c>
      <c r="C140" s="599" t="s">
        <v>2414</v>
      </c>
      <c r="D140" s="599"/>
      <c r="E140" s="599"/>
    </row>
    <row r="141" spans="1:5">
      <c r="A141" s="599" t="s">
        <v>2410</v>
      </c>
      <c r="B141" s="599" t="s">
        <v>2415</v>
      </c>
      <c r="C141" s="599" t="s">
        <v>2416</v>
      </c>
      <c r="D141" s="599"/>
      <c r="E141" s="599"/>
    </row>
    <row r="142" spans="1:5">
      <c r="A142" s="599" t="s">
        <v>2410</v>
      </c>
      <c r="B142" s="599" t="s">
        <v>2417</v>
      </c>
      <c r="C142" s="599" t="s">
        <v>2418</v>
      </c>
      <c r="D142" s="599"/>
      <c r="E142" s="599"/>
    </row>
    <row r="143" spans="1:5">
      <c r="A143" s="599" t="s">
        <v>2410</v>
      </c>
      <c r="B143" s="599" t="s">
        <v>2419</v>
      </c>
      <c r="C143" s="599" t="s">
        <v>2420</v>
      </c>
      <c r="D143" s="599"/>
      <c r="E143" s="599"/>
    </row>
    <row r="144" spans="1:5">
      <c r="A144" s="599" t="s">
        <v>2410</v>
      </c>
      <c r="B144" s="599" t="s">
        <v>2410</v>
      </c>
      <c r="C144" s="599" t="s">
        <v>2421</v>
      </c>
      <c r="D144" s="599"/>
      <c r="E144" s="599"/>
    </row>
    <row r="145" spans="1:5">
      <c r="A145" s="599" t="s">
        <v>2410</v>
      </c>
      <c r="B145" s="599" t="s">
        <v>2422</v>
      </c>
      <c r="C145" s="599" t="s">
        <v>2423</v>
      </c>
      <c r="D145" s="599"/>
      <c r="E145" s="599"/>
    </row>
    <row r="146" spans="1:5">
      <c r="A146" s="599" t="s">
        <v>2424</v>
      </c>
      <c r="B146" s="599" t="s">
        <v>2425</v>
      </c>
      <c r="C146" s="599" t="s">
        <v>2426</v>
      </c>
      <c r="D146" s="599"/>
      <c r="E146" s="599"/>
    </row>
    <row r="147" spans="1:5">
      <c r="A147" s="599" t="s">
        <v>2424</v>
      </c>
      <c r="B147" s="599" t="s">
        <v>2233</v>
      </c>
      <c r="C147" s="599" t="s">
        <v>2427</v>
      </c>
      <c r="D147" s="599"/>
      <c r="E147" s="599"/>
    </row>
    <row r="148" spans="1:5">
      <c r="A148" s="599" t="s">
        <v>2424</v>
      </c>
      <c r="B148" s="599" t="s">
        <v>2428</v>
      </c>
      <c r="C148" s="599" t="s">
        <v>2429</v>
      </c>
      <c r="D148" s="599"/>
      <c r="E148" s="599"/>
    </row>
    <row r="149" spans="1:5">
      <c r="A149" s="599" t="s">
        <v>2424</v>
      </c>
      <c r="B149" s="599" t="s">
        <v>2430</v>
      </c>
      <c r="C149" s="599" t="s">
        <v>2431</v>
      </c>
      <c r="D149" s="599"/>
      <c r="E149" s="599"/>
    </row>
    <row r="150" spans="1:5">
      <c r="A150" s="599" t="s">
        <v>2424</v>
      </c>
      <c r="B150" s="599" t="s">
        <v>2432</v>
      </c>
      <c r="C150" s="599" t="s">
        <v>2433</v>
      </c>
      <c r="D150" s="599"/>
      <c r="E150" s="599"/>
    </row>
    <row r="151" spans="1:5">
      <c r="A151" s="599" t="s">
        <v>2424</v>
      </c>
      <c r="B151" s="599" t="s">
        <v>2434</v>
      </c>
      <c r="C151" s="599" t="s">
        <v>2435</v>
      </c>
      <c r="D151" s="599"/>
      <c r="E151" s="599"/>
    </row>
    <row r="152" spans="1:5">
      <c r="A152" s="599" t="s">
        <v>2424</v>
      </c>
      <c r="B152" s="599" t="s">
        <v>2436</v>
      </c>
      <c r="C152" s="599" t="s">
        <v>2437</v>
      </c>
      <c r="D152" s="599"/>
      <c r="E152" s="599"/>
    </row>
    <row r="153" spans="1:5">
      <c r="A153" s="599" t="s">
        <v>2424</v>
      </c>
      <c r="B153" s="599" t="s">
        <v>2424</v>
      </c>
      <c r="C153" s="599" t="s">
        <v>2438</v>
      </c>
      <c r="D153" s="599"/>
      <c r="E153" s="599"/>
    </row>
    <row r="154" spans="1:5">
      <c r="A154" s="599" t="s">
        <v>2424</v>
      </c>
      <c r="B154" s="599" t="s">
        <v>2439</v>
      </c>
      <c r="C154" s="599" t="s">
        <v>2440</v>
      </c>
      <c r="D154" s="599"/>
      <c r="E154" s="599"/>
    </row>
    <row r="155" spans="1:5">
      <c r="A155" s="599" t="s">
        <v>2441</v>
      </c>
      <c r="B155" s="599" t="s">
        <v>2442</v>
      </c>
      <c r="C155" s="599" t="s">
        <v>2443</v>
      </c>
      <c r="D155" s="599"/>
      <c r="E155" s="599"/>
    </row>
    <row r="156" spans="1:5">
      <c r="A156" s="599" t="s">
        <v>2441</v>
      </c>
      <c r="B156" s="599" t="s">
        <v>2444</v>
      </c>
      <c r="C156" s="599" t="s">
        <v>2445</v>
      </c>
      <c r="D156" s="599"/>
      <c r="E156" s="599"/>
    </row>
    <row r="157" spans="1:5">
      <c r="A157" s="599" t="s">
        <v>2441</v>
      </c>
      <c r="B157" s="599" t="s">
        <v>2446</v>
      </c>
      <c r="C157" s="599" t="s">
        <v>2447</v>
      </c>
      <c r="D157" s="599"/>
      <c r="E157" s="599"/>
    </row>
    <row r="158" spans="1:5">
      <c r="A158" s="599" t="s">
        <v>2441</v>
      </c>
      <c r="B158" s="599" t="s">
        <v>2448</v>
      </c>
      <c r="C158" s="599" t="s">
        <v>2449</v>
      </c>
      <c r="D158" s="599"/>
      <c r="E158" s="599"/>
    </row>
    <row r="159" spans="1:5">
      <c r="A159" s="599" t="s">
        <v>2441</v>
      </c>
      <c r="B159" s="599" t="s">
        <v>2450</v>
      </c>
      <c r="C159" s="599" t="s">
        <v>2451</v>
      </c>
      <c r="D159" s="599"/>
      <c r="E159" s="599"/>
    </row>
    <row r="160" spans="1:5">
      <c r="A160" s="599" t="s">
        <v>2441</v>
      </c>
      <c r="B160" s="599" t="s">
        <v>2452</v>
      </c>
      <c r="C160" s="599" t="s">
        <v>2453</v>
      </c>
      <c r="D160" s="599"/>
      <c r="E160" s="599"/>
    </row>
    <row r="161" spans="1:5">
      <c r="A161" s="599" t="s">
        <v>2441</v>
      </c>
      <c r="B161" s="599" t="s">
        <v>2454</v>
      </c>
      <c r="C161" s="599" t="s">
        <v>2455</v>
      </c>
      <c r="D161" s="599"/>
      <c r="E161" s="599"/>
    </row>
    <row r="162" spans="1:5">
      <c r="A162" s="599" t="s">
        <v>2441</v>
      </c>
      <c r="B162" s="599" t="s">
        <v>2456</v>
      </c>
      <c r="C162" s="599" t="s">
        <v>2457</v>
      </c>
      <c r="D162" s="599"/>
      <c r="E162" s="599"/>
    </row>
    <row r="163" spans="1:5">
      <c r="A163" s="599" t="s">
        <v>2441</v>
      </c>
      <c r="B163" s="599" t="s">
        <v>2458</v>
      </c>
      <c r="C163" s="599" t="s">
        <v>2459</v>
      </c>
      <c r="D163" s="599"/>
      <c r="E163" s="599"/>
    </row>
    <row r="164" spans="1:5">
      <c r="A164" s="599" t="s">
        <v>2441</v>
      </c>
      <c r="B164" s="599" t="s">
        <v>2441</v>
      </c>
      <c r="C164" s="599" t="s">
        <v>2460</v>
      </c>
      <c r="D164" s="599"/>
      <c r="E164" s="599"/>
    </row>
    <row r="165" spans="1:5">
      <c r="A165" s="599" t="s">
        <v>2441</v>
      </c>
      <c r="B165" s="599" t="s">
        <v>2461</v>
      </c>
      <c r="C165" s="599" t="s">
        <v>2462</v>
      </c>
      <c r="D165" s="599"/>
      <c r="E165" s="599"/>
    </row>
    <row r="166" spans="1:5">
      <c r="A166" s="599" t="s">
        <v>2463</v>
      </c>
      <c r="B166" s="599" t="s">
        <v>2463</v>
      </c>
      <c r="C166" s="599" t="s">
        <v>2464</v>
      </c>
      <c r="D166" s="599"/>
      <c r="E166" s="599"/>
    </row>
    <row r="167" spans="1:5">
      <c r="A167" s="599" t="s">
        <v>2465</v>
      </c>
      <c r="B167" s="599" t="s">
        <v>2465</v>
      </c>
      <c r="C167" s="599" t="s">
        <v>2466</v>
      </c>
      <c r="D167" s="599"/>
      <c r="E167" s="599"/>
    </row>
    <row r="168" spans="1:5">
      <c r="A168" s="599" t="s">
        <v>2467</v>
      </c>
      <c r="B168" s="599" t="s">
        <v>2467</v>
      </c>
      <c r="C168" s="599" t="s">
        <v>2468</v>
      </c>
      <c r="D168" s="599"/>
      <c r="E168" s="599"/>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3"/>
  <sheetViews>
    <sheetView showGridLines="0" zoomScaleNormal="100" workbookViewId="0"/>
  </sheetViews>
  <sheetFormatPr defaultRowHeight="11.25"/>
  <cols>
    <col min="1" max="16384" width="9.140625" style="7"/>
  </cols>
  <sheetData>
    <row r="1" spans="1:10">
      <c r="A1" s="7" t="s">
        <v>302</v>
      </c>
      <c r="B1" s="7" t="s">
        <v>1443</v>
      </c>
      <c r="C1" s="7" t="s">
        <v>1444</v>
      </c>
      <c r="D1" s="7" t="s">
        <v>1445</v>
      </c>
      <c r="E1" s="7" t="s">
        <v>1446</v>
      </c>
      <c r="F1" s="7" t="s">
        <v>1447</v>
      </c>
      <c r="G1" s="7" t="s">
        <v>1448</v>
      </c>
      <c r="H1" s="7" t="s">
        <v>1449</v>
      </c>
      <c r="I1" s="7" t="s">
        <v>1450</v>
      </c>
    </row>
    <row r="2" spans="1:10">
      <c r="A2" s="7">
        <v>1</v>
      </c>
      <c r="B2" s="7" t="s">
        <v>1451</v>
      </c>
      <c r="C2" s="7" t="s">
        <v>19</v>
      </c>
      <c r="D2" s="7" t="s">
        <v>1452</v>
      </c>
      <c r="E2" s="7" t="s">
        <v>1453</v>
      </c>
      <c r="F2" s="7" t="s">
        <v>1454</v>
      </c>
      <c r="G2" s="7" t="s">
        <v>1455</v>
      </c>
      <c r="J2" s="7" t="s">
        <v>2081</v>
      </c>
    </row>
    <row r="3" spans="1:10">
      <c r="A3" s="7">
        <v>2</v>
      </c>
      <c r="B3" s="7" t="s">
        <v>1451</v>
      </c>
      <c r="C3" s="7" t="s">
        <v>19</v>
      </c>
      <c r="D3" s="7" t="s">
        <v>1456</v>
      </c>
      <c r="E3" s="7" t="s">
        <v>1457</v>
      </c>
      <c r="F3" s="7" t="s">
        <v>1458</v>
      </c>
      <c r="G3" s="7" t="s">
        <v>1459</v>
      </c>
      <c r="I3" s="7" t="s">
        <v>1460</v>
      </c>
      <c r="J3" s="7" t="s">
        <v>2081</v>
      </c>
    </row>
    <row r="4" spans="1:10">
      <c r="A4" s="7">
        <v>3</v>
      </c>
      <c r="B4" s="7" t="s">
        <v>1451</v>
      </c>
      <c r="C4" s="7" t="s">
        <v>19</v>
      </c>
      <c r="D4" s="7" t="s">
        <v>1461</v>
      </c>
      <c r="E4" s="7" t="s">
        <v>1462</v>
      </c>
      <c r="F4" s="7" t="s">
        <v>1463</v>
      </c>
      <c r="G4" s="7" t="s">
        <v>1464</v>
      </c>
      <c r="H4" s="7" t="s">
        <v>1465</v>
      </c>
      <c r="J4" s="7" t="s">
        <v>2081</v>
      </c>
    </row>
    <row r="5" spans="1:10">
      <c r="A5" s="7">
        <v>4</v>
      </c>
      <c r="B5" s="7" t="s">
        <v>1451</v>
      </c>
      <c r="C5" s="7" t="s">
        <v>19</v>
      </c>
      <c r="D5" s="7" t="s">
        <v>1466</v>
      </c>
      <c r="E5" s="7" t="s">
        <v>1467</v>
      </c>
      <c r="F5" s="7" t="s">
        <v>1468</v>
      </c>
      <c r="G5" s="7" t="s">
        <v>1469</v>
      </c>
      <c r="I5" s="7" t="s">
        <v>1470</v>
      </c>
      <c r="J5" s="7" t="s">
        <v>2081</v>
      </c>
    </row>
    <row r="6" spans="1:10">
      <c r="A6" s="7">
        <v>5</v>
      </c>
      <c r="B6" s="7" t="s">
        <v>1451</v>
      </c>
      <c r="C6" s="7" t="s">
        <v>19</v>
      </c>
      <c r="D6" s="7" t="s">
        <v>1471</v>
      </c>
      <c r="E6" s="7" t="s">
        <v>1472</v>
      </c>
      <c r="F6" s="7" t="s">
        <v>1468</v>
      </c>
      <c r="G6" s="7" t="s">
        <v>1473</v>
      </c>
      <c r="I6" s="7" t="s">
        <v>1460</v>
      </c>
      <c r="J6" s="7" t="s">
        <v>2081</v>
      </c>
    </row>
    <row r="7" spans="1:10">
      <c r="A7" s="7">
        <v>6</v>
      </c>
      <c r="B7" s="7" t="s">
        <v>1451</v>
      </c>
      <c r="C7" s="7" t="s">
        <v>19</v>
      </c>
      <c r="D7" s="7" t="s">
        <v>1474</v>
      </c>
      <c r="E7" s="7" t="s">
        <v>1475</v>
      </c>
      <c r="F7" s="7" t="s">
        <v>1476</v>
      </c>
      <c r="G7" s="7" t="s">
        <v>1477</v>
      </c>
      <c r="J7" s="7" t="s">
        <v>2081</v>
      </c>
    </row>
    <row r="8" spans="1:10">
      <c r="A8" s="7">
        <v>7</v>
      </c>
      <c r="B8" s="7" t="s">
        <v>1451</v>
      </c>
      <c r="C8" s="7" t="s">
        <v>19</v>
      </c>
      <c r="D8" s="7" t="s">
        <v>1478</v>
      </c>
      <c r="E8" s="7" t="s">
        <v>1479</v>
      </c>
      <c r="F8" s="7" t="s">
        <v>1480</v>
      </c>
      <c r="G8" s="7" t="s">
        <v>1481</v>
      </c>
      <c r="J8" s="7" t="s">
        <v>2081</v>
      </c>
    </row>
    <row r="9" spans="1:10">
      <c r="A9" s="7">
        <v>8</v>
      </c>
      <c r="B9" s="7" t="s">
        <v>1451</v>
      </c>
      <c r="C9" s="7" t="s">
        <v>19</v>
      </c>
      <c r="D9" s="7" t="s">
        <v>1482</v>
      </c>
      <c r="E9" s="7" t="s">
        <v>1483</v>
      </c>
      <c r="F9" s="7" t="s">
        <v>1484</v>
      </c>
      <c r="G9" s="7" t="s">
        <v>1485</v>
      </c>
      <c r="J9" s="7" t="s">
        <v>2081</v>
      </c>
    </row>
    <row r="10" spans="1:10">
      <c r="A10" s="7">
        <v>9</v>
      </c>
      <c r="B10" s="7" t="s">
        <v>1451</v>
      </c>
      <c r="C10" s="7" t="s">
        <v>19</v>
      </c>
      <c r="D10" s="7" t="s">
        <v>1486</v>
      </c>
      <c r="E10" s="7" t="s">
        <v>1487</v>
      </c>
      <c r="F10" s="7" t="s">
        <v>1488</v>
      </c>
      <c r="G10" s="7" t="s">
        <v>1469</v>
      </c>
      <c r="J10" s="7" t="s">
        <v>2081</v>
      </c>
    </row>
    <row r="11" spans="1:10">
      <c r="A11" s="7">
        <v>10</v>
      </c>
      <c r="B11" s="7" t="s">
        <v>1451</v>
      </c>
      <c r="C11" s="7" t="s">
        <v>19</v>
      </c>
      <c r="D11" s="7" t="s">
        <v>1489</v>
      </c>
      <c r="E11" s="7" t="s">
        <v>1490</v>
      </c>
      <c r="F11" s="7" t="s">
        <v>1491</v>
      </c>
      <c r="G11" s="7" t="s">
        <v>1492</v>
      </c>
      <c r="J11" s="7" t="s">
        <v>2081</v>
      </c>
    </row>
    <row r="12" spans="1:10">
      <c r="A12" s="7">
        <v>11</v>
      </c>
      <c r="B12" s="7" t="s">
        <v>1451</v>
      </c>
      <c r="C12" s="7" t="s">
        <v>19</v>
      </c>
      <c r="D12" s="7" t="s">
        <v>1493</v>
      </c>
      <c r="E12" s="7" t="s">
        <v>1494</v>
      </c>
      <c r="F12" s="7" t="s">
        <v>1495</v>
      </c>
      <c r="G12" s="7" t="s">
        <v>1496</v>
      </c>
      <c r="H12" s="7" t="s">
        <v>1497</v>
      </c>
      <c r="J12" s="7" t="s">
        <v>2081</v>
      </c>
    </row>
    <row r="13" spans="1:10">
      <c r="A13" s="7">
        <v>12</v>
      </c>
      <c r="B13" s="7" t="s">
        <v>1451</v>
      </c>
      <c r="C13" s="7" t="s">
        <v>19</v>
      </c>
      <c r="D13" s="7" t="s">
        <v>1498</v>
      </c>
      <c r="E13" s="7" t="s">
        <v>1499</v>
      </c>
      <c r="F13" s="7" t="s">
        <v>1500</v>
      </c>
      <c r="G13" s="7" t="s">
        <v>1501</v>
      </c>
      <c r="J13" s="7" t="s">
        <v>2081</v>
      </c>
    </row>
    <row r="14" spans="1:10">
      <c r="A14" s="7">
        <v>13</v>
      </c>
      <c r="B14" s="7" t="s">
        <v>1451</v>
      </c>
      <c r="C14" s="7" t="s">
        <v>19</v>
      </c>
      <c r="D14" s="7" t="s">
        <v>1502</v>
      </c>
      <c r="E14" s="7" t="s">
        <v>1503</v>
      </c>
      <c r="F14" s="7" t="s">
        <v>1504</v>
      </c>
      <c r="G14" s="7" t="s">
        <v>1496</v>
      </c>
      <c r="J14" s="7" t="s">
        <v>2081</v>
      </c>
    </row>
    <row r="15" spans="1:10">
      <c r="A15" s="7">
        <v>14</v>
      </c>
      <c r="B15" s="7" t="s">
        <v>1451</v>
      </c>
      <c r="C15" s="7" t="s">
        <v>19</v>
      </c>
      <c r="D15" s="7" t="s">
        <v>1505</v>
      </c>
      <c r="E15" s="7" t="s">
        <v>1506</v>
      </c>
      <c r="F15" s="7" t="s">
        <v>1507</v>
      </c>
      <c r="G15" s="7" t="s">
        <v>1508</v>
      </c>
      <c r="J15" s="7" t="s">
        <v>2081</v>
      </c>
    </row>
    <row r="16" spans="1:10">
      <c r="A16" s="7">
        <v>15</v>
      </c>
      <c r="B16" s="7" t="s">
        <v>1451</v>
      </c>
      <c r="C16" s="7" t="s">
        <v>19</v>
      </c>
      <c r="D16" s="7" t="s">
        <v>1509</v>
      </c>
      <c r="E16" s="7" t="s">
        <v>1510</v>
      </c>
      <c r="F16" s="7" t="s">
        <v>1511</v>
      </c>
      <c r="G16" s="7" t="s">
        <v>1512</v>
      </c>
      <c r="J16" s="7" t="s">
        <v>2081</v>
      </c>
    </row>
    <row r="17" spans="1:10">
      <c r="A17" s="7">
        <v>16</v>
      </c>
      <c r="B17" s="7" t="s">
        <v>1451</v>
      </c>
      <c r="C17" s="7" t="s">
        <v>19</v>
      </c>
      <c r="D17" s="7" t="s">
        <v>1513</v>
      </c>
      <c r="E17" s="7" t="s">
        <v>1514</v>
      </c>
      <c r="F17" s="7" t="s">
        <v>1515</v>
      </c>
      <c r="G17" s="7" t="s">
        <v>1512</v>
      </c>
      <c r="J17" s="7" t="s">
        <v>2081</v>
      </c>
    </row>
    <row r="18" spans="1:10">
      <c r="A18" s="7">
        <v>17</v>
      </c>
      <c r="B18" s="7" t="s">
        <v>1451</v>
      </c>
      <c r="C18" s="7" t="s">
        <v>19</v>
      </c>
      <c r="D18" s="7" t="s">
        <v>1516</v>
      </c>
      <c r="E18" s="7" t="s">
        <v>1517</v>
      </c>
      <c r="F18" s="7" t="s">
        <v>1518</v>
      </c>
      <c r="G18" s="7" t="s">
        <v>1519</v>
      </c>
      <c r="H18" s="7" t="s">
        <v>1520</v>
      </c>
      <c r="J18" s="7" t="s">
        <v>2081</v>
      </c>
    </row>
    <row r="19" spans="1:10">
      <c r="A19" s="7">
        <v>18</v>
      </c>
      <c r="B19" s="7" t="s">
        <v>1451</v>
      </c>
      <c r="C19" s="7" t="s">
        <v>19</v>
      </c>
      <c r="D19" s="7" t="s">
        <v>1521</v>
      </c>
      <c r="E19" s="7" t="s">
        <v>1522</v>
      </c>
      <c r="F19" s="7" t="s">
        <v>1523</v>
      </c>
      <c r="G19" s="7" t="s">
        <v>1508</v>
      </c>
      <c r="J19" s="7" t="s">
        <v>2081</v>
      </c>
    </row>
    <row r="20" spans="1:10">
      <c r="A20" s="7">
        <v>19</v>
      </c>
      <c r="B20" s="7" t="s">
        <v>1451</v>
      </c>
      <c r="C20" s="7" t="s">
        <v>19</v>
      </c>
      <c r="D20" s="7" t="s">
        <v>1524</v>
      </c>
      <c r="E20" s="7" t="s">
        <v>1525</v>
      </c>
      <c r="F20" s="7" t="s">
        <v>1526</v>
      </c>
      <c r="G20" s="7" t="s">
        <v>1527</v>
      </c>
      <c r="I20" s="7" t="s">
        <v>1528</v>
      </c>
      <c r="J20" s="7" t="s">
        <v>2081</v>
      </c>
    </row>
    <row r="21" spans="1:10">
      <c r="A21" s="7">
        <v>20</v>
      </c>
      <c r="B21" s="7" t="s">
        <v>1451</v>
      </c>
      <c r="C21" s="7" t="s">
        <v>19</v>
      </c>
      <c r="D21" s="7" t="s">
        <v>1529</v>
      </c>
      <c r="E21" s="7" t="s">
        <v>1530</v>
      </c>
      <c r="F21" s="7" t="s">
        <v>1531</v>
      </c>
      <c r="G21" s="7" t="s">
        <v>1527</v>
      </c>
      <c r="J21" s="7" t="s">
        <v>2081</v>
      </c>
    </row>
    <row r="22" spans="1:10">
      <c r="A22" s="7">
        <v>21</v>
      </c>
      <c r="B22" s="7" t="s">
        <v>1451</v>
      </c>
      <c r="C22" s="7" t="s">
        <v>19</v>
      </c>
      <c r="D22" s="7" t="s">
        <v>1532</v>
      </c>
      <c r="E22" s="7" t="s">
        <v>1533</v>
      </c>
      <c r="F22" s="7" t="s">
        <v>1534</v>
      </c>
      <c r="G22" s="7" t="s">
        <v>1527</v>
      </c>
      <c r="I22" s="7" t="s">
        <v>1535</v>
      </c>
      <c r="J22" s="7" t="s">
        <v>2081</v>
      </c>
    </row>
    <row r="23" spans="1:10">
      <c r="A23" s="7">
        <v>22</v>
      </c>
      <c r="B23" s="7" t="s">
        <v>1451</v>
      </c>
      <c r="C23" s="7" t="s">
        <v>19</v>
      </c>
      <c r="D23" s="7" t="s">
        <v>1536</v>
      </c>
      <c r="E23" s="7" t="s">
        <v>1537</v>
      </c>
      <c r="F23" s="7" t="s">
        <v>1538</v>
      </c>
      <c r="G23" s="7" t="s">
        <v>1527</v>
      </c>
      <c r="H23" s="7" t="s">
        <v>1539</v>
      </c>
      <c r="J23" s="7" t="s">
        <v>2081</v>
      </c>
    </row>
    <row r="24" spans="1:10">
      <c r="A24" s="7">
        <v>23</v>
      </c>
      <c r="B24" s="7" t="s">
        <v>1451</v>
      </c>
      <c r="C24" s="7" t="s">
        <v>19</v>
      </c>
      <c r="D24" s="7" t="s">
        <v>1540</v>
      </c>
      <c r="E24" s="7" t="s">
        <v>1541</v>
      </c>
      <c r="F24" s="7" t="s">
        <v>1542</v>
      </c>
      <c r="G24" s="7" t="s">
        <v>1527</v>
      </c>
      <c r="J24" s="7" t="s">
        <v>2081</v>
      </c>
    </row>
    <row r="25" spans="1:10">
      <c r="A25" s="7">
        <v>24</v>
      </c>
      <c r="B25" s="7" t="s">
        <v>1451</v>
      </c>
      <c r="C25" s="7" t="s">
        <v>19</v>
      </c>
      <c r="D25" s="7" t="s">
        <v>1543</v>
      </c>
      <c r="E25" s="7" t="s">
        <v>1544</v>
      </c>
      <c r="F25" s="7" t="s">
        <v>1545</v>
      </c>
      <c r="G25" s="7" t="s">
        <v>1527</v>
      </c>
      <c r="I25" s="7" t="s">
        <v>1535</v>
      </c>
      <c r="J25" s="7" t="s">
        <v>2081</v>
      </c>
    </row>
    <row r="26" spans="1:10">
      <c r="A26" s="7">
        <v>25</v>
      </c>
      <c r="B26" s="7" t="s">
        <v>1451</v>
      </c>
      <c r="C26" s="7" t="s">
        <v>19</v>
      </c>
      <c r="D26" s="7" t="s">
        <v>1546</v>
      </c>
      <c r="E26" s="7" t="s">
        <v>1547</v>
      </c>
      <c r="F26" s="7" t="s">
        <v>1548</v>
      </c>
      <c r="G26" s="7" t="s">
        <v>1549</v>
      </c>
      <c r="H26" s="7" t="s">
        <v>1550</v>
      </c>
      <c r="J26" s="7" t="s">
        <v>2081</v>
      </c>
    </row>
    <row r="27" spans="1:10">
      <c r="A27" s="7">
        <v>26</v>
      </c>
      <c r="B27" s="7" t="s">
        <v>1451</v>
      </c>
      <c r="C27" s="7" t="s">
        <v>19</v>
      </c>
      <c r="D27" s="7" t="s">
        <v>1551</v>
      </c>
      <c r="E27" s="7" t="s">
        <v>1552</v>
      </c>
      <c r="F27" s="7" t="s">
        <v>1553</v>
      </c>
      <c r="G27" s="7" t="s">
        <v>1554</v>
      </c>
      <c r="J27" s="7" t="s">
        <v>2081</v>
      </c>
    </row>
    <row r="28" spans="1:10">
      <c r="A28" s="7">
        <v>27</v>
      </c>
      <c r="B28" s="7" t="s">
        <v>1451</v>
      </c>
      <c r="C28" s="7" t="s">
        <v>19</v>
      </c>
      <c r="D28" s="7" t="s">
        <v>1555</v>
      </c>
      <c r="E28" s="7" t="s">
        <v>1556</v>
      </c>
      <c r="F28" s="7" t="s">
        <v>1557</v>
      </c>
      <c r="G28" s="7" t="s">
        <v>1558</v>
      </c>
      <c r="J28" s="7" t="s">
        <v>2081</v>
      </c>
    </row>
    <row r="29" spans="1:10">
      <c r="A29" s="7">
        <v>28</v>
      </c>
      <c r="B29" s="7" t="s">
        <v>1451</v>
      </c>
      <c r="C29" s="7" t="s">
        <v>19</v>
      </c>
      <c r="D29" s="7" t="s">
        <v>1559</v>
      </c>
      <c r="E29" s="7" t="s">
        <v>1560</v>
      </c>
      <c r="F29" s="7" t="s">
        <v>1561</v>
      </c>
      <c r="G29" s="7" t="s">
        <v>1558</v>
      </c>
      <c r="H29" s="7" t="s">
        <v>1562</v>
      </c>
      <c r="I29" s="7" t="s">
        <v>1460</v>
      </c>
      <c r="J29" s="7" t="s">
        <v>2081</v>
      </c>
    </row>
    <row r="30" spans="1:10">
      <c r="A30" s="7">
        <v>29</v>
      </c>
      <c r="B30" s="7" t="s">
        <v>1451</v>
      </c>
      <c r="C30" s="7" t="s">
        <v>19</v>
      </c>
      <c r="D30" s="7" t="s">
        <v>1563</v>
      </c>
      <c r="E30" s="7" t="s">
        <v>1564</v>
      </c>
      <c r="F30" s="7" t="s">
        <v>1557</v>
      </c>
      <c r="G30" s="7" t="s">
        <v>1565</v>
      </c>
      <c r="J30" s="7" t="s">
        <v>2081</v>
      </c>
    </row>
    <row r="31" spans="1:10">
      <c r="A31" s="7">
        <v>30</v>
      </c>
      <c r="B31" s="7" t="s">
        <v>1451</v>
      </c>
      <c r="C31" s="7" t="s">
        <v>19</v>
      </c>
      <c r="D31" s="7" t="s">
        <v>1566</v>
      </c>
      <c r="E31" s="7" t="s">
        <v>1567</v>
      </c>
      <c r="F31" s="7" t="s">
        <v>1568</v>
      </c>
      <c r="G31" s="7" t="s">
        <v>1477</v>
      </c>
      <c r="J31" s="7" t="s">
        <v>2081</v>
      </c>
    </row>
    <row r="32" spans="1:10">
      <c r="A32" s="7">
        <v>31</v>
      </c>
      <c r="B32" s="7" t="s">
        <v>1451</v>
      </c>
      <c r="C32" s="7" t="s">
        <v>19</v>
      </c>
      <c r="D32" s="7" t="s">
        <v>1569</v>
      </c>
      <c r="E32" s="7" t="s">
        <v>1570</v>
      </c>
      <c r="F32" s="7" t="s">
        <v>1571</v>
      </c>
      <c r="G32" s="7" t="s">
        <v>1512</v>
      </c>
      <c r="H32" s="7" t="s">
        <v>1550</v>
      </c>
      <c r="J32" s="7" t="s">
        <v>2081</v>
      </c>
    </row>
    <row r="33" spans="1:10">
      <c r="A33" s="7">
        <v>32</v>
      </c>
      <c r="B33" s="7" t="s">
        <v>1451</v>
      </c>
      <c r="C33" s="7" t="s">
        <v>19</v>
      </c>
      <c r="D33" s="7" t="s">
        <v>1572</v>
      </c>
      <c r="E33" s="7" t="s">
        <v>1573</v>
      </c>
      <c r="F33" s="7" t="s">
        <v>1574</v>
      </c>
      <c r="G33" s="7" t="s">
        <v>1575</v>
      </c>
      <c r="J33" s="7" t="s">
        <v>2081</v>
      </c>
    </row>
    <row r="34" spans="1:10">
      <c r="A34" s="7">
        <v>33</v>
      </c>
      <c r="B34" s="7" t="s">
        <v>1451</v>
      </c>
      <c r="C34" s="7" t="s">
        <v>19</v>
      </c>
      <c r="D34" s="7" t="s">
        <v>1576</v>
      </c>
      <c r="E34" s="7" t="s">
        <v>1577</v>
      </c>
      <c r="F34" s="7" t="s">
        <v>1578</v>
      </c>
      <c r="G34" s="7" t="s">
        <v>1459</v>
      </c>
      <c r="J34" s="7" t="s">
        <v>2081</v>
      </c>
    </row>
    <row r="35" spans="1:10">
      <c r="A35" s="7">
        <v>34</v>
      </c>
      <c r="B35" s="7" t="s">
        <v>1451</v>
      </c>
      <c r="C35" s="7" t="s">
        <v>19</v>
      </c>
      <c r="D35" s="7" t="s">
        <v>1579</v>
      </c>
      <c r="E35" s="7" t="s">
        <v>1580</v>
      </c>
      <c r="F35" s="7" t="s">
        <v>1581</v>
      </c>
      <c r="G35" s="7" t="s">
        <v>1512</v>
      </c>
      <c r="I35" s="7" t="s">
        <v>1582</v>
      </c>
      <c r="J35" s="7" t="s">
        <v>2081</v>
      </c>
    </row>
    <row r="36" spans="1:10">
      <c r="A36" s="7">
        <v>35</v>
      </c>
      <c r="B36" s="7" t="s">
        <v>1451</v>
      </c>
      <c r="C36" s="7" t="s">
        <v>19</v>
      </c>
      <c r="D36" s="7" t="s">
        <v>1583</v>
      </c>
      <c r="E36" s="7" t="s">
        <v>1584</v>
      </c>
      <c r="F36" s="7" t="s">
        <v>1585</v>
      </c>
      <c r="G36" s="7" t="s">
        <v>1512</v>
      </c>
      <c r="J36" s="7" t="s">
        <v>2081</v>
      </c>
    </row>
    <row r="37" spans="1:10">
      <c r="A37" s="7">
        <v>36</v>
      </c>
      <c r="B37" s="7" t="s">
        <v>1451</v>
      </c>
      <c r="C37" s="7" t="s">
        <v>19</v>
      </c>
      <c r="D37" s="7" t="s">
        <v>1586</v>
      </c>
      <c r="E37" s="7" t="s">
        <v>1587</v>
      </c>
      <c r="F37" s="7" t="s">
        <v>1588</v>
      </c>
      <c r="G37" s="7" t="s">
        <v>1477</v>
      </c>
      <c r="J37" s="7" t="s">
        <v>2081</v>
      </c>
    </row>
    <row r="38" spans="1:10">
      <c r="A38" s="7">
        <v>37</v>
      </c>
      <c r="B38" s="7" t="s">
        <v>1451</v>
      </c>
      <c r="C38" s="7" t="s">
        <v>19</v>
      </c>
      <c r="D38" s="7" t="s">
        <v>1589</v>
      </c>
      <c r="E38" s="7" t="s">
        <v>1590</v>
      </c>
      <c r="F38" s="7" t="s">
        <v>1591</v>
      </c>
      <c r="G38" s="7" t="s">
        <v>1575</v>
      </c>
      <c r="J38" s="7" t="s">
        <v>2081</v>
      </c>
    </row>
    <row r="39" spans="1:10">
      <c r="A39" s="7">
        <v>38</v>
      </c>
      <c r="B39" s="7" t="s">
        <v>1451</v>
      </c>
      <c r="C39" s="7" t="s">
        <v>19</v>
      </c>
      <c r="D39" s="7" t="s">
        <v>1592</v>
      </c>
      <c r="E39" s="7" t="s">
        <v>1593</v>
      </c>
      <c r="F39" s="7" t="s">
        <v>1594</v>
      </c>
      <c r="G39" s="7" t="s">
        <v>1512</v>
      </c>
      <c r="J39" s="7" t="s">
        <v>2081</v>
      </c>
    </row>
    <row r="40" spans="1:10">
      <c r="A40" s="7">
        <v>39</v>
      </c>
      <c r="B40" s="7" t="s">
        <v>1451</v>
      </c>
      <c r="C40" s="7" t="s">
        <v>19</v>
      </c>
      <c r="D40" s="7" t="s">
        <v>1595</v>
      </c>
      <c r="E40" s="7" t="s">
        <v>1596</v>
      </c>
      <c r="F40" s="7" t="s">
        <v>1597</v>
      </c>
      <c r="G40" s="7" t="s">
        <v>1598</v>
      </c>
      <c r="J40" s="7" t="s">
        <v>2081</v>
      </c>
    </row>
    <row r="41" spans="1:10">
      <c r="A41" s="7">
        <v>40</v>
      </c>
      <c r="B41" s="7" t="s">
        <v>1451</v>
      </c>
      <c r="C41" s="7" t="s">
        <v>19</v>
      </c>
      <c r="D41" s="7" t="s">
        <v>1599</v>
      </c>
      <c r="E41" s="7" t="s">
        <v>1600</v>
      </c>
      <c r="F41" s="7" t="s">
        <v>1601</v>
      </c>
      <c r="G41" s="7" t="s">
        <v>1598</v>
      </c>
      <c r="H41" s="7" t="s">
        <v>1602</v>
      </c>
      <c r="J41" s="7" t="s">
        <v>2081</v>
      </c>
    </row>
    <row r="42" spans="1:10">
      <c r="A42" s="7">
        <v>41</v>
      </c>
      <c r="B42" s="7" t="s">
        <v>1451</v>
      </c>
      <c r="C42" s="7" t="s">
        <v>19</v>
      </c>
      <c r="D42" s="7" t="s">
        <v>1603</v>
      </c>
      <c r="E42" s="7" t="s">
        <v>1604</v>
      </c>
      <c r="F42" s="7" t="s">
        <v>1605</v>
      </c>
      <c r="G42" s="7" t="s">
        <v>1464</v>
      </c>
      <c r="H42" s="7" t="s">
        <v>1606</v>
      </c>
      <c r="J42" s="7" t="s">
        <v>2081</v>
      </c>
    </row>
    <row r="43" spans="1:10">
      <c r="A43" s="7">
        <v>42</v>
      </c>
      <c r="B43" s="7" t="s">
        <v>1451</v>
      </c>
      <c r="C43" s="7" t="s">
        <v>19</v>
      </c>
      <c r="D43" s="7" t="s">
        <v>1607</v>
      </c>
      <c r="E43" s="7" t="s">
        <v>1608</v>
      </c>
      <c r="F43" s="7" t="s">
        <v>1609</v>
      </c>
      <c r="G43" s="7" t="s">
        <v>1459</v>
      </c>
      <c r="J43" s="7" t="s">
        <v>2081</v>
      </c>
    </row>
    <row r="44" spans="1:10">
      <c r="A44" s="7">
        <v>43</v>
      </c>
      <c r="B44" s="7" t="s">
        <v>1451</v>
      </c>
      <c r="C44" s="7" t="s">
        <v>19</v>
      </c>
      <c r="D44" s="7" t="s">
        <v>1610</v>
      </c>
      <c r="E44" s="7" t="s">
        <v>1611</v>
      </c>
      <c r="F44" s="7" t="s">
        <v>1612</v>
      </c>
      <c r="G44" s="7" t="s">
        <v>1575</v>
      </c>
      <c r="H44" s="7" t="s">
        <v>1613</v>
      </c>
      <c r="J44" s="7" t="s">
        <v>2081</v>
      </c>
    </row>
    <row r="45" spans="1:10">
      <c r="A45" s="7">
        <v>44</v>
      </c>
      <c r="B45" s="7" t="s">
        <v>1451</v>
      </c>
      <c r="C45" s="7" t="s">
        <v>19</v>
      </c>
      <c r="D45" s="7" t="s">
        <v>1614</v>
      </c>
      <c r="E45" s="7" t="s">
        <v>1615</v>
      </c>
      <c r="F45" s="7" t="s">
        <v>1616</v>
      </c>
      <c r="G45" s="7" t="s">
        <v>1575</v>
      </c>
      <c r="J45" s="7" t="s">
        <v>2081</v>
      </c>
    </row>
    <row r="46" spans="1:10">
      <c r="A46" s="7">
        <v>45</v>
      </c>
      <c r="B46" s="7" t="s">
        <v>1451</v>
      </c>
      <c r="C46" s="7" t="s">
        <v>19</v>
      </c>
      <c r="D46" s="7" t="s">
        <v>1617</v>
      </c>
      <c r="E46" s="7" t="s">
        <v>1618</v>
      </c>
      <c r="F46" s="7" t="s">
        <v>1619</v>
      </c>
      <c r="G46" s="7" t="s">
        <v>1575</v>
      </c>
      <c r="I46" s="7" t="s">
        <v>1620</v>
      </c>
      <c r="J46" s="7" t="s">
        <v>2081</v>
      </c>
    </row>
    <row r="47" spans="1:10">
      <c r="A47" s="7">
        <v>46</v>
      </c>
      <c r="B47" s="7" t="s">
        <v>1451</v>
      </c>
      <c r="C47" s="7" t="s">
        <v>19</v>
      </c>
      <c r="D47" s="7" t="s">
        <v>1621</v>
      </c>
      <c r="E47" s="7" t="s">
        <v>1622</v>
      </c>
      <c r="F47" s="7" t="s">
        <v>1623</v>
      </c>
      <c r="G47" s="7" t="s">
        <v>1575</v>
      </c>
      <c r="I47" s="7" t="s">
        <v>1624</v>
      </c>
      <c r="J47" s="7" t="s">
        <v>2081</v>
      </c>
    </row>
    <row r="48" spans="1:10">
      <c r="A48" s="7">
        <v>47</v>
      </c>
      <c r="B48" s="7" t="s">
        <v>1451</v>
      </c>
      <c r="C48" s="7" t="s">
        <v>19</v>
      </c>
      <c r="D48" s="7" t="s">
        <v>1625</v>
      </c>
      <c r="E48" s="7" t="s">
        <v>1626</v>
      </c>
      <c r="F48" s="7" t="s">
        <v>1627</v>
      </c>
      <c r="G48" s="7" t="s">
        <v>1575</v>
      </c>
      <c r="J48" s="7" t="s">
        <v>2081</v>
      </c>
    </row>
    <row r="49" spans="1:10">
      <c r="A49" s="7">
        <v>48</v>
      </c>
      <c r="B49" s="7" t="s">
        <v>1451</v>
      </c>
      <c r="C49" s="7" t="s">
        <v>19</v>
      </c>
      <c r="D49" s="7" t="s">
        <v>1628</v>
      </c>
      <c r="E49" s="7" t="s">
        <v>1629</v>
      </c>
      <c r="F49" s="7" t="s">
        <v>1630</v>
      </c>
      <c r="G49" s="7" t="s">
        <v>1575</v>
      </c>
      <c r="I49" s="7" t="s">
        <v>1631</v>
      </c>
      <c r="J49" s="7" t="s">
        <v>2081</v>
      </c>
    </row>
    <row r="50" spans="1:10">
      <c r="A50" s="7">
        <v>49</v>
      </c>
      <c r="B50" s="7" t="s">
        <v>1451</v>
      </c>
      <c r="C50" s="7" t="s">
        <v>19</v>
      </c>
      <c r="D50" s="7" t="s">
        <v>1632</v>
      </c>
      <c r="E50" s="7" t="s">
        <v>1629</v>
      </c>
      <c r="F50" s="7" t="s">
        <v>1633</v>
      </c>
      <c r="G50" s="7" t="s">
        <v>1575</v>
      </c>
      <c r="J50" s="7" t="s">
        <v>2081</v>
      </c>
    </row>
    <row r="51" spans="1:10">
      <c r="A51" s="7">
        <v>50</v>
      </c>
      <c r="B51" s="7" t="s">
        <v>1451</v>
      </c>
      <c r="C51" s="7" t="s">
        <v>19</v>
      </c>
      <c r="D51" s="7" t="s">
        <v>1634</v>
      </c>
      <c r="E51" s="7" t="s">
        <v>1629</v>
      </c>
      <c r="F51" s="7" t="s">
        <v>1635</v>
      </c>
      <c r="G51" s="7" t="s">
        <v>1512</v>
      </c>
      <c r="J51" s="7" t="s">
        <v>2081</v>
      </c>
    </row>
    <row r="52" spans="1:10">
      <c r="A52" s="7">
        <v>51</v>
      </c>
      <c r="B52" s="7" t="s">
        <v>1451</v>
      </c>
      <c r="C52" s="7" t="s">
        <v>19</v>
      </c>
      <c r="D52" s="7" t="s">
        <v>1636</v>
      </c>
      <c r="E52" s="7" t="s">
        <v>1637</v>
      </c>
      <c r="F52" s="7" t="s">
        <v>1638</v>
      </c>
      <c r="G52" s="7" t="s">
        <v>1512</v>
      </c>
      <c r="H52" s="7" t="s">
        <v>1639</v>
      </c>
      <c r="I52" s="7" t="s">
        <v>1640</v>
      </c>
      <c r="J52" s="7" t="s">
        <v>2081</v>
      </c>
    </row>
    <row r="53" spans="1:10">
      <c r="A53" s="7">
        <v>52</v>
      </c>
      <c r="B53" s="7" t="s">
        <v>1451</v>
      </c>
      <c r="C53" s="7" t="s">
        <v>19</v>
      </c>
      <c r="D53" s="7" t="s">
        <v>1641</v>
      </c>
      <c r="E53" s="7" t="s">
        <v>1642</v>
      </c>
      <c r="F53" s="7" t="s">
        <v>1643</v>
      </c>
      <c r="G53" s="7" t="s">
        <v>1644</v>
      </c>
      <c r="J53" s="7" t="s">
        <v>2081</v>
      </c>
    </row>
    <row r="54" spans="1:10">
      <c r="A54" s="7">
        <v>53</v>
      </c>
      <c r="B54" s="7" t="s">
        <v>1451</v>
      </c>
      <c r="C54" s="7" t="s">
        <v>19</v>
      </c>
      <c r="D54" s="7" t="s">
        <v>1645</v>
      </c>
      <c r="E54" s="7" t="s">
        <v>1646</v>
      </c>
      <c r="F54" s="7" t="s">
        <v>1647</v>
      </c>
      <c r="G54" s="7" t="s">
        <v>1598</v>
      </c>
      <c r="H54" s="7" t="s">
        <v>1648</v>
      </c>
      <c r="J54" s="7" t="s">
        <v>2081</v>
      </c>
    </row>
    <row r="55" spans="1:10">
      <c r="A55" s="7">
        <v>54</v>
      </c>
      <c r="B55" s="7" t="s">
        <v>1451</v>
      </c>
      <c r="C55" s="7" t="s">
        <v>19</v>
      </c>
      <c r="D55" s="7" t="s">
        <v>1649</v>
      </c>
      <c r="E55" s="7" t="s">
        <v>1650</v>
      </c>
      <c r="F55" s="7" t="s">
        <v>1651</v>
      </c>
      <c r="G55" s="7" t="s">
        <v>1644</v>
      </c>
      <c r="J55" s="7" t="s">
        <v>2081</v>
      </c>
    </row>
    <row r="56" spans="1:10">
      <c r="A56" s="7">
        <v>55</v>
      </c>
      <c r="B56" s="7" t="s">
        <v>1451</v>
      </c>
      <c r="C56" s="7" t="s">
        <v>19</v>
      </c>
      <c r="D56" s="7" t="s">
        <v>1652</v>
      </c>
      <c r="E56" s="7" t="s">
        <v>1653</v>
      </c>
      <c r="F56" s="7" t="s">
        <v>1654</v>
      </c>
      <c r="G56" s="7" t="s">
        <v>1575</v>
      </c>
      <c r="H56" s="7" t="s">
        <v>1655</v>
      </c>
      <c r="I56" s="7" t="s">
        <v>1656</v>
      </c>
      <c r="J56" s="7" t="s">
        <v>2081</v>
      </c>
    </row>
    <row r="57" spans="1:10">
      <c r="A57" s="7">
        <v>56</v>
      </c>
      <c r="B57" s="7" t="s">
        <v>1451</v>
      </c>
      <c r="C57" s="7" t="s">
        <v>19</v>
      </c>
      <c r="D57" s="7" t="s">
        <v>1657</v>
      </c>
      <c r="E57" s="7" t="s">
        <v>1658</v>
      </c>
      <c r="F57" s="7" t="s">
        <v>1659</v>
      </c>
      <c r="G57" s="7" t="s">
        <v>1575</v>
      </c>
      <c r="J57" s="7" t="s">
        <v>2081</v>
      </c>
    </row>
    <row r="58" spans="1:10">
      <c r="A58" s="7">
        <v>57</v>
      </c>
      <c r="B58" s="7" t="s">
        <v>1451</v>
      </c>
      <c r="C58" s="7" t="s">
        <v>19</v>
      </c>
      <c r="D58" s="7" t="s">
        <v>1660</v>
      </c>
      <c r="E58" s="7" t="s">
        <v>1661</v>
      </c>
      <c r="F58" s="7" t="s">
        <v>1662</v>
      </c>
      <c r="G58" s="7" t="s">
        <v>1575</v>
      </c>
      <c r="J58" s="7" t="s">
        <v>2081</v>
      </c>
    </row>
    <row r="59" spans="1:10">
      <c r="A59" s="7">
        <v>58</v>
      </c>
      <c r="B59" s="7" t="s">
        <v>1451</v>
      </c>
      <c r="C59" s="7" t="s">
        <v>19</v>
      </c>
      <c r="D59" s="7" t="s">
        <v>1663</v>
      </c>
      <c r="E59" s="7" t="s">
        <v>1664</v>
      </c>
      <c r="F59" s="7" t="s">
        <v>1665</v>
      </c>
      <c r="G59" s="7" t="s">
        <v>1575</v>
      </c>
      <c r="I59" s="7" t="s">
        <v>1666</v>
      </c>
      <c r="J59" s="7" t="s">
        <v>2081</v>
      </c>
    </row>
    <row r="60" spans="1:10">
      <c r="A60" s="7">
        <v>59</v>
      </c>
      <c r="B60" s="7" t="s">
        <v>1451</v>
      </c>
      <c r="C60" s="7" t="s">
        <v>19</v>
      </c>
      <c r="D60" s="7" t="s">
        <v>1667</v>
      </c>
      <c r="E60" s="7" t="s">
        <v>1668</v>
      </c>
      <c r="F60" s="7" t="s">
        <v>1669</v>
      </c>
      <c r="G60" s="7" t="s">
        <v>1575</v>
      </c>
      <c r="I60" s="7" t="s">
        <v>1670</v>
      </c>
      <c r="J60" s="7" t="s">
        <v>2081</v>
      </c>
    </row>
    <row r="61" spans="1:10">
      <c r="A61" s="7">
        <v>60</v>
      </c>
      <c r="B61" s="7" t="s">
        <v>1451</v>
      </c>
      <c r="C61" s="7" t="s">
        <v>19</v>
      </c>
      <c r="D61" s="7" t="s">
        <v>1671</v>
      </c>
      <c r="E61" s="7" t="s">
        <v>1672</v>
      </c>
      <c r="F61" s="7" t="s">
        <v>1673</v>
      </c>
      <c r="G61" s="7" t="s">
        <v>1674</v>
      </c>
      <c r="J61" s="7" t="s">
        <v>2081</v>
      </c>
    </row>
    <row r="62" spans="1:10">
      <c r="A62" s="7">
        <v>61</v>
      </c>
      <c r="B62" s="7" t="s">
        <v>1451</v>
      </c>
      <c r="C62" s="7" t="s">
        <v>19</v>
      </c>
      <c r="D62" s="7" t="s">
        <v>1675</v>
      </c>
      <c r="E62" s="7" t="s">
        <v>1676</v>
      </c>
      <c r="F62" s="7" t="s">
        <v>1677</v>
      </c>
      <c r="G62" s="7" t="s">
        <v>1519</v>
      </c>
      <c r="J62" s="7" t="s">
        <v>2081</v>
      </c>
    </row>
    <row r="63" spans="1:10">
      <c r="A63" s="7">
        <v>62</v>
      </c>
      <c r="B63" s="7" t="s">
        <v>1451</v>
      </c>
      <c r="C63" s="7" t="s">
        <v>19</v>
      </c>
      <c r="D63" s="7" t="s">
        <v>1678</v>
      </c>
      <c r="E63" s="7" t="s">
        <v>1679</v>
      </c>
      <c r="F63" s="7" t="s">
        <v>1680</v>
      </c>
      <c r="G63" s="7" t="s">
        <v>1519</v>
      </c>
      <c r="J63" s="7" t="s">
        <v>2081</v>
      </c>
    </row>
    <row r="64" spans="1:10">
      <c r="A64" s="7">
        <v>63</v>
      </c>
      <c r="B64" s="7" t="s">
        <v>1451</v>
      </c>
      <c r="C64" s="7" t="s">
        <v>19</v>
      </c>
      <c r="D64" s="7" t="s">
        <v>1681</v>
      </c>
      <c r="E64" s="7" t="s">
        <v>1682</v>
      </c>
      <c r="F64" s="7" t="s">
        <v>1683</v>
      </c>
      <c r="G64" s="7" t="s">
        <v>1575</v>
      </c>
      <c r="J64" s="7" t="s">
        <v>2081</v>
      </c>
    </row>
    <row r="65" spans="1:10">
      <c r="A65" s="7">
        <v>64</v>
      </c>
      <c r="B65" s="7" t="s">
        <v>1451</v>
      </c>
      <c r="C65" s="7" t="s">
        <v>19</v>
      </c>
      <c r="D65" s="7" t="s">
        <v>1684</v>
      </c>
      <c r="E65" s="7" t="s">
        <v>1685</v>
      </c>
      <c r="F65" s="7" t="s">
        <v>1686</v>
      </c>
      <c r="G65" s="7" t="s">
        <v>1575</v>
      </c>
      <c r="I65" s="7" t="s">
        <v>1687</v>
      </c>
      <c r="J65" s="7" t="s">
        <v>2081</v>
      </c>
    </row>
    <row r="66" spans="1:10">
      <c r="A66" s="7">
        <v>65</v>
      </c>
      <c r="B66" s="7" t="s">
        <v>1451</v>
      </c>
      <c r="C66" s="7" t="s">
        <v>19</v>
      </c>
      <c r="D66" s="7" t="s">
        <v>1688</v>
      </c>
      <c r="E66" s="7" t="s">
        <v>1689</v>
      </c>
      <c r="F66" s="7" t="s">
        <v>1690</v>
      </c>
      <c r="G66" s="7" t="s">
        <v>1519</v>
      </c>
      <c r="J66" s="7" t="s">
        <v>2081</v>
      </c>
    </row>
    <row r="67" spans="1:10">
      <c r="A67" s="7">
        <v>66</v>
      </c>
      <c r="B67" s="7" t="s">
        <v>1451</v>
      </c>
      <c r="C67" s="7" t="s">
        <v>19</v>
      </c>
      <c r="D67" s="7" t="s">
        <v>1691</v>
      </c>
      <c r="E67" s="7" t="s">
        <v>1692</v>
      </c>
      <c r="F67" s="7" t="s">
        <v>1693</v>
      </c>
      <c r="G67" s="7" t="s">
        <v>1519</v>
      </c>
      <c r="J67" s="7" t="s">
        <v>2081</v>
      </c>
    </row>
    <row r="68" spans="1:10">
      <c r="A68" s="7">
        <v>67</v>
      </c>
      <c r="B68" s="7" t="s">
        <v>1451</v>
      </c>
      <c r="C68" s="7" t="s">
        <v>19</v>
      </c>
      <c r="D68" s="7" t="s">
        <v>1694</v>
      </c>
      <c r="E68" s="7" t="s">
        <v>1692</v>
      </c>
      <c r="F68" s="7" t="s">
        <v>1695</v>
      </c>
      <c r="G68" s="7" t="s">
        <v>1575</v>
      </c>
      <c r="J68" s="7" t="s">
        <v>2081</v>
      </c>
    </row>
    <row r="69" spans="1:10">
      <c r="A69" s="7">
        <v>68</v>
      </c>
      <c r="B69" s="7" t="s">
        <v>1451</v>
      </c>
      <c r="C69" s="7" t="s">
        <v>19</v>
      </c>
      <c r="D69" s="7" t="s">
        <v>1696</v>
      </c>
      <c r="E69" s="7" t="s">
        <v>1692</v>
      </c>
      <c r="F69" s="7" t="s">
        <v>1697</v>
      </c>
      <c r="G69" s="7" t="s">
        <v>1459</v>
      </c>
      <c r="J69" s="7" t="s">
        <v>2081</v>
      </c>
    </row>
    <row r="70" spans="1:10">
      <c r="A70" s="7">
        <v>69</v>
      </c>
      <c r="B70" s="7" t="s">
        <v>1451</v>
      </c>
      <c r="C70" s="7" t="s">
        <v>19</v>
      </c>
      <c r="D70" s="7" t="s">
        <v>1698</v>
      </c>
      <c r="E70" s="7" t="s">
        <v>1699</v>
      </c>
      <c r="F70" s="7" t="s">
        <v>1700</v>
      </c>
      <c r="G70" s="7" t="s">
        <v>1519</v>
      </c>
      <c r="H70" s="7" t="s">
        <v>1701</v>
      </c>
      <c r="I70" s="7" t="s">
        <v>1702</v>
      </c>
      <c r="J70" s="7" t="s">
        <v>2081</v>
      </c>
    </row>
    <row r="71" spans="1:10">
      <c r="A71" s="7">
        <v>70</v>
      </c>
      <c r="B71" s="7" t="s">
        <v>1451</v>
      </c>
      <c r="C71" s="7" t="s">
        <v>19</v>
      </c>
      <c r="D71" s="7" t="s">
        <v>1703</v>
      </c>
      <c r="E71" s="7" t="s">
        <v>1704</v>
      </c>
      <c r="F71" s="7" t="s">
        <v>1705</v>
      </c>
      <c r="G71" s="7" t="s">
        <v>1512</v>
      </c>
      <c r="J71" s="7" t="s">
        <v>2081</v>
      </c>
    </row>
    <row r="72" spans="1:10">
      <c r="A72" s="7">
        <v>71</v>
      </c>
      <c r="B72" s="7" t="s">
        <v>1451</v>
      </c>
      <c r="C72" s="7" t="s">
        <v>19</v>
      </c>
      <c r="D72" s="7" t="s">
        <v>1706</v>
      </c>
      <c r="E72" s="7" t="s">
        <v>1707</v>
      </c>
      <c r="F72" s="7" t="s">
        <v>1708</v>
      </c>
      <c r="G72" s="7" t="s">
        <v>1674</v>
      </c>
      <c r="I72" s="7" t="s">
        <v>1709</v>
      </c>
      <c r="J72" s="7" t="s">
        <v>2081</v>
      </c>
    </row>
    <row r="73" spans="1:10">
      <c r="A73" s="7">
        <v>72</v>
      </c>
      <c r="B73" s="7" t="s">
        <v>1451</v>
      </c>
      <c r="C73" s="7" t="s">
        <v>19</v>
      </c>
      <c r="D73" s="7" t="s">
        <v>1710</v>
      </c>
      <c r="E73" s="7" t="s">
        <v>1711</v>
      </c>
      <c r="F73" s="7" t="s">
        <v>1712</v>
      </c>
      <c r="G73" s="7" t="s">
        <v>1459</v>
      </c>
      <c r="J73" s="7" t="s">
        <v>2081</v>
      </c>
    </row>
    <row r="74" spans="1:10">
      <c r="A74" s="7">
        <v>73</v>
      </c>
      <c r="B74" s="7" t="s">
        <v>1451</v>
      </c>
      <c r="C74" s="7" t="s">
        <v>19</v>
      </c>
      <c r="D74" s="7" t="s">
        <v>1713</v>
      </c>
      <c r="E74" s="7" t="s">
        <v>1714</v>
      </c>
      <c r="F74" s="7" t="s">
        <v>1715</v>
      </c>
      <c r="G74" s="7" t="s">
        <v>1519</v>
      </c>
      <c r="J74" s="7" t="s">
        <v>2081</v>
      </c>
    </row>
    <row r="75" spans="1:10">
      <c r="A75" s="7">
        <v>74</v>
      </c>
      <c r="B75" s="7" t="s">
        <v>1451</v>
      </c>
      <c r="C75" s="7" t="s">
        <v>19</v>
      </c>
      <c r="D75" s="7" t="s">
        <v>1716</v>
      </c>
      <c r="E75" s="7" t="s">
        <v>1717</v>
      </c>
      <c r="F75" s="7" t="s">
        <v>1718</v>
      </c>
      <c r="G75" s="7" t="s">
        <v>1719</v>
      </c>
      <c r="I75" s="7" t="s">
        <v>1720</v>
      </c>
      <c r="J75" s="7" t="s">
        <v>2081</v>
      </c>
    </row>
    <row r="76" spans="1:10">
      <c r="A76" s="7">
        <v>75</v>
      </c>
      <c r="B76" s="7" t="s">
        <v>1451</v>
      </c>
      <c r="C76" s="7" t="s">
        <v>19</v>
      </c>
      <c r="D76" s="7" t="s">
        <v>1721</v>
      </c>
      <c r="E76" s="7" t="s">
        <v>1722</v>
      </c>
      <c r="F76" s="7" t="s">
        <v>1723</v>
      </c>
      <c r="G76" s="7" t="s">
        <v>1575</v>
      </c>
      <c r="J76" s="7" t="s">
        <v>2081</v>
      </c>
    </row>
    <row r="77" spans="1:10">
      <c r="A77" s="7">
        <v>76</v>
      </c>
      <c r="B77" s="7" t="s">
        <v>1451</v>
      </c>
      <c r="C77" s="7" t="s">
        <v>19</v>
      </c>
      <c r="D77" s="7" t="s">
        <v>1724</v>
      </c>
      <c r="E77" s="7" t="s">
        <v>1725</v>
      </c>
      <c r="F77" s="7" t="s">
        <v>1726</v>
      </c>
      <c r="G77" s="7" t="s">
        <v>1575</v>
      </c>
      <c r="J77" s="7" t="s">
        <v>2081</v>
      </c>
    </row>
    <row r="78" spans="1:10">
      <c r="A78" s="7">
        <v>77</v>
      </c>
      <c r="B78" s="7" t="s">
        <v>1451</v>
      </c>
      <c r="C78" s="7" t="s">
        <v>19</v>
      </c>
      <c r="D78" s="7" t="s">
        <v>1727</v>
      </c>
      <c r="E78" s="7" t="s">
        <v>1728</v>
      </c>
      <c r="F78" s="7" t="s">
        <v>1729</v>
      </c>
      <c r="G78" s="7" t="s">
        <v>1598</v>
      </c>
      <c r="J78" s="7" t="s">
        <v>2081</v>
      </c>
    </row>
    <row r="79" spans="1:10">
      <c r="A79" s="7">
        <v>78</v>
      </c>
      <c r="B79" s="7" t="s">
        <v>1451</v>
      </c>
      <c r="C79" s="7" t="s">
        <v>19</v>
      </c>
      <c r="D79" s="7" t="s">
        <v>1730</v>
      </c>
      <c r="E79" s="7" t="s">
        <v>1731</v>
      </c>
      <c r="F79" s="7" t="s">
        <v>1732</v>
      </c>
      <c r="G79" s="7" t="s">
        <v>1644</v>
      </c>
      <c r="J79" s="7" t="s">
        <v>2081</v>
      </c>
    </row>
    <row r="80" spans="1:10">
      <c r="A80" s="7">
        <v>79</v>
      </c>
      <c r="B80" s="7" t="s">
        <v>1451</v>
      </c>
      <c r="C80" s="7" t="s">
        <v>19</v>
      </c>
      <c r="D80" s="7" t="s">
        <v>1733</v>
      </c>
      <c r="E80" s="7" t="s">
        <v>1734</v>
      </c>
      <c r="F80" s="7" t="s">
        <v>1735</v>
      </c>
      <c r="G80" s="7" t="s">
        <v>1575</v>
      </c>
      <c r="H80" s="7" t="s">
        <v>1736</v>
      </c>
      <c r="J80" s="7" t="s">
        <v>2081</v>
      </c>
    </row>
    <row r="81" spans="1:10">
      <c r="A81" s="7">
        <v>80</v>
      </c>
      <c r="B81" s="7" t="s">
        <v>1451</v>
      </c>
      <c r="C81" s="7" t="s">
        <v>19</v>
      </c>
      <c r="D81" s="7" t="s">
        <v>1737</v>
      </c>
      <c r="E81" s="7" t="s">
        <v>1738</v>
      </c>
      <c r="F81" s="7" t="s">
        <v>1739</v>
      </c>
      <c r="G81" s="7" t="s">
        <v>1459</v>
      </c>
      <c r="J81" s="7" t="s">
        <v>2081</v>
      </c>
    </row>
    <row r="82" spans="1:10">
      <c r="A82" s="7">
        <v>81</v>
      </c>
      <c r="B82" s="7" t="s">
        <v>1451</v>
      </c>
      <c r="C82" s="7" t="s">
        <v>19</v>
      </c>
      <c r="D82" s="7" t="s">
        <v>1740</v>
      </c>
      <c r="E82" s="7" t="s">
        <v>1741</v>
      </c>
      <c r="F82" s="7" t="s">
        <v>1742</v>
      </c>
      <c r="G82" s="7" t="s">
        <v>1512</v>
      </c>
      <c r="J82" s="7" t="s">
        <v>2081</v>
      </c>
    </row>
    <row r="83" spans="1:10">
      <c r="A83" s="7">
        <v>82</v>
      </c>
      <c r="B83" s="7" t="s">
        <v>1451</v>
      </c>
      <c r="C83" s="7" t="s">
        <v>19</v>
      </c>
      <c r="D83" s="7" t="s">
        <v>1743</v>
      </c>
      <c r="E83" s="7" t="s">
        <v>1744</v>
      </c>
      <c r="F83" s="7" t="s">
        <v>1745</v>
      </c>
      <c r="G83" s="7" t="s">
        <v>1512</v>
      </c>
      <c r="I83" s="7" t="s">
        <v>1746</v>
      </c>
      <c r="J83" s="7" t="s">
        <v>2081</v>
      </c>
    </row>
    <row r="84" spans="1:10">
      <c r="A84" s="7">
        <v>83</v>
      </c>
      <c r="B84" s="7" t="s">
        <v>1451</v>
      </c>
      <c r="C84" s="7" t="s">
        <v>19</v>
      </c>
      <c r="D84" s="7" t="s">
        <v>1747</v>
      </c>
      <c r="E84" s="7" t="s">
        <v>1748</v>
      </c>
      <c r="F84" s="7" t="s">
        <v>1749</v>
      </c>
      <c r="G84" s="7" t="s">
        <v>1519</v>
      </c>
      <c r="J84" s="7" t="s">
        <v>2081</v>
      </c>
    </row>
    <row r="85" spans="1:10">
      <c r="A85" s="7">
        <v>84</v>
      </c>
      <c r="B85" s="7" t="s">
        <v>1451</v>
      </c>
      <c r="C85" s="7" t="s">
        <v>19</v>
      </c>
      <c r="D85" s="7" t="s">
        <v>1750</v>
      </c>
      <c r="E85" s="7" t="s">
        <v>1751</v>
      </c>
      <c r="F85" s="7" t="s">
        <v>1752</v>
      </c>
      <c r="G85" s="7" t="s">
        <v>1464</v>
      </c>
      <c r="J85" s="7" t="s">
        <v>2081</v>
      </c>
    </row>
    <row r="86" spans="1:10">
      <c r="A86" s="7">
        <v>85</v>
      </c>
      <c r="B86" s="7" t="s">
        <v>1451</v>
      </c>
      <c r="C86" s="7" t="s">
        <v>19</v>
      </c>
      <c r="D86" s="7" t="s">
        <v>1753</v>
      </c>
      <c r="E86" s="7" t="s">
        <v>1754</v>
      </c>
      <c r="F86" s="7" t="s">
        <v>1755</v>
      </c>
      <c r="G86" s="7" t="s">
        <v>1477</v>
      </c>
      <c r="I86" s="7" t="s">
        <v>1756</v>
      </c>
      <c r="J86" s="7" t="s">
        <v>2081</v>
      </c>
    </row>
    <row r="87" spans="1:10">
      <c r="A87" s="7">
        <v>86</v>
      </c>
      <c r="B87" s="7" t="s">
        <v>1451</v>
      </c>
      <c r="C87" s="7" t="s">
        <v>19</v>
      </c>
      <c r="D87" s="7" t="s">
        <v>1757</v>
      </c>
      <c r="E87" s="7" t="s">
        <v>1758</v>
      </c>
      <c r="F87" s="7" t="s">
        <v>1759</v>
      </c>
      <c r="G87" s="7" t="s">
        <v>1575</v>
      </c>
      <c r="J87" s="7" t="s">
        <v>2081</v>
      </c>
    </row>
    <row r="88" spans="1:10">
      <c r="A88" s="7">
        <v>87</v>
      </c>
      <c r="B88" s="7" t="s">
        <v>1451</v>
      </c>
      <c r="C88" s="7" t="s">
        <v>19</v>
      </c>
      <c r="D88" s="7" t="s">
        <v>1760</v>
      </c>
      <c r="E88" s="7" t="s">
        <v>1761</v>
      </c>
      <c r="F88" s="7" t="s">
        <v>1762</v>
      </c>
      <c r="G88" s="7" t="s">
        <v>1575</v>
      </c>
      <c r="J88" s="7" t="s">
        <v>2081</v>
      </c>
    </row>
    <row r="89" spans="1:10">
      <c r="A89" s="7">
        <v>88</v>
      </c>
      <c r="B89" s="7" t="s">
        <v>1451</v>
      </c>
      <c r="C89" s="7" t="s">
        <v>19</v>
      </c>
      <c r="D89" s="7" t="s">
        <v>1763</v>
      </c>
      <c r="E89" s="7" t="s">
        <v>1764</v>
      </c>
      <c r="F89" s="7" t="s">
        <v>1765</v>
      </c>
      <c r="G89" s="7" t="s">
        <v>1477</v>
      </c>
      <c r="J89" s="7" t="s">
        <v>2081</v>
      </c>
    </row>
    <row r="90" spans="1:10">
      <c r="A90" s="7">
        <v>89</v>
      </c>
      <c r="B90" s="7" t="s">
        <v>1451</v>
      </c>
      <c r="C90" s="7" t="s">
        <v>19</v>
      </c>
      <c r="D90" s="7" t="s">
        <v>1766</v>
      </c>
      <c r="E90" s="7" t="s">
        <v>1767</v>
      </c>
      <c r="F90" s="7" t="s">
        <v>1768</v>
      </c>
      <c r="G90" s="7" t="s">
        <v>1575</v>
      </c>
      <c r="H90" s="7" t="s">
        <v>1769</v>
      </c>
      <c r="J90" s="7" t="s">
        <v>2081</v>
      </c>
    </row>
    <row r="91" spans="1:10">
      <c r="A91" s="7">
        <v>90</v>
      </c>
      <c r="B91" s="7" t="s">
        <v>1451</v>
      </c>
      <c r="C91" s="7" t="s">
        <v>19</v>
      </c>
      <c r="D91" s="7" t="s">
        <v>1770</v>
      </c>
      <c r="E91" s="7" t="s">
        <v>1771</v>
      </c>
      <c r="F91" s="7" t="s">
        <v>1772</v>
      </c>
      <c r="G91" s="7" t="s">
        <v>1464</v>
      </c>
      <c r="J91" s="7" t="s">
        <v>2081</v>
      </c>
    </row>
    <row r="92" spans="1:10">
      <c r="A92" s="7">
        <v>91</v>
      </c>
      <c r="B92" s="7" t="s">
        <v>1451</v>
      </c>
      <c r="C92" s="7" t="s">
        <v>19</v>
      </c>
      <c r="D92" s="7" t="s">
        <v>1773</v>
      </c>
      <c r="E92" s="7" t="s">
        <v>1774</v>
      </c>
      <c r="F92" s="7" t="s">
        <v>1775</v>
      </c>
      <c r="G92" s="7" t="s">
        <v>1674</v>
      </c>
      <c r="J92" s="7" t="s">
        <v>2081</v>
      </c>
    </row>
    <row r="93" spans="1:10">
      <c r="A93" s="7">
        <v>92</v>
      </c>
      <c r="B93" s="7" t="s">
        <v>1451</v>
      </c>
      <c r="C93" s="7" t="s">
        <v>19</v>
      </c>
      <c r="D93" s="7" t="s">
        <v>1776</v>
      </c>
      <c r="E93" s="7" t="s">
        <v>1777</v>
      </c>
      <c r="F93" s="7" t="s">
        <v>1778</v>
      </c>
      <c r="G93" s="7" t="s">
        <v>1464</v>
      </c>
      <c r="I93" s="7" t="s">
        <v>1779</v>
      </c>
      <c r="J93" s="7" t="s">
        <v>2081</v>
      </c>
    </row>
    <row r="94" spans="1:10">
      <c r="A94" s="7">
        <v>93</v>
      </c>
      <c r="B94" s="7" t="s">
        <v>1451</v>
      </c>
      <c r="C94" s="7" t="s">
        <v>19</v>
      </c>
      <c r="D94" s="7" t="s">
        <v>1780</v>
      </c>
      <c r="E94" s="7" t="s">
        <v>1781</v>
      </c>
      <c r="F94" s="7" t="s">
        <v>1782</v>
      </c>
      <c r="G94" s="7" t="s">
        <v>1575</v>
      </c>
      <c r="H94" s="7" t="s">
        <v>1783</v>
      </c>
      <c r="J94" s="7" t="s">
        <v>2081</v>
      </c>
    </row>
    <row r="95" spans="1:10">
      <c r="A95" s="7">
        <v>94</v>
      </c>
      <c r="B95" s="7" t="s">
        <v>1451</v>
      </c>
      <c r="C95" s="7" t="s">
        <v>19</v>
      </c>
      <c r="D95" s="7" t="s">
        <v>1784</v>
      </c>
      <c r="E95" s="7" t="s">
        <v>1785</v>
      </c>
      <c r="F95" s="7" t="s">
        <v>1786</v>
      </c>
      <c r="G95" s="7" t="s">
        <v>1575</v>
      </c>
      <c r="H95" s="7" t="s">
        <v>1787</v>
      </c>
      <c r="I95" s="7" t="s">
        <v>1788</v>
      </c>
      <c r="J95" s="7" t="s">
        <v>2081</v>
      </c>
    </row>
    <row r="96" spans="1:10">
      <c r="A96" s="7">
        <v>95</v>
      </c>
      <c r="B96" s="7" t="s">
        <v>1451</v>
      </c>
      <c r="C96" s="7" t="s">
        <v>19</v>
      </c>
      <c r="D96" s="7" t="s">
        <v>1789</v>
      </c>
      <c r="E96" s="7" t="s">
        <v>1790</v>
      </c>
      <c r="F96" s="7" t="s">
        <v>1791</v>
      </c>
      <c r="G96" s="7" t="s">
        <v>1464</v>
      </c>
      <c r="J96" s="7" t="s">
        <v>2081</v>
      </c>
    </row>
    <row r="97" spans="1:10">
      <c r="A97" s="7">
        <v>96</v>
      </c>
      <c r="B97" s="7" t="s">
        <v>1451</v>
      </c>
      <c r="C97" s="7" t="s">
        <v>19</v>
      </c>
      <c r="D97" s="7" t="s">
        <v>1792</v>
      </c>
      <c r="E97" s="7" t="s">
        <v>1793</v>
      </c>
      <c r="F97" s="7" t="s">
        <v>1794</v>
      </c>
      <c r="G97" s="7" t="s">
        <v>1519</v>
      </c>
      <c r="J97" s="7" t="s">
        <v>2081</v>
      </c>
    </row>
    <row r="98" spans="1:10">
      <c r="A98" s="7">
        <v>97</v>
      </c>
      <c r="B98" s="7" t="s">
        <v>1451</v>
      </c>
      <c r="C98" s="7" t="s">
        <v>19</v>
      </c>
      <c r="D98" s="7" t="s">
        <v>1795</v>
      </c>
      <c r="E98" s="7" t="s">
        <v>1796</v>
      </c>
      <c r="F98" s="7" t="s">
        <v>1797</v>
      </c>
      <c r="G98" s="7" t="s">
        <v>1459</v>
      </c>
      <c r="I98" s="7" t="s">
        <v>1798</v>
      </c>
      <c r="J98" s="7" t="s">
        <v>2081</v>
      </c>
    </row>
    <row r="99" spans="1:10">
      <c r="A99" s="7">
        <v>98</v>
      </c>
      <c r="B99" s="7" t="s">
        <v>1451</v>
      </c>
      <c r="C99" s="7" t="s">
        <v>19</v>
      </c>
      <c r="D99" s="7" t="s">
        <v>1799</v>
      </c>
      <c r="E99" s="7" t="s">
        <v>1800</v>
      </c>
      <c r="F99" s="7" t="s">
        <v>1801</v>
      </c>
      <c r="G99" s="7" t="s">
        <v>1598</v>
      </c>
      <c r="J99" s="7" t="s">
        <v>2081</v>
      </c>
    </row>
    <row r="100" spans="1:10">
      <c r="A100" s="7">
        <v>99</v>
      </c>
      <c r="B100" s="7" t="s">
        <v>1451</v>
      </c>
      <c r="C100" s="7" t="s">
        <v>19</v>
      </c>
      <c r="D100" s="7" t="s">
        <v>1802</v>
      </c>
      <c r="E100" s="7" t="s">
        <v>1803</v>
      </c>
      <c r="F100" s="7" t="s">
        <v>1804</v>
      </c>
      <c r="G100" s="7" t="s">
        <v>1805</v>
      </c>
      <c r="J100" s="7" t="s">
        <v>2081</v>
      </c>
    </row>
    <row r="101" spans="1:10">
      <c r="A101" s="7">
        <v>100</v>
      </c>
      <c r="B101" s="7" t="s">
        <v>1451</v>
      </c>
      <c r="C101" s="7" t="s">
        <v>19</v>
      </c>
      <c r="D101" s="7" t="s">
        <v>1806</v>
      </c>
      <c r="E101" s="7" t="s">
        <v>1807</v>
      </c>
      <c r="F101" s="7" t="s">
        <v>1808</v>
      </c>
      <c r="G101" s="7" t="s">
        <v>1512</v>
      </c>
      <c r="J101" s="7" t="s">
        <v>2081</v>
      </c>
    </row>
    <row r="102" spans="1:10">
      <c r="A102" s="7">
        <v>101</v>
      </c>
      <c r="B102" s="7" t="s">
        <v>1451</v>
      </c>
      <c r="C102" s="7" t="s">
        <v>19</v>
      </c>
      <c r="D102" s="7" t="s">
        <v>1809</v>
      </c>
      <c r="E102" s="7" t="s">
        <v>1810</v>
      </c>
      <c r="F102" s="7" t="s">
        <v>1811</v>
      </c>
      <c r="G102" s="7" t="s">
        <v>1719</v>
      </c>
      <c r="J102" s="7" t="s">
        <v>2081</v>
      </c>
    </row>
    <row r="103" spans="1:10">
      <c r="A103" s="7">
        <v>102</v>
      </c>
      <c r="B103" s="7" t="s">
        <v>1451</v>
      </c>
      <c r="C103" s="7" t="s">
        <v>19</v>
      </c>
      <c r="D103" s="7" t="s">
        <v>1812</v>
      </c>
      <c r="E103" s="7" t="s">
        <v>1813</v>
      </c>
      <c r="F103" s="7" t="s">
        <v>1814</v>
      </c>
      <c r="G103" s="7" t="s">
        <v>1477</v>
      </c>
      <c r="J103" s="7" t="s">
        <v>2081</v>
      </c>
    </row>
    <row r="104" spans="1:10">
      <c r="A104" s="7">
        <v>103</v>
      </c>
      <c r="B104" s="7" t="s">
        <v>1451</v>
      </c>
      <c r="C104" s="7" t="s">
        <v>19</v>
      </c>
      <c r="D104" s="7" t="s">
        <v>1815</v>
      </c>
      <c r="E104" s="7" t="s">
        <v>1816</v>
      </c>
      <c r="F104" s="7" t="s">
        <v>1817</v>
      </c>
      <c r="G104" s="7" t="s">
        <v>1512</v>
      </c>
      <c r="H104" s="7" t="s">
        <v>1818</v>
      </c>
      <c r="I104" s="7" t="s">
        <v>1819</v>
      </c>
      <c r="J104" s="7" t="s">
        <v>2081</v>
      </c>
    </row>
    <row r="105" spans="1:10">
      <c r="A105" s="7">
        <v>104</v>
      </c>
      <c r="B105" s="7" t="s">
        <v>1451</v>
      </c>
      <c r="C105" s="7" t="s">
        <v>19</v>
      </c>
      <c r="D105" s="7" t="s">
        <v>1820</v>
      </c>
      <c r="E105" s="7" t="s">
        <v>1821</v>
      </c>
      <c r="F105" s="7" t="s">
        <v>1822</v>
      </c>
      <c r="G105" s="7" t="s">
        <v>1519</v>
      </c>
      <c r="J105" s="7" t="s">
        <v>2081</v>
      </c>
    </row>
    <row r="106" spans="1:10">
      <c r="A106" s="7">
        <v>105</v>
      </c>
      <c r="B106" s="7" t="s">
        <v>1451</v>
      </c>
      <c r="C106" s="7" t="s">
        <v>19</v>
      </c>
      <c r="D106" s="7" t="s">
        <v>1823</v>
      </c>
      <c r="E106" s="7" t="s">
        <v>1824</v>
      </c>
      <c r="F106" s="7" t="s">
        <v>1825</v>
      </c>
      <c r="G106" s="7" t="s">
        <v>1496</v>
      </c>
      <c r="I106" s="7" t="s">
        <v>1826</v>
      </c>
      <c r="J106" s="7" t="s">
        <v>2081</v>
      </c>
    </row>
    <row r="107" spans="1:10">
      <c r="A107" s="7">
        <v>106</v>
      </c>
      <c r="B107" s="7" t="s">
        <v>1451</v>
      </c>
      <c r="C107" s="7" t="s">
        <v>19</v>
      </c>
      <c r="D107" s="7" t="s">
        <v>1827</v>
      </c>
      <c r="E107" s="7" t="s">
        <v>1828</v>
      </c>
      <c r="F107" s="7" t="s">
        <v>1829</v>
      </c>
      <c r="G107" s="7" t="s">
        <v>1575</v>
      </c>
      <c r="I107" s="7" t="s">
        <v>1830</v>
      </c>
      <c r="J107" s="7" t="s">
        <v>2081</v>
      </c>
    </row>
    <row r="108" spans="1:10">
      <c r="A108" s="7">
        <v>107</v>
      </c>
      <c r="B108" s="7" t="s">
        <v>1451</v>
      </c>
      <c r="C108" s="7" t="s">
        <v>19</v>
      </c>
      <c r="D108" s="7" t="s">
        <v>1831</v>
      </c>
      <c r="E108" s="7" t="s">
        <v>1832</v>
      </c>
      <c r="F108" s="7" t="s">
        <v>1833</v>
      </c>
      <c r="G108" s="7" t="s">
        <v>1519</v>
      </c>
      <c r="J108" s="7" t="s">
        <v>2081</v>
      </c>
    </row>
    <row r="109" spans="1:10">
      <c r="A109" s="7">
        <v>108</v>
      </c>
      <c r="B109" s="7" t="s">
        <v>1451</v>
      </c>
      <c r="C109" s="7" t="s">
        <v>19</v>
      </c>
      <c r="D109" s="7" t="s">
        <v>1834</v>
      </c>
      <c r="E109" s="7" t="s">
        <v>1832</v>
      </c>
      <c r="F109" s="7" t="s">
        <v>1835</v>
      </c>
      <c r="G109" s="7" t="s">
        <v>1836</v>
      </c>
      <c r="H109" s="7" t="s">
        <v>1837</v>
      </c>
      <c r="J109" s="7" t="s">
        <v>2081</v>
      </c>
    </row>
    <row r="110" spans="1:10">
      <c r="A110" s="7">
        <v>109</v>
      </c>
      <c r="B110" s="7" t="s">
        <v>1451</v>
      </c>
      <c r="C110" s="7" t="s">
        <v>19</v>
      </c>
      <c r="D110" s="7" t="s">
        <v>1838</v>
      </c>
      <c r="E110" s="7" t="s">
        <v>1839</v>
      </c>
      <c r="F110" s="7" t="s">
        <v>1840</v>
      </c>
      <c r="G110" s="7" t="s">
        <v>1477</v>
      </c>
      <c r="I110" s="7" t="s">
        <v>1620</v>
      </c>
      <c r="J110" s="7" t="s">
        <v>2081</v>
      </c>
    </row>
    <row r="111" spans="1:10">
      <c r="A111" s="7">
        <v>110</v>
      </c>
      <c r="B111" s="7" t="s">
        <v>1451</v>
      </c>
      <c r="C111" s="7" t="s">
        <v>19</v>
      </c>
      <c r="D111" s="7" t="s">
        <v>1841</v>
      </c>
      <c r="E111" s="7" t="s">
        <v>1842</v>
      </c>
      <c r="F111" s="7" t="s">
        <v>1843</v>
      </c>
      <c r="G111" s="7" t="s">
        <v>1844</v>
      </c>
      <c r="J111" s="7" t="s">
        <v>2081</v>
      </c>
    </row>
    <row r="112" spans="1:10">
      <c r="A112" s="7">
        <v>111</v>
      </c>
      <c r="B112" s="7" t="s">
        <v>1451</v>
      </c>
      <c r="C112" s="7" t="s">
        <v>19</v>
      </c>
      <c r="D112" s="7" t="s">
        <v>1845</v>
      </c>
      <c r="E112" s="7" t="s">
        <v>1846</v>
      </c>
      <c r="F112" s="7" t="s">
        <v>1847</v>
      </c>
      <c r="G112" s="7" t="s">
        <v>1512</v>
      </c>
      <c r="J112" s="7" t="s">
        <v>2081</v>
      </c>
    </row>
    <row r="113" spans="1:10">
      <c r="A113" s="7">
        <v>112</v>
      </c>
      <c r="B113" s="7" t="s">
        <v>1451</v>
      </c>
      <c r="C113" s="7" t="s">
        <v>19</v>
      </c>
      <c r="D113" s="7" t="s">
        <v>1848</v>
      </c>
      <c r="E113" s="7" t="s">
        <v>1849</v>
      </c>
      <c r="F113" s="7" t="s">
        <v>1850</v>
      </c>
      <c r="G113" s="7" t="s">
        <v>1575</v>
      </c>
      <c r="I113" s="7" t="s">
        <v>1851</v>
      </c>
      <c r="J113" s="7" t="s">
        <v>2081</v>
      </c>
    </row>
    <row r="114" spans="1:10">
      <c r="A114" s="7">
        <v>113</v>
      </c>
      <c r="B114" s="7" t="s">
        <v>1451</v>
      </c>
      <c r="C114" s="7" t="s">
        <v>19</v>
      </c>
      <c r="D114" s="7" t="s">
        <v>1852</v>
      </c>
      <c r="E114" s="7" t="s">
        <v>1853</v>
      </c>
      <c r="F114" s="7" t="s">
        <v>1854</v>
      </c>
      <c r="G114" s="7" t="s">
        <v>1575</v>
      </c>
      <c r="I114" s="7" t="s">
        <v>1855</v>
      </c>
      <c r="J114" s="7" t="s">
        <v>2081</v>
      </c>
    </row>
    <row r="115" spans="1:10">
      <c r="A115" s="7">
        <v>114</v>
      </c>
      <c r="B115" s="7" t="s">
        <v>1451</v>
      </c>
      <c r="C115" s="7" t="s">
        <v>19</v>
      </c>
      <c r="D115" s="7" t="s">
        <v>1856</v>
      </c>
      <c r="E115" s="7" t="s">
        <v>1857</v>
      </c>
      <c r="F115" s="7" t="s">
        <v>1858</v>
      </c>
      <c r="G115" s="7" t="s">
        <v>1549</v>
      </c>
      <c r="J115" s="7" t="s">
        <v>2081</v>
      </c>
    </row>
    <row r="116" spans="1:10">
      <c r="A116" s="7">
        <v>115</v>
      </c>
      <c r="B116" s="7" t="s">
        <v>1451</v>
      </c>
      <c r="C116" s="7" t="s">
        <v>19</v>
      </c>
      <c r="D116" s="7" t="s">
        <v>1859</v>
      </c>
      <c r="E116" s="7" t="s">
        <v>1860</v>
      </c>
      <c r="F116" s="7" t="s">
        <v>1861</v>
      </c>
      <c r="G116" s="7" t="s">
        <v>1464</v>
      </c>
      <c r="I116" s="7" t="s">
        <v>1862</v>
      </c>
      <c r="J116" s="7" t="s">
        <v>2081</v>
      </c>
    </row>
    <row r="117" spans="1:10">
      <c r="A117" s="7">
        <v>116</v>
      </c>
      <c r="B117" s="7" t="s">
        <v>1451</v>
      </c>
      <c r="C117" s="7" t="s">
        <v>19</v>
      </c>
      <c r="D117" s="7" t="s">
        <v>1863</v>
      </c>
      <c r="E117" s="7" t="s">
        <v>1864</v>
      </c>
      <c r="F117" s="7" t="s">
        <v>1865</v>
      </c>
      <c r="G117" s="7" t="s">
        <v>1477</v>
      </c>
      <c r="H117" s="7" t="s">
        <v>1866</v>
      </c>
      <c r="J117" s="7" t="s">
        <v>2081</v>
      </c>
    </row>
    <row r="118" spans="1:10">
      <c r="A118" s="7">
        <v>117</v>
      </c>
      <c r="B118" s="7" t="s">
        <v>1451</v>
      </c>
      <c r="C118" s="7" t="s">
        <v>19</v>
      </c>
      <c r="D118" s="7" t="s">
        <v>1867</v>
      </c>
      <c r="E118" s="7" t="s">
        <v>1868</v>
      </c>
      <c r="F118" s="7" t="s">
        <v>1869</v>
      </c>
      <c r="G118" s="7" t="s">
        <v>1464</v>
      </c>
      <c r="H118" s="7" t="s">
        <v>1870</v>
      </c>
      <c r="J118" s="7" t="s">
        <v>2081</v>
      </c>
    </row>
    <row r="119" spans="1:10">
      <c r="A119" s="7">
        <v>118</v>
      </c>
      <c r="B119" s="7" t="s">
        <v>1451</v>
      </c>
      <c r="C119" s="7" t="s">
        <v>19</v>
      </c>
      <c r="D119" s="7" t="s">
        <v>1871</v>
      </c>
      <c r="E119" s="7" t="s">
        <v>1872</v>
      </c>
      <c r="F119" s="7" t="s">
        <v>1873</v>
      </c>
      <c r="G119" s="7" t="s">
        <v>1512</v>
      </c>
      <c r="H119" s="7" t="s">
        <v>1874</v>
      </c>
      <c r="I119" s="7" t="s">
        <v>1875</v>
      </c>
      <c r="J119" s="7" t="s">
        <v>2081</v>
      </c>
    </row>
    <row r="120" spans="1:10">
      <c r="A120" s="7">
        <v>119</v>
      </c>
      <c r="B120" s="7" t="s">
        <v>1451</v>
      </c>
      <c r="C120" s="7" t="s">
        <v>19</v>
      </c>
      <c r="D120" s="7" t="s">
        <v>1876</v>
      </c>
      <c r="E120" s="7" t="s">
        <v>1872</v>
      </c>
      <c r="F120" s="7" t="s">
        <v>1877</v>
      </c>
      <c r="G120" s="7" t="s">
        <v>1512</v>
      </c>
      <c r="J120" s="7" t="s">
        <v>2081</v>
      </c>
    </row>
    <row r="121" spans="1:10">
      <c r="A121" s="7">
        <v>120</v>
      </c>
      <c r="B121" s="7" t="s">
        <v>1451</v>
      </c>
      <c r="C121" s="7" t="s">
        <v>19</v>
      </c>
      <c r="D121" s="7" t="s">
        <v>1878</v>
      </c>
      <c r="E121" s="7" t="s">
        <v>1872</v>
      </c>
      <c r="F121" s="7" t="s">
        <v>1879</v>
      </c>
      <c r="G121" s="7" t="s">
        <v>1496</v>
      </c>
      <c r="J121" s="7" t="s">
        <v>2081</v>
      </c>
    </row>
    <row r="122" spans="1:10">
      <c r="A122" s="7">
        <v>121</v>
      </c>
      <c r="B122" s="7" t="s">
        <v>1451</v>
      </c>
      <c r="C122" s="7" t="s">
        <v>19</v>
      </c>
      <c r="D122" s="7" t="s">
        <v>1880</v>
      </c>
      <c r="E122" s="7" t="s">
        <v>1881</v>
      </c>
      <c r="F122" s="7" t="s">
        <v>1882</v>
      </c>
      <c r="G122" s="7" t="s">
        <v>1512</v>
      </c>
      <c r="J122" s="7" t="s">
        <v>2081</v>
      </c>
    </row>
    <row r="123" spans="1:10">
      <c r="A123" s="7">
        <v>122</v>
      </c>
      <c r="B123" s="7" t="s">
        <v>1451</v>
      </c>
      <c r="C123" s="7" t="s">
        <v>19</v>
      </c>
      <c r="D123" s="7" t="s">
        <v>1883</v>
      </c>
      <c r="E123" s="7" t="s">
        <v>1884</v>
      </c>
      <c r="F123" s="7" t="s">
        <v>1885</v>
      </c>
      <c r="G123" s="7" t="s">
        <v>1459</v>
      </c>
      <c r="I123" s="7" t="s">
        <v>1886</v>
      </c>
      <c r="J123" s="7" t="s">
        <v>2081</v>
      </c>
    </row>
    <row r="124" spans="1:10">
      <c r="A124" s="7">
        <v>123</v>
      </c>
      <c r="B124" s="7" t="s">
        <v>1451</v>
      </c>
      <c r="C124" s="7" t="s">
        <v>19</v>
      </c>
      <c r="D124" s="7" t="s">
        <v>1887</v>
      </c>
      <c r="E124" s="7" t="s">
        <v>1888</v>
      </c>
      <c r="F124" s="7" t="s">
        <v>1889</v>
      </c>
      <c r="G124" s="7" t="s">
        <v>1575</v>
      </c>
      <c r="J124" s="7" t="s">
        <v>2081</v>
      </c>
    </row>
    <row r="125" spans="1:10">
      <c r="A125" s="7">
        <v>124</v>
      </c>
      <c r="B125" s="7" t="s">
        <v>1451</v>
      </c>
      <c r="C125" s="7" t="s">
        <v>19</v>
      </c>
      <c r="D125" s="7" t="s">
        <v>1890</v>
      </c>
      <c r="E125" s="7" t="s">
        <v>1891</v>
      </c>
      <c r="F125" s="7" t="s">
        <v>1892</v>
      </c>
      <c r="G125" s="7" t="s">
        <v>1519</v>
      </c>
      <c r="J125" s="7" t="s">
        <v>2081</v>
      </c>
    </row>
    <row r="126" spans="1:10">
      <c r="A126" s="7">
        <v>125</v>
      </c>
      <c r="B126" s="7" t="s">
        <v>1451</v>
      </c>
      <c r="C126" s="7" t="s">
        <v>19</v>
      </c>
      <c r="D126" s="7" t="s">
        <v>1893</v>
      </c>
      <c r="E126" s="7" t="s">
        <v>1894</v>
      </c>
      <c r="F126" s="7" t="s">
        <v>1895</v>
      </c>
      <c r="G126" s="7" t="s">
        <v>1477</v>
      </c>
      <c r="H126" s="7" t="s">
        <v>1896</v>
      </c>
      <c r="J126" s="7" t="s">
        <v>2081</v>
      </c>
    </row>
    <row r="127" spans="1:10">
      <c r="A127" s="7">
        <v>126</v>
      </c>
      <c r="B127" s="7" t="s">
        <v>1451</v>
      </c>
      <c r="C127" s="7" t="s">
        <v>19</v>
      </c>
      <c r="D127" s="7" t="s">
        <v>1897</v>
      </c>
      <c r="E127" s="7" t="s">
        <v>1898</v>
      </c>
      <c r="F127" s="7" t="s">
        <v>1899</v>
      </c>
      <c r="G127" s="7" t="s">
        <v>1477</v>
      </c>
      <c r="I127" s="7" t="s">
        <v>1798</v>
      </c>
      <c r="J127" s="7" t="s">
        <v>2081</v>
      </c>
    </row>
    <row r="128" spans="1:10">
      <c r="A128" s="7">
        <v>127</v>
      </c>
      <c r="B128" s="7" t="s">
        <v>1451</v>
      </c>
      <c r="C128" s="7" t="s">
        <v>19</v>
      </c>
      <c r="D128" s="7" t="s">
        <v>1900</v>
      </c>
      <c r="E128" s="7" t="s">
        <v>1898</v>
      </c>
      <c r="F128" s="7" t="s">
        <v>1901</v>
      </c>
      <c r="G128" s="7" t="s">
        <v>1464</v>
      </c>
      <c r="H128" s="7" t="s">
        <v>1902</v>
      </c>
      <c r="J128" s="7" t="s">
        <v>2081</v>
      </c>
    </row>
    <row r="129" spans="1:10">
      <c r="A129" s="7">
        <v>128</v>
      </c>
      <c r="B129" s="7" t="s">
        <v>1451</v>
      </c>
      <c r="C129" s="7" t="s">
        <v>19</v>
      </c>
      <c r="D129" s="7" t="s">
        <v>1903</v>
      </c>
      <c r="E129" s="7" t="s">
        <v>1904</v>
      </c>
      <c r="F129" s="7" t="s">
        <v>1905</v>
      </c>
      <c r="G129" s="7" t="s">
        <v>1459</v>
      </c>
      <c r="H129" s="7" t="s">
        <v>1906</v>
      </c>
      <c r="J129" s="7" t="s">
        <v>2081</v>
      </c>
    </row>
    <row r="130" spans="1:10">
      <c r="A130" s="7">
        <v>129</v>
      </c>
      <c r="B130" s="7" t="s">
        <v>1451</v>
      </c>
      <c r="C130" s="7" t="s">
        <v>19</v>
      </c>
      <c r="D130" s="7" t="s">
        <v>1907</v>
      </c>
      <c r="E130" s="7" t="s">
        <v>1904</v>
      </c>
      <c r="F130" s="7" t="s">
        <v>1908</v>
      </c>
      <c r="G130" s="7" t="s">
        <v>1719</v>
      </c>
      <c r="J130" s="7" t="s">
        <v>2081</v>
      </c>
    </row>
    <row r="131" spans="1:10">
      <c r="A131" s="7">
        <v>130</v>
      </c>
      <c r="B131" s="7" t="s">
        <v>1451</v>
      </c>
      <c r="C131" s="7" t="s">
        <v>19</v>
      </c>
      <c r="D131" s="7" t="s">
        <v>1909</v>
      </c>
      <c r="E131" s="7" t="s">
        <v>1910</v>
      </c>
      <c r="F131" s="7" t="s">
        <v>1911</v>
      </c>
      <c r="G131" s="7" t="s">
        <v>1519</v>
      </c>
      <c r="J131" s="7" t="s">
        <v>2081</v>
      </c>
    </row>
    <row r="132" spans="1:10">
      <c r="A132" s="7">
        <v>131</v>
      </c>
      <c r="B132" s="7" t="s">
        <v>1451</v>
      </c>
      <c r="C132" s="7" t="s">
        <v>19</v>
      </c>
      <c r="D132" s="7" t="s">
        <v>1912</v>
      </c>
      <c r="E132" s="7" t="s">
        <v>1913</v>
      </c>
      <c r="F132" s="7" t="s">
        <v>1914</v>
      </c>
      <c r="G132" s="7" t="s">
        <v>1477</v>
      </c>
      <c r="J132" s="7" t="s">
        <v>2081</v>
      </c>
    </row>
    <row r="133" spans="1:10">
      <c r="A133" s="7">
        <v>132</v>
      </c>
      <c r="B133" s="7" t="s">
        <v>1451</v>
      </c>
      <c r="C133" s="7" t="s">
        <v>19</v>
      </c>
      <c r="D133" s="7" t="s">
        <v>1915</v>
      </c>
      <c r="E133" s="7" t="s">
        <v>1916</v>
      </c>
      <c r="F133" s="7" t="s">
        <v>1917</v>
      </c>
      <c r="G133" s="7" t="s">
        <v>1469</v>
      </c>
      <c r="J133" s="7" t="s">
        <v>2081</v>
      </c>
    </row>
    <row r="134" spans="1:10">
      <c r="A134" s="7">
        <v>133</v>
      </c>
      <c r="B134" s="7" t="s">
        <v>1451</v>
      </c>
      <c r="C134" s="7" t="s">
        <v>19</v>
      </c>
      <c r="D134" s="7" t="s">
        <v>1918</v>
      </c>
      <c r="E134" s="7" t="s">
        <v>1919</v>
      </c>
      <c r="F134" s="7" t="s">
        <v>1920</v>
      </c>
      <c r="G134" s="7" t="s">
        <v>1512</v>
      </c>
      <c r="I134" s="7" t="s">
        <v>1921</v>
      </c>
      <c r="J134" s="7" t="s">
        <v>2081</v>
      </c>
    </row>
    <row r="135" spans="1:10">
      <c r="A135" s="7">
        <v>134</v>
      </c>
      <c r="B135" s="7" t="s">
        <v>1451</v>
      </c>
      <c r="C135" s="7" t="s">
        <v>19</v>
      </c>
      <c r="D135" s="7" t="s">
        <v>1922</v>
      </c>
      <c r="E135" s="7" t="s">
        <v>1923</v>
      </c>
      <c r="F135" s="7" t="s">
        <v>1924</v>
      </c>
      <c r="G135" s="7" t="s">
        <v>1512</v>
      </c>
      <c r="J135" s="7" t="s">
        <v>2081</v>
      </c>
    </row>
    <row r="136" spans="1:10">
      <c r="A136" s="7">
        <v>135</v>
      </c>
      <c r="B136" s="7" t="s">
        <v>1451</v>
      </c>
      <c r="C136" s="7" t="s">
        <v>19</v>
      </c>
      <c r="D136" s="7" t="s">
        <v>1925</v>
      </c>
      <c r="E136" s="7" t="s">
        <v>1926</v>
      </c>
      <c r="F136" s="7" t="s">
        <v>1927</v>
      </c>
      <c r="G136" s="7" t="s">
        <v>1928</v>
      </c>
      <c r="J136" s="7" t="s">
        <v>2081</v>
      </c>
    </row>
    <row r="137" spans="1:10">
      <c r="A137" s="7">
        <v>136</v>
      </c>
      <c r="B137" s="7" t="s">
        <v>1451</v>
      </c>
      <c r="C137" s="7" t="s">
        <v>19</v>
      </c>
      <c r="D137" s="7" t="s">
        <v>1929</v>
      </c>
      <c r="E137" s="7" t="s">
        <v>1930</v>
      </c>
      <c r="F137" s="7" t="s">
        <v>1931</v>
      </c>
      <c r="G137" s="7" t="s">
        <v>1519</v>
      </c>
      <c r="H137" s="7" t="s">
        <v>1932</v>
      </c>
      <c r="J137" s="7" t="s">
        <v>2081</v>
      </c>
    </row>
    <row r="138" spans="1:10">
      <c r="A138" s="7">
        <v>137</v>
      </c>
      <c r="B138" s="7" t="s">
        <v>1451</v>
      </c>
      <c r="C138" s="7" t="s">
        <v>19</v>
      </c>
      <c r="D138" s="7" t="s">
        <v>1933</v>
      </c>
      <c r="E138" s="7" t="s">
        <v>1934</v>
      </c>
      <c r="F138" s="7" t="s">
        <v>1935</v>
      </c>
      <c r="G138" s="7" t="s">
        <v>1501</v>
      </c>
      <c r="J138" s="7" t="s">
        <v>2081</v>
      </c>
    </row>
    <row r="139" spans="1:10">
      <c r="A139" s="7">
        <v>138</v>
      </c>
      <c r="B139" s="7" t="s">
        <v>1451</v>
      </c>
      <c r="C139" s="7" t="s">
        <v>19</v>
      </c>
      <c r="D139" s="7" t="s">
        <v>1936</v>
      </c>
      <c r="E139" s="7" t="s">
        <v>1937</v>
      </c>
      <c r="F139" s="7" t="s">
        <v>1938</v>
      </c>
      <c r="G139" s="7" t="s">
        <v>1575</v>
      </c>
      <c r="H139" s="7" t="s">
        <v>1939</v>
      </c>
      <c r="J139" s="7" t="s">
        <v>2081</v>
      </c>
    </row>
    <row r="140" spans="1:10">
      <c r="A140" s="7">
        <v>139</v>
      </c>
      <c r="B140" s="7" t="s">
        <v>1451</v>
      </c>
      <c r="C140" s="7" t="s">
        <v>19</v>
      </c>
      <c r="D140" s="7" t="s">
        <v>1940</v>
      </c>
      <c r="E140" s="7" t="s">
        <v>1941</v>
      </c>
      <c r="F140" s="7" t="s">
        <v>1942</v>
      </c>
      <c r="G140" s="7" t="s">
        <v>1477</v>
      </c>
      <c r="J140" s="7" t="s">
        <v>2081</v>
      </c>
    </row>
    <row r="141" spans="1:10">
      <c r="A141" s="7">
        <v>140</v>
      </c>
      <c r="B141" s="7" t="s">
        <v>1451</v>
      </c>
      <c r="C141" s="7" t="s">
        <v>19</v>
      </c>
      <c r="D141" s="7" t="s">
        <v>1943</v>
      </c>
      <c r="E141" s="7" t="s">
        <v>1944</v>
      </c>
      <c r="F141" s="7" t="s">
        <v>1945</v>
      </c>
      <c r="G141" s="7" t="s">
        <v>1477</v>
      </c>
      <c r="J141" s="7" t="s">
        <v>2081</v>
      </c>
    </row>
    <row r="142" spans="1:10">
      <c r="A142" s="7">
        <v>141</v>
      </c>
      <c r="B142" s="7" t="s">
        <v>1451</v>
      </c>
      <c r="C142" s="7" t="s">
        <v>19</v>
      </c>
      <c r="D142" s="7" t="s">
        <v>1946</v>
      </c>
      <c r="E142" s="7" t="s">
        <v>1947</v>
      </c>
      <c r="F142" s="7" t="s">
        <v>1948</v>
      </c>
      <c r="G142" s="7" t="s">
        <v>1549</v>
      </c>
      <c r="J142" s="7" t="s">
        <v>2081</v>
      </c>
    </row>
    <row r="143" spans="1:10">
      <c r="A143" s="7">
        <v>142</v>
      </c>
      <c r="B143" s="7" t="s">
        <v>1451</v>
      </c>
      <c r="C143" s="7" t="s">
        <v>19</v>
      </c>
      <c r="D143" s="7" t="s">
        <v>1949</v>
      </c>
      <c r="E143" s="7" t="s">
        <v>1950</v>
      </c>
      <c r="F143" s="7" t="s">
        <v>1951</v>
      </c>
      <c r="G143" s="7" t="s">
        <v>1477</v>
      </c>
      <c r="J143" s="7" t="s">
        <v>2081</v>
      </c>
    </row>
    <row r="144" spans="1:10">
      <c r="A144" s="7">
        <v>143</v>
      </c>
      <c r="B144" s="7" t="s">
        <v>1451</v>
      </c>
      <c r="C144" s="7" t="s">
        <v>19</v>
      </c>
      <c r="D144" s="7" t="s">
        <v>1952</v>
      </c>
      <c r="E144" s="7" t="s">
        <v>1953</v>
      </c>
      <c r="F144" s="7" t="s">
        <v>1954</v>
      </c>
      <c r="G144" s="7" t="s">
        <v>1512</v>
      </c>
      <c r="H144" s="7" t="s">
        <v>1955</v>
      </c>
      <c r="J144" s="7" t="s">
        <v>2081</v>
      </c>
    </row>
    <row r="145" spans="1:10">
      <c r="A145" s="7">
        <v>144</v>
      </c>
      <c r="B145" s="7" t="s">
        <v>1451</v>
      </c>
      <c r="C145" s="7" t="s">
        <v>19</v>
      </c>
      <c r="D145" s="7" t="s">
        <v>1956</v>
      </c>
      <c r="E145" s="7" t="s">
        <v>1957</v>
      </c>
      <c r="F145" s="7" t="s">
        <v>1958</v>
      </c>
      <c r="G145" s="7" t="s">
        <v>1477</v>
      </c>
      <c r="J145" s="7" t="s">
        <v>2081</v>
      </c>
    </row>
    <row r="146" spans="1:10">
      <c r="A146" s="7">
        <v>145</v>
      </c>
      <c r="B146" s="7" t="s">
        <v>1451</v>
      </c>
      <c r="C146" s="7" t="s">
        <v>19</v>
      </c>
      <c r="D146" s="7" t="s">
        <v>1959</v>
      </c>
      <c r="E146" s="7" t="s">
        <v>1960</v>
      </c>
      <c r="F146" s="7" t="s">
        <v>1961</v>
      </c>
      <c r="G146" s="7" t="s">
        <v>1501</v>
      </c>
      <c r="J146" s="7" t="s">
        <v>2081</v>
      </c>
    </row>
    <row r="147" spans="1:10">
      <c r="A147" s="7">
        <v>146</v>
      </c>
      <c r="B147" s="7" t="s">
        <v>1451</v>
      </c>
      <c r="C147" s="7" t="s">
        <v>19</v>
      </c>
      <c r="D147" s="7" t="s">
        <v>1962</v>
      </c>
      <c r="E147" s="7" t="s">
        <v>1963</v>
      </c>
      <c r="F147" s="7" t="s">
        <v>1964</v>
      </c>
      <c r="G147" s="7" t="s">
        <v>1459</v>
      </c>
      <c r="J147" s="7" t="s">
        <v>2081</v>
      </c>
    </row>
    <row r="148" spans="1:10">
      <c r="A148" s="7">
        <v>147</v>
      </c>
      <c r="B148" s="7" t="s">
        <v>1451</v>
      </c>
      <c r="C148" s="7" t="s">
        <v>19</v>
      </c>
      <c r="D148" s="7" t="s">
        <v>1965</v>
      </c>
      <c r="E148" s="7" t="s">
        <v>1966</v>
      </c>
      <c r="F148" s="7" t="s">
        <v>1967</v>
      </c>
      <c r="G148" s="7" t="s">
        <v>1459</v>
      </c>
      <c r="J148" s="7" t="s">
        <v>2081</v>
      </c>
    </row>
    <row r="149" spans="1:10">
      <c r="A149" s="7">
        <v>148</v>
      </c>
      <c r="B149" s="7" t="s">
        <v>1451</v>
      </c>
      <c r="C149" s="7" t="s">
        <v>19</v>
      </c>
      <c r="D149" s="7" t="s">
        <v>1968</v>
      </c>
      <c r="E149" s="7" t="s">
        <v>1969</v>
      </c>
      <c r="F149" s="7" t="s">
        <v>1970</v>
      </c>
      <c r="G149" s="7" t="s">
        <v>1512</v>
      </c>
      <c r="J149" s="7" t="s">
        <v>2081</v>
      </c>
    </row>
    <row r="150" spans="1:10">
      <c r="A150" s="7">
        <v>149</v>
      </c>
      <c r="B150" s="7" t="s">
        <v>1451</v>
      </c>
      <c r="C150" s="7" t="s">
        <v>19</v>
      </c>
      <c r="D150" s="7" t="s">
        <v>1971</v>
      </c>
      <c r="E150" s="7" t="s">
        <v>1972</v>
      </c>
      <c r="F150" s="7" t="s">
        <v>1973</v>
      </c>
      <c r="G150" s="7" t="s">
        <v>1974</v>
      </c>
      <c r="H150" s="7" t="s">
        <v>1975</v>
      </c>
      <c r="J150" s="7" t="s">
        <v>2081</v>
      </c>
    </row>
    <row r="151" spans="1:10">
      <c r="A151" s="7">
        <v>150</v>
      </c>
      <c r="B151" s="7" t="s">
        <v>1451</v>
      </c>
      <c r="C151" s="7" t="s">
        <v>19</v>
      </c>
      <c r="D151" s="7" t="s">
        <v>1976</v>
      </c>
      <c r="E151" s="7" t="s">
        <v>1977</v>
      </c>
      <c r="F151" s="7" t="s">
        <v>1978</v>
      </c>
      <c r="G151" s="7" t="s">
        <v>1496</v>
      </c>
      <c r="J151" s="7" t="s">
        <v>2081</v>
      </c>
    </row>
    <row r="152" spans="1:10">
      <c r="A152" s="7">
        <v>151</v>
      </c>
      <c r="B152" s="7" t="s">
        <v>1451</v>
      </c>
      <c r="C152" s="7" t="s">
        <v>19</v>
      </c>
      <c r="D152" s="7" t="s">
        <v>1979</v>
      </c>
      <c r="E152" s="7" t="s">
        <v>1980</v>
      </c>
      <c r="F152" s="7" t="s">
        <v>1981</v>
      </c>
      <c r="G152" s="7" t="s">
        <v>1575</v>
      </c>
      <c r="H152" s="7" t="s">
        <v>1982</v>
      </c>
      <c r="J152" s="7" t="s">
        <v>2081</v>
      </c>
    </row>
    <row r="153" spans="1:10">
      <c r="A153" s="7">
        <v>152</v>
      </c>
      <c r="B153" s="7" t="s">
        <v>1451</v>
      </c>
      <c r="C153" s="7" t="s">
        <v>19</v>
      </c>
      <c r="D153" s="7" t="s">
        <v>1983</v>
      </c>
      <c r="E153" s="7" t="s">
        <v>1984</v>
      </c>
      <c r="F153" s="7" t="s">
        <v>1985</v>
      </c>
      <c r="G153" s="7" t="s">
        <v>1575</v>
      </c>
      <c r="I153" s="7" t="s">
        <v>1862</v>
      </c>
      <c r="J153" s="7" t="s">
        <v>2081</v>
      </c>
    </row>
    <row r="154" spans="1:10">
      <c r="A154" s="7">
        <v>153</v>
      </c>
      <c r="B154" s="7" t="s">
        <v>1451</v>
      </c>
      <c r="C154" s="7" t="s">
        <v>19</v>
      </c>
      <c r="D154" s="7" t="s">
        <v>1986</v>
      </c>
      <c r="E154" s="7" t="s">
        <v>1987</v>
      </c>
      <c r="F154" s="7" t="s">
        <v>1988</v>
      </c>
      <c r="G154" s="7" t="s">
        <v>1512</v>
      </c>
      <c r="I154" s="7" t="s">
        <v>1746</v>
      </c>
      <c r="J154" s="7" t="s">
        <v>2081</v>
      </c>
    </row>
    <row r="155" spans="1:10">
      <c r="A155" s="7">
        <v>154</v>
      </c>
      <c r="B155" s="7" t="s">
        <v>1451</v>
      </c>
      <c r="C155" s="7" t="s">
        <v>19</v>
      </c>
      <c r="D155" s="7" t="s">
        <v>1989</v>
      </c>
      <c r="E155" s="7" t="s">
        <v>1990</v>
      </c>
      <c r="F155" s="7" t="s">
        <v>1991</v>
      </c>
      <c r="G155" s="7" t="s">
        <v>1512</v>
      </c>
      <c r="H155" s="7" t="s">
        <v>1992</v>
      </c>
      <c r="J155" s="7" t="s">
        <v>2081</v>
      </c>
    </row>
    <row r="156" spans="1:10">
      <c r="A156" s="7">
        <v>155</v>
      </c>
      <c r="B156" s="7" t="s">
        <v>1451</v>
      </c>
      <c r="C156" s="7" t="s">
        <v>19</v>
      </c>
      <c r="D156" s="7" t="s">
        <v>1993</v>
      </c>
      <c r="E156" s="7" t="s">
        <v>1994</v>
      </c>
      <c r="F156" s="7" t="s">
        <v>1995</v>
      </c>
      <c r="G156" s="7" t="s">
        <v>1501</v>
      </c>
      <c r="J156" s="7" t="s">
        <v>2081</v>
      </c>
    </row>
    <row r="157" spans="1:10">
      <c r="A157" s="7">
        <v>156</v>
      </c>
      <c r="B157" s="7" t="s">
        <v>1451</v>
      </c>
      <c r="C157" s="7" t="s">
        <v>19</v>
      </c>
      <c r="D157" s="7" t="s">
        <v>1996</v>
      </c>
      <c r="E157" s="7" t="s">
        <v>1997</v>
      </c>
      <c r="F157" s="7" t="s">
        <v>1998</v>
      </c>
      <c r="G157" s="7" t="s">
        <v>1496</v>
      </c>
      <c r="J157" s="7" t="s">
        <v>2081</v>
      </c>
    </row>
    <row r="158" spans="1:10">
      <c r="A158" s="7">
        <v>157</v>
      </c>
      <c r="B158" s="7" t="s">
        <v>1451</v>
      </c>
      <c r="C158" s="7" t="s">
        <v>19</v>
      </c>
      <c r="D158" s="7" t="s">
        <v>1999</v>
      </c>
      <c r="E158" s="7" t="s">
        <v>2000</v>
      </c>
      <c r="F158" s="7" t="s">
        <v>2001</v>
      </c>
      <c r="G158" s="7" t="s">
        <v>1464</v>
      </c>
      <c r="I158" s="7" t="s">
        <v>2002</v>
      </c>
      <c r="J158" s="7" t="s">
        <v>2081</v>
      </c>
    </row>
    <row r="159" spans="1:10">
      <c r="A159" s="7">
        <v>158</v>
      </c>
      <c r="B159" s="7" t="s">
        <v>1451</v>
      </c>
      <c r="C159" s="7" t="s">
        <v>19</v>
      </c>
      <c r="D159" s="7" t="s">
        <v>2003</v>
      </c>
      <c r="E159" s="7" t="s">
        <v>2004</v>
      </c>
      <c r="F159" s="7" t="s">
        <v>2005</v>
      </c>
      <c r="G159" s="7" t="s">
        <v>2006</v>
      </c>
      <c r="H159" s="7" t="s">
        <v>2007</v>
      </c>
      <c r="J159" s="7" t="s">
        <v>2081</v>
      </c>
    </row>
    <row r="160" spans="1:10">
      <c r="A160" s="7">
        <v>159</v>
      </c>
      <c r="B160" s="7" t="s">
        <v>1451</v>
      </c>
      <c r="C160" s="7" t="s">
        <v>19</v>
      </c>
      <c r="D160" s="7" t="s">
        <v>2008</v>
      </c>
      <c r="E160" s="7" t="s">
        <v>2009</v>
      </c>
      <c r="F160" s="7" t="s">
        <v>2010</v>
      </c>
      <c r="G160" s="7" t="s">
        <v>1512</v>
      </c>
      <c r="I160" s="7" t="s">
        <v>2011</v>
      </c>
      <c r="J160" s="7" t="s">
        <v>2081</v>
      </c>
    </row>
    <row r="161" spans="1:10">
      <c r="A161" s="7">
        <v>160</v>
      </c>
      <c r="B161" s="7" t="s">
        <v>1451</v>
      </c>
      <c r="C161" s="7" t="s">
        <v>19</v>
      </c>
      <c r="D161" s="7" t="s">
        <v>2012</v>
      </c>
      <c r="E161" s="7" t="s">
        <v>2013</v>
      </c>
      <c r="F161" s="7" t="s">
        <v>2014</v>
      </c>
      <c r="G161" s="7" t="s">
        <v>1519</v>
      </c>
      <c r="J161" s="7" t="s">
        <v>2081</v>
      </c>
    </row>
    <row r="162" spans="1:10">
      <c r="A162" s="7">
        <v>161</v>
      </c>
      <c r="B162" s="7" t="s">
        <v>1451</v>
      </c>
      <c r="C162" s="7" t="s">
        <v>19</v>
      </c>
      <c r="D162" s="7" t="s">
        <v>2015</v>
      </c>
      <c r="E162" s="7" t="s">
        <v>2016</v>
      </c>
      <c r="F162" s="7" t="s">
        <v>2017</v>
      </c>
      <c r="G162" s="7" t="s">
        <v>1512</v>
      </c>
      <c r="H162" s="7" t="s">
        <v>2018</v>
      </c>
      <c r="J162" s="7" t="s">
        <v>2081</v>
      </c>
    </row>
    <row r="163" spans="1:10">
      <c r="A163" s="7">
        <v>162</v>
      </c>
      <c r="B163" s="7" t="s">
        <v>1451</v>
      </c>
      <c r="C163" s="7" t="s">
        <v>19</v>
      </c>
      <c r="D163" s="7" t="s">
        <v>2019</v>
      </c>
      <c r="E163" s="7" t="s">
        <v>2020</v>
      </c>
      <c r="F163" s="7" t="s">
        <v>2021</v>
      </c>
      <c r="G163" s="7" t="s">
        <v>1477</v>
      </c>
      <c r="J163" s="7" t="s">
        <v>2081</v>
      </c>
    </row>
    <row r="164" spans="1:10">
      <c r="A164" s="7">
        <v>163</v>
      </c>
      <c r="B164" s="7" t="s">
        <v>1451</v>
      </c>
      <c r="C164" s="7" t="s">
        <v>19</v>
      </c>
      <c r="D164" s="7" t="s">
        <v>2022</v>
      </c>
      <c r="E164" s="7" t="s">
        <v>2023</v>
      </c>
      <c r="F164" s="7" t="s">
        <v>2024</v>
      </c>
      <c r="G164" s="7" t="s">
        <v>2025</v>
      </c>
      <c r="H164" s="7" t="s">
        <v>2026</v>
      </c>
      <c r="J164" s="7" t="s">
        <v>2081</v>
      </c>
    </row>
    <row r="165" spans="1:10">
      <c r="A165" s="7">
        <v>164</v>
      </c>
      <c r="B165" s="7" t="s">
        <v>1451</v>
      </c>
      <c r="C165" s="7" t="s">
        <v>19</v>
      </c>
      <c r="D165" s="7" t="s">
        <v>2027</v>
      </c>
      <c r="E165" s="7" t="s">
        <v>2028</v>
      </c>
      <c r="F165" s="7" t="s">
        <v>2029</v>
      </c>
      <c r="G165" s="7" t="s">
        <v>2030</v>
      </c>
      <c r="J165" s="7" t="s">
        <v>2081</v>
      </c>
    </row>
    <row r="166" spans="1:10">
      <c r="A166" s="7">
        <v>165</v>
      </c>
      <c r="B166" s="7" t="s">
        <v>1451</v>
      </c>
      <c r="C166" s="7" t="s">
        <v>19</v>
      </c>
      <c r="D166" s="7" t="s">
        <v>2031</v>
      </c>
      <c r="E166" s="7" t="s">
        <v>2032</v>
      </c>
      <c r="F166" s="7" t="s">
        <v>2033</v>
      </c>
      <c r="G166" s="7" t="s">
        <v>2030</v>
      </c>
      <c r="J166" s="7" t="s">
        <v>2081</v>
      </c>
    </row>
    <row r="167" spans="1:10">
      <c r="A167" s="7">
        <v>166</v>
      </c>
      <c r="B167" s="7" t="s">
        <v>1451</v>
      </c>
      <c r="C167" s="7" t="s">
        <v>19</v>
      </c>
      <c r="D167" s="7" t="s">
        <v>2034</v>
      </c>
      <c r="E167" s="7" t="s">
        <v>2035</v>
      </c>
      <c r="F167" s="7" t="s">
        <v>2036</v>
      </c>
      <c r="G167" s="7" t="s">
        <v>1674</v>
      </c>
      <c r="J167" s="7" t="s">
        <v>2081</v>
      </c>
    </row>
    <row r="168" spans="1:10">
      <c r="A168" s="7">
        <v>167</v>
      </c>
      <c r="B168" s="7" t="s">
        <v>1451</v>
      </c>
      <c r="C168" s="7" t="s">
        <v>19</v>
      </c>
      <c r="D168" s="7" t="s">
        <v>2037</v>
      </c>
      <c r="E168" s="7" t="s">
        <v>2038</v>
      </c>
      <c r="F168" s="7" t="s">
        <v>2039</v>
      </c>
      <c r="G168" s="7" t="s">
        <v>1464</v>
      </c>
      <c r="H168" s="7" t="s">
        <v>2040</v>
      </c>
      <c r="I168" s="7" t="s">
        <v>2041</v>
      </c>
      <c r="J168" s="7" t="s">
        <v>2081</v>
      </c>
    </row>
    <row r="169" spans="1:10">
      <c r="A169" s="7">
        <v>168</v>
      </c>
      <c r="B169" s="7" t="s">
        <v>1451</v>
      </c>
      <c r="C169" s="7" t="s">
        <v>19</v>
      </c>
      <c r="D169" s="7" t="s">
        <v>2042</v>
      </c>
      <c r="E169" s="7" t="s">
        <v>2043</v>
      </c>
      <c r="F169" s="7" t="s">
        <v>2044</v>
      </c>
      <c r="G169" s="7" t="s">
        <v>2045</v>
      </c>
      <c r="H169" s="7" t="s">
        <v>2046</v>
      </c>
      <c r="J169" s="7" t="s">
        <v>2081</v>
      </c>
    </row>
    <row r="170" spans="1:10">
      <c r="A170" s="7">
        <v>169</v>
      </c>
      <c r="B170" s="7" t="s">
        <v>1451</v>
      </c>
      <c r="C170" s="7" t="s">
        <v>19</v>
      </c>
      <c r="D170" s="7" t="s">
        <v>2047</v>
      </c>
      <c r="E170" s="7" t="s">
        <v>2048</v>
      </c>
      <c r="F170" s="7" t="s">
        <v>2049</v>
      </c>
      <c r="G170" s="7" t="s">
        <v>1508</v>
      </c>
      <c r="J170" s="7" t="s">
        <v>2081</v>
      </c>
    </row>
    <row r="171" spans="1:10">
      <c r="A171" s="7">
        <v>170</v>
      </c>
      <c r="B171" s="7" t="s">
        <v>1451</v>
      </c>
      <c r="C171" s="7" t="s">
        <v>19</v>
      </c>
      <c r="D171" s="7" t="s">
        <v>2050</v>
      </c>
      <c r="E171" s="7" t="s">
        <v>2051</v>
      </c>
      <c r="F171" s="7" t="s">
        <v>2052</v>
      </c>
      <c r="G171" s="7" t="s">
        <v>1464</v>
      </c>
      <c r="J171" s="7" t="s">
        <v>2081</v>
      </c>
    </row>
    <row r="172" spans="1:10">
      <c r="A172" s="7">
        <v>171</v>
      </c>
      <c r="B172" s="7" t="s">
        <v>1451</v>
      </c>
      <c r="C172" s="7" t="s">
        <v>19</v>
      </c>
      <c r="D172" s="7" t="s">
        <v>2053</v>
      </c>
      <c r="E172" s="7" t="s">
        <v>2054</v>
      </c>
      <c r="F172" s="7" t="s">
        <v>2055</v>
      </c>
      <c r="G172" s="7" t="s">
        <v>1496</v>
      </c>
      <c r="J172" s="7" t="s">
        <v>2081</v>
      </c>
    </row>
    <row r="173" spans="1:10">
      <c r="A173" s="7">
        <v>172</v>
      </c>
      <c r="B173" s="7" t="s">
        <v>1451</v>
      </c>
      <c r="C173" s="7" t="s">
        <v>19</v>
      </c>
      <c r="D173" s="7" t="s">
        <v>2056</v>
      </c>
      <c r="E173" s="7" t="s">
        <v>2057</v>
      </c>
      <c r="F173" s="7" t="s">
        <v>2058</v>
      </c>
      <c r="G173" s="7" t="s">
        <v>1496</v>
      </c>
      <c r="J173" s="7" t="s">
        <v>2081</v>
      </c>
    </row>
    <row r="174" spans="1:10">
      <c r="A174" s="7">
        <v>173</v>
      </c>
      <c r="B174" s="7" t="s">
        <v>1451</v>
      </c>
      <c r="C174" s="7" t="s">
        <v>19</v>
      </c>
      <c r="D174" s="7" t="s">
        <v>2059</v>
      </c>
      <c r="E174" s="7" t="s">
        <v>2060</v>
      </c>
      <c r="F174" s="7" t="s">
        <v>2061</v>
      </c>
      <c r="G174" s="7" t="s">
        <v>1469</v>
      </c>
      <c r="I174" s="7" t="s">
        <v>1460</v>
      </c>
      <c r="J174" s="7" t="s">
        <v>2081</v>
      </c>
    </row>
    <row r="175" spans="1:10">
      <c r="A175" s="7">
        <v>174</v>
      </c>
      <c r="B175" s="7" t="s">
        <v>1451</v>
      </c>
      <c r="C175" s="7" t="s">
        <v>19</v>
      </c>
      <c r="D175" s="7" t="s">
        <v>2062</v>
      </c>
      <c r="E175" s="7" t="s">
        <v>2063</v>
      </c>
      <c r="F175" s="7" t="s">
        <v>2064</v>
      </c>
      <c r="G175" s="7" t="s">
        <v>1512</v>
      </c>
      <c r="J175" s="7" t="s">
        <v>2081</v>
      </c>
    </row>
    <row r="176" spans="1:10">
      <c r="A176" s="7">
        <v>175</v>
      </c>
      <c r="B176" s="7" t="s">
        <v>1451</v>
      </c>
      <c r="C176" s="7" t="s">
        <v>19</v>
      </c>
      <c r="D176" s="7" t="s">
        <v>2065</v>
      </c>
      <c r="E176" s="7" t="s">
        <v>2066</v>
      </c>
      <c r="F176" s="7" t="s">
        <v>2067</v>
      </c>
      <c r="G176" s="7" t="s">
        <v>2068</v>
      </c>
      <c r="I176" s="7" t="s">
        <v>2069</v>
      </c>
      <c r="J176" s="7" t="s">
        <v>2081</v>
      </c>
    </row>
    <row r="177" spans="1:10">
      <c r="A177" s="7">
        <v>176</v>
      </c>
      <c r="B177" s="7" t="s">
        <v>1451</v>
      </c>
      <c r="C177" s="7" t="s">
        <v>19</v>
      </c>
      <c r="D177" s="7" t="s">
        <v>2070</v>
      </c>
      <c r="E177" s="7" t="s">
        <v>2071</v>
      </c>
      <c r="F177" s="7" t="s">
        <v>2072</v>
      </c>
      <c r="G177" s="7" t="s">
        <v>1455</v>
      </c>
      <c r="J177" s="7" t="s">
        <v>2081</v>
      </c>
    </row>
    <row r="178" spans="1:10">
      <c r="A178" s="7">
        <v>177</v>
      </c>
      <c r="B178" s="7" t="s">
        <v>1451</v>
      </c>
      <c r="C178" s="7" t="s">
        <v>19</v>
      </c>
      <c r="D178" s="7" t="s">
        <v>2073</v>
      </c>
      <c r="E178" s="7" t="s">
        <v>2074</v>
      </c>
      <c r="F178" s="7" t="s">
        <v>2075</v>
      </c>
      <c r="G178" s="7" t="s">
        <v>2076</v>
      </c>
      <c r="J178" s="7" t="s">
        <v>2081</v>
      </c>
    </row>
    <row r="179" spans="1:10">
      <c r="A179" s="7">
        <v>178</v>
      </c>
      <c r="B179" s="7" t="s">
        <v>1451</v>
      </c>
      <c r="C179" s="7" t="s">
        <v>19</v>
      </c>
      <c r="D179" s="7" t="s">
        <v>2077</v>
      </c>
      <c r="E179" s="7" t="s">
        <v>2078</v>
      </c>
      <c r="F179" s="7" t="s">
        <v>2079</v>
      </c>
      <c r="G179" s="7" t="s">
        <v>2080</v>
      </c>
      <c r="J179" s="7" t="s">
        <v>2081</v>
      </c>
    </row>
    <row r="180" spans="1:10">
      <c r="A180" s="7">
        <v>1</v>
      </c>
      <c r="B180" s="7" t="s">
        <v>1451</v>
      </c>
      <c r="C180" s="7" t="s">
        <v>19</v>
      </c>
      <c r="D180" s="7" t="s">
        <v>1452</v>
      </c>
      <c r="E180" s="7" t="s">
        <v>1453</v>
      </c>
      <c r="F180" s="7" t="s">
        <v>1454</v>
      </c>
      <c r="G180" s="7" t="s">
        <v>1455</v>
      </c>
      <c r="J180" s="7" t="s">
        <v>2133</v>
      </c>
    </row>
    <row r="181" spans="1:10">
      <c r="A181" s="7">
        <v>2</v>
      </c>
      <c r="B181" s="7" t="s">
        <v>1451</v>
      </c>
      <c r="C181" s="7" t="s">
        <v>19</v>
      </c>
      <c r="D181" s="7" t="s">
        <v>1456</v>
      </c>
      <c r="E181" s="7" t="s">
        <v>1457</v>
      </c>
      <c r="F181" s="7" t="s">
        <v>1458</v>
      </c>
      <c r="G181" s="7" t="s">
        <v>1459</v>
      </c>
      <c r="I181" s="7" t="s">
        <v>1460</v>
      </c>
      <c r="J181" s="7" t="s">
        <v>2133</v>
      </c>
    </row>
    <row r="182" spans="1:10">
      <c r="A182" s="7">
        <v>3</v>
      </c>
      <c r="B182" s="7" t="s">
        <v>1451</v>
      </c>
      <c r="C182" s="7" t="s">
        <v>19</v>
      </c>
      <c r="D182" s="7" t="s">
        <v>1466</v>
      </c>
      <c r="E182" s="7" t="s">
        <v>1467</v>
      </c>
      <c r="F182" s="7" t="s">
        <v>1468</v>
      </c>
      <c r="G182" s="7" t="s">
        <v>1469</v>
      </c>
      <c r="I182" s="7" t="s">
        <v>1470</v>
      </c>
      <c r="J182" s="7" t="s">
        <v>2133</v>
      </c>
    </row>
    <row r="183" spans="1:10">
      <c r="A183" s="7">
        <v>4</v>
      </c>
      <c r="B183" s="7" t="s">
        <v>1451</v>
      </c>
      <c r="C183" s="7" t="s">
        <v>19</v>
      </c>
      <c r="D183" s="7" t="s">
        <v>1471</v>
      </c>
      <c r="E183" s="7" t="s">
        <v>1472</v>
      </c>
      <c r="F183" s="7" t="s">
        <v>1468</v>
      </c>
      <c r="G183" s="7" t="s">
        <v>1473</v>
      </c>
      <c r="I183" s="7" t="s">
        <v>1460</v>
      </c>
      <c r="J183" s="7" t="s">
        <v>2133</v>
      </c>
    </row>
    <row r="184" spans="1:10">
      <c r="A184" s="7">
        <v>5</v>
      </c>
      <c r="B184" s="7" t="s">
        <v>1451</v>
      </c>
      <c r="C184" s="7" t="s">
        <v>19</v>
      </c>
      <c r="D184" s="7" t="s">
        <v>1478</v>
      </c>
      <c r="E184" s="7" t="s">
        <v>1479</v>
      </c>
      <c r="F184" s="7" t="s">
        <v>1480</v>
      </c>
      <c r="G184" s="7" t="s">
        <v>1481</v>
      </c>
      <c r="J184" s="7" t="s">
        <v>2133</v>
      </c>
    </row>
    <row r="185" spans="1:10">
      <c r="A185" s="7">
        <v>6</v>
      </c>
      <c r="B185" s="7" t="s">
        <v>1451</v>
      </c>
      <c r="C185" s="7" t="s">
        <v>19</v>
      </c>
      <c r="D185" s="7" t="s">
        <v>1482</v>
      </c>
      <c r="E185" s="7" t="s">
        <v>1483</v>
      </c>
      <c r="F185" s="7" t="s">
        <v>1484</v>
      </c>
      <c r="G185" s="7" t="s">
        <v>1485</v>
      </c>
      <c r="J185" s="7" t="s">
        <v>2133</v>
      </c>
    </row>
    <row r="186" spans="1:10">
      <c r="A186" s="7">
        <v>7</v>
      </c>
      <c r="B186" s="7" t="s">
        <v>1451</v>
      </c>
      <c r="C186" s="7" t="s">
        <v>19</v>
      </c>
      <c r="D186" s="7" t="s">
        <v>2082</v>
      </c>
      <c r="E186" s="7" t="s">
        <v>2083</v>
      </c>
      <c r="F186" s="7" t="s">
        <v>2084</v>
      </c>
      <c r="G186" s="7" t="s">
        <v>1501</v>
      </c>
      <c r="I186" s="7" t="s">
        <v>2085</v>
      </c>
      <c r="J186" s="7" t="s">
        <v>2133</v>
      </c>
    </row>
    <row r="187" spans="1:10">
      <c r="A187" s="7">
        <v>8</v>
      </c>
      <c r="B187" s="7" t="s">
        <v>1451</v>
      </c>
      <c r="C187" s="7" t="s">
        <v>19</v>
      </c>
      <c r="D187" s="7" t="s">
        <v>1486</v>
      </c>
      <c r="E187" s="7" t="s">
        <v>1487</v>
      </c>
      <c r="F187" s="7" t="s">
        <v>1488</v>
      </c>
      <c r="G187" s="7" t="s">
        <v>1469</v>
      </c>
      <c r="J187" s="7" t="s">
        <v>2133</v>
      </c>
    </row>
    <row r="188" spans="1:10">
      <c r="A188" s="7">
        <v>9</v>
      </c>
      <c r="B188" s="7" t="s">
        <v>1451</v>
      </c>
      <c r="C188" s="7" t="s">
        <v>19</v>
      </c>
      <c r="D188" s="7" t="s">
        <v>2086</v>
      </c>
      <c r="E188" s="7" t="s">
        <v>2087</v>
      </c>
      <c r="F188" s="7" t="s">
        <v>2088</v>
      </c>
      <c r="G188" s="7" t="s">
        <v>1496</v>
      </c>
      <c r="J188" s="7" t="s">
        <v>2133</v>
      </c>
    </row>
    <row r="189" spans="1:10">
      <c r="A189" s="7">
        <v>10</v>
      </c>
      <c r="B189" s="7" t="s">
        <v>1451</v>
      </c>
      <c r="C189" s="7" t="s">
        <v>19</v>
      </c>
      <c r="D189" s="7" t="s">
        <v>2089</v>
      </c>
      <c r="E189" s="7" t="s">
        <v>2090</v>
      </c>
      <c r="F189" s="7" t="s">
        <v>2091</v>
      </c>
      <c r="G189" s="7" t="s">
        <v>1469</v>
      </c>
      <c r="I189" s="7" t="s">
        <v>2092</v>
      </c>
      <c r="J189" s="7" t="s">
        <v>2133</v>
      </c>
    </row>
    <row r="190" spans="1:10">
      <c r="A190" s="7">
        <v>11</v>
      </c>
      <c r="B190" s="7" t="s">
        <v>1451</v>
      </c>
      <c r="C190" s="7" t="s">
        <v>19</v>
      </c>
      <c r="D190" s="7" t="s">
        <v>1489</v>
      </c>
      <c r="E190" s="7" t="s">
        <v>1490</v>
      </c>
      <c r="F190" s="7" t="s">
        <v>1491</v>
      </c>
      <c r="G190" s="7" t="s">
        <v>1492</v>
      </c>
      <c r="J190" s="7" t="s">
        <v>2133</v>
      </c>
    </row>
    <row r="191" spans="1:10">
      <c r="A191" s="7">
        <v>12</v>
      </c>
      <c r="B191" s="7" t="s">
        <v>1451</v>
      </c>
      <c r="C191" s="7" t="s">
        <v>19</v>
      </c>
      <c r="D191" s="7" t="s">
        <v>1493</v>
      </c>
      <c r="E191" s="7" t="s">
        <v>1494</v>
      </c>
      <c r="F191" s="7" t="s">
        <v>1495</v>
      </c>
      <c r="G191" s="7" t="s">
        <v>1496</v>
      </c>
      <c r="H191" s="7" t="s">
        <v>1497</v>
      </c>
      <c r="J191" s="7" t="s">
        <v>2133</v>
      </c>
    </row>
    <row r="192" spans="1:10">
      <c r="A192" s="7">
        <v>13</v>
      </c>
      <c r="B192" s="7" t="s">
        <v>1451</v>
      </c>
      <c r="C192" s="7" t="s">
        <v>19</v>
      </c>
      <c r="D192" s="7" t="s">
        <v>1502</v>
      </c>
      <c r="E192" s="7" t="s">
        <v>1503</v>
      </c>
      <c r="F192" s="7" t="s">
        <v>1504</v>
      </c>
      <c r="G192" s="7" t="s">
        <v>1496</v>
      </c>
      <c r="J192" s="7" t="s">
        <v>2133</v>
      </c>
    </row>
    <row r="193" spans="1:10">
      <c r="A193" s="7">
        <v>14</v>
      </c>
      <c r="B193" s="7" t="s">
        <v>1451</v>
      </c>
      <c r="C193" s="7" t="s">
        <v>19</v>
      </c>
      <c r="D193" s="7" t="s">
        <v>1505</v>
      </c>
      <c r="E193" s="7" t="s">
        <v>1506</v>
      </c>
      <c r="F193" s="7" t="s">
        <v>1507</v>
      </c>
      <c r="G193" s="7" t="s">
        <v>1508</v>
      </c>
      <c r="J193" s="7" t="s">
        <v>2133</v>
      </c>
    </row>
    <row r="194" spans="1:10">
      <c r="A194" s="7">
        <v>15</v>
      </c>
      <c r="B194" s="7" t="s">
        <v>1451</v>
      </c>
      <c r="C194" s="7" t="s">
        <v>19</v>
      </c>
      <c r="D194" s="7" t="s">
        <v>1509</v>
      </c>
      <c r="E194" s="7" t="s">
        <v>1510</v>
      </c>
      <c r="F194" s="7" t="s">
        <v>1511</v>
      </c>
      <c r="G194" s="7" t="s">
        <v>1512</v>
      </c>
      <c r="J194" s="7" t="s">
        <v>2133</v>
      </c>
    </row>
    <row r="195" spans="1:10">
      <c r="A195" s="7">
        <v>16</v>
      </c>
      <c r="B195" s="7" t="s">
        <v>1451</v>
      </c>
      <c r="C195" s="7" t="s">
        <v>19</v>
      </c>
      <c r="D195" s="7" t="s">
        <v>1536</v>
      </c>
      <c r="E195" s="7" t="s">
        <v>1537</v>
      </c>
      <c r="F195" s="7" t="s">
        <v>1538</v>
      </c>
      <c r="G195" s="7" t="s">
        <v>1527</v>
      </c>
      <c r="H195" s="7" t="s">
        <v>1539</v>
      </c>
      <c r="J195" s="7" t="s">
        <v>2133</v>
      </c>
    </row>
    <row r="196" spans="1:10">
      <c r="A196" s="7">
        <v>17</v>
      </c>
      <c r="B196" s="7" t="s">
        <v>1451</v>
      </c>
      <c r="C196" s="7" t="s">
        <v>19</v>
      </c>
      <c r="D196" s="7" t="s">
        <v>1546</v>
      </c>
      <c r="E196" s="7" t="s">
        <v>1547</v>
      </c>
      <c r="F196" s="7" t="s">
        <v>1548</v>
      </c>
      <c r="G196" s="7" t="s">
        <v>1549</v>
      </c>
      <c r="H196" s="7" t="s">
        <v>1550</v>
      </c>
      <c r="J196" s="7" t="s">
        <v>2133</v>
      </c>
    </row>
    <row r="197" spans="1:10">
      <c r="A197" s="7">
        <v>18</v>
      </c>
      <c r="B197" s="7" t="s">
        <v>1451</v>
      </c>
      <c r="C197" s="7" t="s">
        <v>19</v>
      </c>
      <c r="D197" s="7" t="s">
        <v>1551</v>
      </c>
      <c r="E197" s="7" t="s">
        <v>1552</v>
      </c>
      <c r="F197" s="7" t="s">
        <v>1553</v>
      </c>
      <c r="G197" s="7" t="s">
        <v>1554</v>
      </c>
      <c r="J197" s="7" t="s">
        <v>2133</v>
      </c>
    </row>
    <row r="198" spans="1:10">
      <c r="A198" s="7">
        <v>19</v>
      </c>
      <c r="B198" s="7" t="s">
        <v>1451</v>
      </c>
      <c r="C198" s="7" t="s">
        <v>19</v>
      </c>
      <c r="D198" s="7" t="s">
        <v>1555</v>
      </c>
      <c r="E198" s="7" t="s">
        <v>1556</v>
      </c>
      <c r="F198" s="7" t="s">
        <v>1557</v>
      </c>
      <c r="G198" s="7" t="s">
        <v>1558</v>
      </c>
      <c r="J198" s="7" t="s">
        <v>2133</v>
      </c>
    </row>
    <row r="199" spans="1:10">
      <c r="A199" s="7">
        <v>20</v>
      </c>
      <c r="B199" s="7" t="s">
        <v>1451</v>
      </c>
      <c r="C199" s="7" t="s">
        <v>19</v>
      </c>
      <c r="D199" s="7" t="s">
        <v>1559</v>
      </c>
      <c r="E199" s="7" t="s">
        <v>1560</v>
      </c>
      <c r="F199" s="7" t="s">
        <v>1561</v>
      </c>
      <c r="G199" s="7" t="s">
        <v>1558</v>
      </c>
      <c r="H199" s="7" t="s">
        <v>1562</v>
      </c>
      <c r="I199" s="7" t="s">
        <v>1460</v>
      </c>
      <c r="J199" s="7" t="s">
        <v>2133</v>
      </c>
    </row>
    <row r="200" spans="1:10">
      <c r="A200" s="7">
        <v>21</v>
      </c>
      <c r="B200" s="7" t="s">
        <v>1451</v>
      </c>
      <c r="C200" s="7" t="s">
        <v>19</v>
      </c>
      <c r="D200" s="7" t="s">
        <v>1563</v>
      </c>
      <c r="E200" s="7" t="s">
        <v>1564</v>
      </c>
      <c r="F200" s="7" t="s">
        <v>1557</v>
      </c>
      <c r="G200" s="7" t="s">
        <v>1565</v>
      </c>
      <c r="J200" s="7" t="s">
        <v>2133</v>
      </c>
    </row>
    <row r="201" spans="1:10">
      <c r="A201" s="7">
        <v>22</v>
      </c>
      <c r="B201" s="7" t="s">
        <v>1451</v>
      </c>
      <c r="C201" s="7" t="s">
        <v>19</v>
      </c>
      <c r="D201" s="7" t="s">
        <v>1572</v>
      </c>
      <c r="E201" s="7" t="s">
        <v>1573</v>
      </c>
      <c r="F201" s="7" t="s">
        <v>1574</v>
      </c>
      <c r="G201" s="7" t="s">
        <v>1575</v>
      </c>
      <c r="J201" s="7" t="s">
        <v>2133</v>
      </c>
    </row>
    <row r="202" spans="1:10">
      <c r="A202" s="7">
        <v>23</v>
      </c>
      <c r="B202" s="7" t="s">
        <v>1451</v>
      </c>
      <c r="C202" s="7" t="s">
        <v>19</v>
      </c>
      <c r="D202" s="7" t="s">
        <v>1576</v>
      </c>
      <c r="E202" s="7" t="s">
        <v>1577</v>
      </c>
      <c r="F202" s="7" t="s">
        <v>1578</v>
      </c>
      <c r="G202" s="7" t="s">
        <v>1459</v>
      </c>
      <c r="J202" s="7" t="s">
        <v>2133</v>
      </c>
    </row>
    <row r="203" spans="1:10">
      <c r="A203" s="7">
        <v>24</v>
      </c>
      <c r="B203" s="7" t="s">
        <v>1451</v>
      </c>
      <c r="C203" s="7" t="s">
        <v>19</v>
      </c>
      <c r="D203" s="7" t="s">
        <v>1579</v>
      </c>
      <c r="E203" s="7" t="s">
        <v>1580</v>
      </c>
      <c r="F203" s="7" t="s">
        <v>1581</v>
      </c>
      <c r="G203" s="7" t="s">
        <v>1512</v>
      </c>
      <c r="I203" s="7" t="s">
        <v>1582</v>
      </c>
      <c r="J203" s="7" t="s">
        <v>2133</v>
      </c>
    </row>
    <row r="204" spans="1:10">
      <c r="A204" s="7">
        <v>25</v>
      </c>
      <c r="B204" s="7" t="s">
        <v>1451</v>
      </c>
      <c r="C204" s="7" t="s">
        <v>19</v>
      </c>
      <c r="D204" s="7" t="s">
        <v>1583</v>
      </c>
      <c r="E204" s="7" t="s">
        <v>1584</v>
      </c>
      <c r="F204" s="7" t="s">
        <v>1585</v>
      </c>
      <c r="G204" s="7" t="s">
        <v>1512</v>
      </c>
      <c r="J204" s="7" t="s">
        <v>2133</v>
      </c>
    </row>
    <row r="205" spans="1:10">
      <c r="A205" s="7">
        <v>26</v>
      </c>
      <c r="B205" s="7" t="s">
        <v>1451</v>
      </c>
      <c r="C205" s="7" t="s">
        <v>19</v>
      </c>
      <c r="D205" s="7" t="s">
        <v>1586</v>
      </c>
      <c r="E205" s="7" t="s">
        <v>1587</v>
      </c>
      <c r="F205" s="7" t="s">
        <v>1588</v>
      </c>
      <c r="G205" s="7" t="s">
        <v>1477</v>
      </c>
      <c r="J205" s="7" t="s">
        <v>2133</v>
      </c>
    </row>
    <row r="206" spans="1:10">
      <c r="A206" s="7">
        <v>27</v>
      </c>
      <c r="B206" s="7" t="s">
        <v>1451</v>
      </c>
      <c r="C206" s="7" t="s">
        <v>19</v>
      </c>
      <c r="D206" s="7" t="s">
        <v>1592</v>
      </c>
      <c r="E206" s="7" t="s">
        <v>1593</v>
      </c>
      <c r="F206" s="7" t="s">
        <v>1594</v>
      </c>
      <c r="G206" s="7" t="s">
        <v>1512</v>
      </c>
      <c r="J206" s="7" t="s">
        <v>2133</v>
      </c>
    </row>
    <row r="207" spans="1:10">
      <c r="A207" s="7">
        <v>28</v>
      </c>
      <c r="B207" s="7" t="s">
        <v>1451</v>
      </c>
      <c r="C207" s="7" t="s">
        <v>19</v>
      </c>
      <c r="D207" s="7" t="s">
        <v>1599</v>
      </c>
      <c r="E207" s="7" t="s">
        <v>1600</v>
      </c>
      <c r="F207" s="7" t="s">
        <v>1601</v>
      </c>
      <c r="G207" s="7" t="s">
        <v>1598</v>
      </c>
      <c r="H207" s="7" t="s">
        <v>1602</v>
      </c>
      <c r="J207" s="7" t="s">
        <v>2133</v>
      </c>
    </row>
    <row r="208" spans="1:10">
      <c r="A208" s="7">
        <v>29</v>
      </c>
      <c r="B208" s="7" t="s">
        <v>1451</v>
      </c>
      <c r="C208" s="7" t="s">
        <v>19</v>
      </c>
      <c r="D208" s="7" t="s">
        <v>1603</v>
      </c>
      <c r="E208" s="7" t="s">
        <v>1604</v>
      </c>
      <c r="F208" s="7" t="s">
        <v>1605</v>
      </c>
      <c r="G208" s="7" t="s">
        <v>1464</v>
      </c>
      <c r="H208" s="7" t="s">
        <v>1606</v>
      </c>
      <c r="J208" s="7" t="s">
        <v>2133</v>
      </c>
    </row>
    <row r="209" spans="1:10">
      <c r="A209" s="7">
        <v>30</v>
      </c>
      <c r="B209" s="7" t="s">
        <v>1451</v>
      </c>
      <c r="C209" s="7" t="s">
        <v>19</v>
      </c>
      <c r="D209" s="7" t="s">
        <v>1621</v>
      </c>
      <c r="E209" s="7" t="s">
        <v>1622</v>
      </c>
      <c r="F209" s="7" t="s">
        <v>1623</v>
      </c>
      <c r="G209" s="7" t="s">
        <v>1575</v>
      </c>
      <c r="I209" s="7" t="s">
        <v>1624</v>
      </c>
      <c r="J209" s="7" t="s">
        <v>2133</v>
      </c>
    </row>
    <row r="210" spans="1:10">
      <c r="A210" s="7">
        <v>31</v>
      </c>
      <c r="B210" s="7" t="s">
        <v>1451</v>
      </c>
      <c r="C210" s="7" t="s">
        <v>19</v>
      </c>
      <c r="D210" s="7" t="s">
        <v>1625</v>
      </c>
      <c r="E210" s="7" t="s">
        <v>1626</v>
      </c>
      <c r="F210" s="7" t="s">
        <v>1627</v>
      </c>
      <c r="G210" s="7" t="s">
        <v>1575</v>
      </c>
      <c r="J210" s="7" t="s">
        <v>2133</v>
      </c>
    </row>
    <row r="211" spans="1:10">
      <c r="A211" s="7">
        <v>32</v>
      </c>
      <c r="B211" s="7" t="s">
        <v>1451</v>
      </c>
      <c r="C211" s="7" t="s">
        <v>19</v>
      </c>
      <c r="D211" s="7" t="s">
        <v>1628</v>
      </c>
      <c r="E211" s="7" t="s">
        <v>1629</v>
      </c>
      <c r="F211" s="7" t="s">
        <v>1630</v>
      </c>
      <c r="G211" s="7" t="s">
        <v>1575</v>
      </c>
      <c r="I211" s="7" t="s">
        <v>1631</v>
      </c>
      <c r="J211" s="7" t="s">
        <v>2133</v>
      </c>
    </row>
    <row r="212" spans="1:10">
      <c r="A212" s="7">
        <v>33</v>
      </c>
      <c r="B212" s="7" t="s">
        <v>1451</v>
      </c>
      <c r="C212" s="7" t="s">
        <v>19</v>
      </c>
      <c r="D212" s="7" t="s">
        <v>1632</v>
      </c>
      <c r="E212" s="7" t="s">
        <v>1629</v>
      </c>
      <c r="F212" s="7" t="s">
        <v>1633</v>
      </c>
      <c r="G212" s="7" t="s">
        <v>1575</v>
      </c>
      <c r="J212" s="7" t="s">
        <v>2133</v>
      </c>
    </row>
    <row r="213" spans="1:10">
      <c r="A213" s="7">
        <v>34</v>
      </c>
      <c r="B213" s="7" t="s">
        <v>1451</v>
      </c>
      <c r="C213" s="7" t="s">
        <v>19</v>
      </c>
      <c r="D213" s="7" t="s">
        <v>1634</v>
      </c>
      <c r="E213" s="7" t="s">
        <v>1629</v>
      </c>
      <c r="F213" s="7" t="s">
        <v>1635</v>
      </c>
      <c r="G213" s="7" t="s">
        <v>1512</v>
      </c>
      <c r="J213" s="7" t="s">
        <v>2133</v>
      </c>
    </row>
    <row r="214" spans="1:10">
      <c r="A214" s="7">
        <v>35</v>
      </c>
      <c r="B214" s="7" t="s">
        <v>1451</v>
      </c>
      <c r="C214" s="7" t="s">
        <v>19</v>
      </c>
      <c r="D214" s="7" t="s">
        <v>1636</v>
      </c>
      <c r="E214" s="7" t="s">
        <v>1637</v>
      </c>
      <c r="F214" s="7" t="s">
        <v>1638</v>
      </c>
      <c r="G214" s="7" t="s">
        <v>1512</v>
      </c>
      <c r="H214" s="7" t="s">
        <v>1639</v>
      </c>
      <c r="I214" s="7" t="s">
        <v>1640</v>
      </c>
      <c r="J214" s="7" t="s">
        <v>2133</v>
      </c>
    </row>
    <row r="215" spans="1:10">
      <c r="A215" s="7">
        <v>36</v>
      </c>
      <c r="B215" s="7" t="s">
        <v>1451</v>
      </c>
      <c r="C215" s="7" t="s">
        <v>19</v>
      </c>
      <c r="D215" s="7" t="s">
        <v>2093</v>
      </c>
      <c r="E215" s="7" t="s">
        <v>2094</v>
      </c>
      <c r="F215" s="7" t="s">
        <v>2095</v>
      </c>
      <c r="G215" s="7" t="s">
        <v>1549</v>
      </c>
      <c r="J215" s="7" t="s">
        <v>2133</v>
      </c>
    </row>
    <row r="216" spans="1:10">
      <c r="A216" s="7">
        <v>37</v>
      </c>
      <c r="B216" s="7" t="s">
        <v>1451</v>
      </c>
      <c r="C216" s="7" t="s">
        <v>19</v>
      </c>
      <c r="D216" s="7" t="s">
        <v>1657</v>
      </c>
      <c r="E216" s="7" t="s">
        <v>1658</v>
      </c>
      <c r="F216" s="7" t="s">
        <v>1659</v>
      </c>
      <c r="G216" s="7" t="s">
        <v>1575</v>
      </c>
      <c r="J216" s="7" t="s">
        <v>2133</v>
      </c>
    </row>
    <row r="217" spans="1:10">
      <c r="A217" s="7">
        <v>38</v>
      </c>
      <c r="B217" s="7" t="s">
        <v>1451</v>
      </c>
      <c r="C217" s="7" t="s">
        <v>19</v>
      </c>
      <c r="D217" s="7" t="s">
        <v>1663</v>
      </c>
      <c r="E217" s="7" t="s">
        <v>1664</v>
      </c>
      <c r="F217" s="7" t="s">
        <v>1665</v>
      </c>
      <c r="G217" s="7" t="s">
        <v>1575</v>
      </c>
      <c r="I217" s="7" t="s">
        <v>1666</v>
      </c>
      <c r="J217" s="7" t="s">
        <v>2133</v>
      </c>
    </row>
    <row r="218" spans="1:10">
      <c r="A218" s="7">
        <v>39</v>
      </c>
      <c r="B218" s="7" t="s">
        <v>1451</v>
      </c>
      <c r="C218" s="7" t="s">
        <v>19</v>
      </c>
      <c r="D218" s="7" t="s">
        <v>1667</v>
      </c>
      <c r="E218" s="7" t="s">
        <v>1668</v>
      </c>
      <c r="F218" s="7" t="s">
        <v>1669</v>
      </c>
      <c r="G218" s="7" t="s">
        <v>1575</v>
      </c>
      <c r="I218" s="7" t="s">
        <v>1670</v>
      </c>
      <c r="J218" s="7" t="s">
        <v>2133</v>
      </c>
    </row>
    <row r="219" spans="1:10">
      <c r="A219" s="7">
        <v>40</v>
      </c>
      <c r="B219" s="7" t="s">
        <v>1451</v>
      </c>
      <c r="C219" s="7" t="s">
        <v>19</v>
      </c>
      <c r="D219" s="7" t="s">
        <v>1681</v>
      </c>
      <c r="E219" s="7" t="s">
        <v>1682</v>
      </c>
      <c r="F219" s="7" t="s">
        <v>1683</v>
      </c>
      <c r="G219" s="7" t="s">
        <v>1575</v>
      </c>
      <c r="J219" s="7" t="s">
        <v>2133</v>
      </c>
    </row>
    <row r="220" spans="1:10">
      <c r="A220" s="7">
        <v>41</v>
      </c>
      <c r="B220" s="7" t="s">
        <v>1451</v>
      </c>
      <c r="C220" s="7" t="s">
        <v>19</v>
      </c>
      <c r="D220" s="7" t="s">
        <v>1698</v>
      </c>
      <c r="E220" s="7" t="s">
        <v>1699</v>
      </c>
      <c r="F220" s="7" t="s">
        <v>1700</v>
      </c>
      <c r="G220" s="7" t="s">
        <v>1519</v>
      </c>
      <c r="H220" s="7" t="s">
        <v>1701</v>
      </c>
      <c r="I220" s="7" t="s">
        <v>1702</v>
      </c>
      <c r="J220" s="7" t="s">
        <v>2133</v>
      </c>
    </row>
    <row r="221" spans="1:10">
      <c r="A221" s="7">
        <v>42</v>
      </c>
      <c r="B221" s="7" t="s">
        <v>1451</v>
      </c>
      <c r="C221" s="7" t="s">
        <v>19</v>
      </c>
      <c r="D221" s="7" t="s">
        <v>1703</v>
      </c>
      <c r="E221" s="7" t="s">
        <v>1704</v>
      </c>
      <c r="F221" s="7" t="s">
        <v>1705</v>
      </c>
      <c r="G221" s="7" t="s">
        <v>1512</v>
      </c>
      <c r="J221" s="7" t="s">
        <v>2133</v>
      </c>
    </row>
    <row r="222" spans="1:10">
      <c r="A222" s="7">
        <v>43</v>
      </c>
      <c r="B222" s="7" t="s">
        <v>1451</v>
      </c>
      <c r="C222" s="7" t="s">
        <v>19</v>
      </c>
      <c r="D222" s="7" t="s">
        <v>1706</v>
      </c>
      <c r="E222" s="7" t="s">
        <v>1707</v>
      </c>
      <c r="F222" s="7" t="s">
        <v>1708</v>
      </c>
      <c r="G222" s="7" t="s">
        <v>1674</v>
      </c>
      <c r="I222" s="7" t="s">
        <v>1709</v>
      </c>
      <c r="J222" s="7" t="s">
        <v>2133</v>
      </c>
    </row>
    <row r="223" spans="1:10">
      <c r="A223" s="7">
        <v>44</v>
      </c>
      <c r="B223" s="7" t="s">
        <v>1451</v>
      </c>
      <c r="C223" s="7" t="s">
        <v>19</v>
      </c>
      <c r="D223" s="7" t="s">
        <v>1740</v>
      </c>
      <c r="E223" s="7" t="s">
        <v>1741</v>
      </c>
      <c r="F223" s="7" t="s">
        <v>1742</v>
      </c>
      <c r="G223" s="7" t="s">
        <v>1512</v>
      </c>
      <c r="J223" s="7" t="s">
        <v>2133</v>
      </c>
    </row>
    <row r="224" spans="1:10">
      <c r="A224" s="7">
        <v>45</v>
      </c>
      <c r="B224" s="7" t="s">
        <v>1451</v>
      </c>
      <c r="C224" s="7" t="s">
        <v>19</v>
      </c>
      <c r="D224" s="7" t="s">
        <v>1743</v>
      </c>
      <c r="E224" s="7" t="s">
        <v>1744</v>
      </c>
      <c r="F224" s="7" t="s">
        <v>1745</v>
      </c>
      <c r="G224" s="7" t="s">
        <v>1512</v>
      </c>
      <c r="I224" s="7" t="s">
        <v>1746</v>
      </c>
      <c r="J224" s="7" t="s">
        <v>2133</v>
      </c>
    </row>
    <row r="225" spans="1:10">
      <c r="A225" s="7">
        <v>46</v>
      </c>
      <c r="B225" s="7" t="s">
        <v>1451</v>
      </c>
      <c r="C225" s="7" t="s">
        <v>19</v>
      </c>
      <c r="D225" s="7" t="s">
        <v>1753</v>
      </c>
      <c r="E225" s="7" t="s">
        <v>1754</v>
      </c>
      <c r="F225" s="7" t="s">
        <v>1755</v>
      </c>
      <c r="G225" s="7" t="s">
        <v>1477</v>
      </c>
      <c r="I225" s="7" t="s">
        <v>1756</v>
      </c>
      <c r="J225" s="7" t="s">
        <v>2133</v>
      </c>
    </row>
    <row r="226" spans="1:10">
      <c r="A226" s="7">
        <v>47</v>
      </c>
      <c r="B226" s="7" t="s">
        <v>1451</v>
      </c>
      <c r="C226" s="7" t="s">
        <v>19</v>
      </c>
      <c r="D226" s="7" t="s">
        <v>1757</v>
      </c>
      <c r="E226" s="7" t="s">
        <v>1758</v>
      </c>
      <c r="F226" s="7" t="s">
        <v>1759</v>
      </c>
      <c r="G226" s="7" t="s">
        <v>1575</v>
      </c>
      <c r="J226" s="7" t="s">
        <v>2133</v>
      </c>
    </row>
    <row r="227" spans="1:10">
      <c r="A227" s="7">
        <v>48</v>
      </c>
      <c r="B227" s="7" t="s">
        <v>1451</v>
      </c>
      <c r="C227" s="7" t="s">
        <v>19</v>
      </c>
      <c r="D227" s="7" t="s">
        <v>1773</v>
      </c>
      <c r="E227" s="7" t="s">
        <v>1774</v>
      </c>
      <c r="F227" s="7" t="s">
        <v>1775</v>
      </c>
      <c r="G227" s="7" t="s">
        <v>1674</v>
      </c>
      <c r="J227" s="7" t="s">
        <v>2133</v>
      </c>
    </row>
    <row r="228" spans="1:10">
      <c r="A228" s="7">
        <v>49</v>
      </c>
      <c r="B228" s="7" t="s">
        <v>1451</v>
      </c>
      <c r="C228" s="7" t="s">
        <v>19</v>
      </c>
      <c r="D228" s="7" t="s">
        <v>1776</v>
      </c>
      <c r="E228" s="7" t="s">
        <v>1777</v>
      </c>
      <c r="F228" s="7" t="s">
        <v>1778</v>
      </c>
      <c r="G228" s="7" t="s">
        <v>1464</v>
      </c>
      <c r="I228" s="7" t="s">
        <v>1779</v>
      </c>
      <c r="J228" s="7" t="s">
        <v>2133</v>
      </c>
    </row>
    <row r="229" spans="1:10">
      <c r="A229" s="7">
        <v>50</v>
      </c>
      <c r="B229" s="7" t="s">
        <v>1451</v>
      </c>
      <c r="C229" s="7" t="s">
        <v>19</v>
      </c>
      <c r="D229" s="7" t="s">
        <v>1789</v>
      </c>
      <c r="E229" s="7" t="s">
        <v>1790</v>
      </c>
      <c r="F229" s="7" t="s">
        <v>1791</v>
      </c>
      <c r="G229" s="7" t="s">
        <v>1464</v>
      </c>
      <c r="J229" s="7" t="s">
        <v>2133</v>
      </c>
    </row>
    <row r="230" spans="1:10">
      <c r="A230" s="7">
        <v>51</v>
      </c>
      <c r="B230" s="7" t="s">
        <v>1451</v>
      </c>
      <c r="C230" s="7" t="s">
        <v>19</v>
      </c>
      <c r="D230" s="7" t="s">
        <v>1806</v>
      </c>
      <c r="E230" s="7" t="s">
        <v>1807</v>
      </c>
      <c r="F230" s="7" t="s">
        <v>1808</v>
      </c>
      <c r="G230" s="7" t="s">
        <v>1512</v>
      </c>
      <c r="J230" s="7" t="s">
        <v>2133</v>
      </c>
    </row>
    <row r="231" spans="1:10">
      <c r="A231" s="7">
        <v>52</v>
      </c>
      <c r="B231" s="7" t="s">
        <v>1451</v>
      </c>
      <c r="C231" s="7" t="s">
        <v>19</v>
      </c>
      <c r="D231" s="7" t="s">
        <v>1809</v>
      </c>
      <c r="E231" s="7" t="s">
        <v>1810</v>
      </c>
      <c r="F231" s="7" t="s">
        <v>1811</v>
      </c>
      <c r="G231" s="7" t="s">
        <v>1719</v>
      </c>
      <c r="J231" s="7" t="s">
        <v>2133</v>
      </c>
    </row>
    <row r="232" spans="1:10">
      <c r="A232" s="7">
        <v>53</v>
      </c>
      <c r="B232" s="7" t="s">
        <v>1451</v>
      </c>
      <c r="C232" s="7" t="s">
        <v>19</v>
      </c>
      <c r="D232" s="7" t="s">
        <v>1812</v>
      </c>
      <c r="E232" s="7" t="s">
        <v>1813</v>
      </c>
      <c r="F232" s="7" t="s">
        <v>1814</v>
      </c>
      <c r="G232" s="7" t="s">
        <v>1477</v>
      </c>
      <c r="J232" s="7" t="s">
        <v>2133</v>
      </c>
    </row>
    <row r="233" spans="1:10">
      <c r="A233" s="7">
        <v>54</v>
      </c>
      <c r="B233" s="7" t="s">
        <v>1451</v>
      </c>
      <c r="C233" s="7" t="s">
        <v>19</v>
      </c>
      <c r="D233" s="7" t="s">
        <v>1820</v>
      </c>
      <c r="E233" s="7" t="s">
        <v>1821</v>
      </c>
      <c r="F233" s="7" t="s">
        <v>1822</v>
      </c>
      <c r="G233" s="7" t="s">
        <v>1519</v>
      </c>
      <c r="J233" s="7" t="s">
        <v>2133</v>
      </c>
    </row>
    <row r="234" spans="1:10">
      <c r="A234" s="7">
        <v>55</v>
      </c>
      <c r="B234" s="7" t="s">
        <v>1451</v>
      </c>
      <c r="C234" s="7" t="s">
        <v>19</v>
      </c>
      <c r="D234" s="7" t="s">
        <v>1823</v>
      </c>
      <c r="E234" s="7" t="s">
        <v>1824</v>
      </c>
      <c r="F234" s="7" t="s">
        <v>1825</v>
      </c>
      <c r="G234" s="7" t="s">
        <v>1496</v>
      </c>
      <c r="I234" s="7" t="s">
        <v>1826</v>
      </c>
      <c r="J234" s="7" t="s">
        <v>2133</v>
      </c>
    </row>
    <row r="235" spans="1:10">
      <c r="A235" s="7">
        <v>56</v>
      </c>
      <c r="B235" s="7" t="s">
        <v>1451</v>
      </c>
      <c r="C235" s="7" t="s">
        <v>19</v>
      </c>
      <c r="D235" s="7" t="s">
        <v>1827</v>
      </c>
      <c r="E235" s="7" t="s">
        <v>1828</v>
      </c>
      <c r="F235" s="7" t="s">
        <v>1829</v>
      </c>
      <c r="G235" s="7" t="s">
        <v>1575</v>
      </c>
      <c r="I235" s="7" t="s">
        <v>1830</v>
      </c>
      <c r="J235" s="7" t="s">
        <v>2133</v>
      </c>
    </row>
    <row r="236" spans="1:10">
      <c r="A236" s="7">
        <v>57</v>
      </c>
      <c r="B236" s="7" t="s">
        <v>1451</v>
      </c>
      <c r="C236" s="7" t="s">
        <v>19</v>
      </c>
      <c r="D236" s="7" t="s">
        <v>1838</v>
      </c>
      <c r="E236" s="7" t="s">
        <v>1839</v>
      </c>
      <c r="F236" s="7" t="s">
        <v>1840</v>
      </c>
      <c r="G236" s="7" t="s">
        <v>1477</v>
      </c>
      <c r="I236" s="7" t="s">
        <v>1620</v>
      </c>
      <c r="J236" s="7" t="s">
        <v>2133</v>
      </c>
    </row>
    <row r="237" spans="1:10">
      <c r="A237" s="7">
        <v>58</v>
      </c>
      <c r="B237" s="7" t="s">
        <v>1451</v>
      </c>
      <c r="C237" s="7" t="s">
        <v>19</v>
      </c>
      <c r="D237" s="7" t="s">
        <v>1848</v>
      </c>
      <c r="E237" s="7" t="s">
        <v>1849</v>
      </c>
      <c r="F237" s="7" t="s">
        <v>1850</v>
      </c>
      <c r="G237" s="7" t="s">
        <v>1575</v>
      </c>
      <c r="I237" s="7" t="s">
        <v>1851</v>
      </c>
      <c r="J237" s="7" t="s">
        <v>2133</v>
      </c>
    </row>
    <row r="238" spans="1:10">
      <c r="A238" s="7">
        <v>59</v>
      </c>
      <c r="B238" s="7" t="s">
        <v>1451</v>
      </c>
      <c r="C238" s="7" t="s">
        <v>19</v>
      </c>
      <c r="D238" s="7" t="s">
        <v>1856</v>
      </c>
      <c r="E238" s="7" t="s">
        <v>1857</v>
      </c>
      <c r="F238" s="7" t="s">
        <v>1858</v>
      </c>
      <c r="G238" s="7" t="s">
        <v>1549</v>
      </c>
      <c r="J238" s="7" t="s">
        <v>2133</v>
      </c>
    </row>
    <row r="239" spans="1:10">
      <c r="A239" s="7">
        <v>60</v>
      </c>
      <c r="B239" s="7" t="s">
        <v>1451</v>
      </c>
      <c r="C239" s="7" t="s">
        <v>19</v>
      </c>
      <c r="D239" s="7" t="s">
        <v>2096</v>
      </c>
      <c r="E239" s="7" t="s">
        <v>2097</v>
      </c>
      <c r="F239" s="7" t="s">
        <v>2098</v>
      </c>
      <c r="G239" s="7" t="s">
        <v>1501</v>
      </c>
      <c r="J239" s="7" t="s">
        <v>2133</v>
      </c>
    </row>
    <row r="240" spans="1:10">
      <c r="A240" s="7">
        <v>61</v>
      </c>
      <c r="B240" s="7" t="s">
        <v>1451</v>
      </c>
      <c r="C240" s="7" t="s">
        <v>19</v>
      </c>
      <c r="D240" s="7" t="s">
        <v>1863</v>
      </c>
      <c r="E240" s="7" t="s">
        <v>1864</v>
      </c>
      <c r="F240" s="7" t="s">
        <v>1865</v>
      </c>
      <c r="G240" s="7" t="s">
        <v>1477</v>
      </c>
      <c r="H240" s="7" t="s">
        <v>1866</v>
      </c>
      <c r="J240" s="7" t="s">
        <v>2133</v>
      </c>
    </row>
    <row r="241" spans="1:10">
      <c r="A241" s="7">
        <v>62</v>
      </c>
      <c r="B241" s="7" t="s">
        <v>1451</v>
      </c>
      <c r="C241" s="7" t="s">
        <v>19</v>
      </c>
      <c r="D241" s="7" t="s">
        <v>2099</v>
      </c>
      <c r="E241" s="7" t="s">
        <v>2100</v>
      </c>
      <c r="F241" s="7" t="s">
        <v>2101</v>
      </c>
      <c r="G241" s="7" t="s">
        <v>1477</v>
      </c>
      <c r="J241" s="7" t="s">
        <v>2133</v>
      </c>
    </row>
    <row r="242" spans="1:10">
      <c r="A242" s="7">
        <v>63</v>
      </c>
      <c r="B242" s="7" t="s">
        <v>1451</v>
      </c>
      <c r="C242" s="7" t="s">
        <v>19</v>
      </c>
      <c r="D242" s="7" t="s">
        <v>1871</v>
      </c>
      <c r="E242" s="7" t="s">
        <v>1872</v>
      </c>
      <c r="F242" s="7" t="s">
        <v>1873</v>
      </c>
      <c r="G242" s="7" t="s">
        <v>1512</v>
      </c>
      <c r="H242" s="7" t="s">
        <v>1874</v>
      </c>
      <c r="I242" s="7" t="s">
        <v>1875</v>
      </c>
      <c r="J242" s="7" t="s">
        <v>2133</v>
      </c>
    </row>
    <row r="243" spans="1:10">
      <c r="A243" s="7">
        <v>64</v>
      </c>
      <c r="B243" s="7" t="s">
        <v>1451</v>
      </c>
      <c r="C243" s="7" t="s">
        <v>19</v>
      </c>
      <c r="D243" s="7" t="s">
        <v>1876</v>
      </c>
      <c r="E243" s="7" t="s">
        <v>1872</v>
      </c>
      <c r="F243" s="7" t="s">
        <v>1877</v>
      </c>
      <c r="G243" s="7" t="s">
        <v>1512</v>
      </c>
      <c r="J243" s="7" t="s">
        <v>2133</v>
      </c>
    </row>
    <row r="244" spans="1:10">
      <c r="A244" s="7">
        <v>65</v>
      </c>
      <c r="B244" s="7" t="s">
        <v>1451</v>
      </c>
      <c r="C244" s="7" t="s">
        <v>19</v>
      </c>
      <c r="D244" s="7" t="s">
        <v>1878</v>
      </c>
      <c r="E244" s="7" t="s">
        <v>1872</v>
      </c>
      <c r="F244" s="7" t="s">
        <v>1879</v>
      </c>
      <c r="G244" s="7" t="s">
        <v>1496</v>
      </c>
      <c r="J244" s="7" t="s">
        <v>2133</v>
      </c>
    </row>
    <row r="245" spans="1:10">
      <c r="A245" s="7">
        <v>66</v>
      </c>
      <c r="B245" s="7" t="s">
        <v>1451</v>
      </c>
      <c r="C245" s="7" t="s">
        <v>19</v>
      </c>
      <c r="D245" s="7" t="s">
        <v>1880</v>
      </c>
      <c r="E245" s="7" t="s">
        <v>1881</v>
      </c>
      <c r="F245" s="7" t="s">
        <v>1882</v>
      </c>
      <c r="G245" s="7" t="s">
        <v>1512</v>
      </c>
      <c r="J245" s="7" t="s">
        <v>2133</v>
      </c>
    </row>
    <row r="246" spans="1:10">
      <c r="A246" s="7">
        <v>67</v>
      </c>
      <c r="B246" s="7" t="s">
        <v>1451</v>
      </c>
      <c r="C246" s="7" t="s">
        <v>19</v>
      </c>
      <c r="D246" s="7" t="s">
        <v>2102</v>
      </c>
      <c r="E246" s="7" t="s">
        <v>2103</v>
      </c>
      <c r="F246" s="7" t="s">
        <v>2104</v>
      </c>
      <c r="G246" s="7" t="s">
        <v>1501</v>
      </c>
      <c r="J246" s="7" t="s">
        <v>2133</v>
      </c>
    </row>
    <row r="247" spans="1:10">
      <c r="A247" s="7">
        <v>68</v>
      </c>
      <c r="B247" s="7" t="s">
        <v>1451</v>
      </c>
      <c r="C247" s="7" t="s">
        <v>19</v>
      </c>
      <c r="D247" s="7" t="s">
        <v>1887</v>
      </c>
      <c r="E247" s="7" t="s">
        <v>1888</v>
      </c>
      <c r="F247" s="7" t="s">
        <v>1889</v>
      </c>
      <c r="G247" s="7" t="s">
        <v>1575</v>
      </c>
      <c r="J247" s="7" t="s">
        <v>2133</v>
      </c>
    </row>
    <row r="248" spans="1:10">
      <c r="A248" s="7">
        <v>69</v>
      </c>
      <c r="B248" s="7" t="s">
        <v>1451</v>
      </c>
      <c r="C248" s="7" t="s">
        <v>19</v>
      </c>
      <c r="D248" s="7" t="s">
        <v>1890</v>
      </c>
      <c r="E248" s="7" t="s">
        <v>1891</v>
      </c>
      <c r="F248" s="7" t="s">
        <v>1892</v>
      </c>
      <c r="G248" s="7" t="s">
        <v>1519</v>
      </c>
      <c r="J248" s="7" t="s">
        <v>2133</v>
      </c>
    </row>
    <row r="249" spans="1:10">
      <c r="A249" s="7">
        <v>70</v>
      </c>
      <c r="B249" s="7" t="s">
        <v>1451</v>
      </c>
      <c r="C249" s="7" t="s">
        <v>19</v>
      </c>
      <c r="D249" s="7" t="s">
        <v>1903</v>
      </c>
      <c r="E249" s="7" t="s">
        <v>1904</v>
      </c>
      <c r="F249" s="7" t="s">
        <v>1905</v>
      </c>
      <c r="G249" s="7" t="s">
        <v>1459</v>
      </c>
      <c r="H249" s="7" t="s">
        <v>1906</v>
      </c>
      <c r="J249" s="7" t="s">
        <v>2133</v>
      </c>
    </row>
    <row r="250" spans="1:10">
      <c r="A250" s="7">
        <v>71</v>
      </c>
      <c r="B250" s="7" t="s">
        <v>1451</v>
      </c>
      <c r="C250" s="7" t="s">
        <v>19</v>
      </c>
      <c r="D250" s="7" t="s">
        <v>1907</v>
      </c>
      <c r="E250" s="7" t="s">
        <v>1904</v>
      </c>
      <c r="F250" s="7" t="s">
        <v>1908</v>
      </c>
      <c r="G250" s="7" t="s">
        <v>1719</v>
      </c>
      <c r="J250" s="7" t="s">
        <v>2133</v>
      </c>
    </row>
    <row r="251" spans="1:10">
      <c r="A251" s="7">
        <v>72</v>
      </c>
      <c r="B251" s="7" t="s">
        <v>1451</v>
      </c>
      <c r="C251" s="7" t="s">
        <v>19</v>
      </c>
      <c r="D251" s="7" t="s">
        <v>2105</v>
      </c>
      <c r="E251" s="7" t="s">
        <v>2106</v>
      </c>
      <c r="F251" s="7" t="s">
        <v>2107</v>
      </c>
      <c r="G251" s="7" t="s">
        <v>1598</v>
      </c>
      <c r="I251" s="7" t="s">
        <v>2108</v>
      </c>
      <c r="J251" s="7" t="s">
        <v>2133</v>
      </c>
    </row>
    <row r="252" spans="1:10">
      <c r="A252" s="7">
        <v>73</v>
      </c>
      <c r="B252" s="7" t="s">
        <v>1451</v>
      </c>
      <c r="C252" s="7" t="s">
        <v>19</v>
      </c>
      <c r="D252" s="7" t="s">
        <v>1909</v>
      </c>
      <c r="E252" s="7" t="s">
        <v>1910</v>
      </c>
      <c r="F252" s="7" t="s">
        <v>1911</v>
      </c>
      <c r="G252" s="7" t="s">
        <v>1519</v>
      </c>
      <c r="J252" s="7" t="s">
        <v>2133</v>
      </c>
    </row>
    <row r="253" spans="1:10">
      <c r="A253" s="7">
        <v>74</v>
      </c>
      <c r="B253" s="7" t="s">
        <v>1451</v>
      </c>
      <c r="C253" s="7" t="s">
        <v>19</v>
      </c>
      <c r="D253" s="7" t="s">
        <v>1912</v>
      </c>
      <c r="E253" s="7" t="s">
        <v>1913</v>
      </c>
      <c r="F253" s="7" t="s">
        <v>1914</v>
      </c>
      <c r="G253" s="7" t="s">
        <v>1477</v>
      </c>
      <c r="J253" s="7" t="s">
        <v>2133</v>
      </c>
    </row>
    <row r="254" spans="1:10">
      <c r="A254" s="7">
        <v>75</v>
      </c>
      <c r="B254" s="7" t="s">
        <v>1451</v>
      </c>
      <c r="C254" s="7" t="s">
        <v>19</v>
      </c>
      <c r="D254" s="7" t="s">
        <v>1918</v>
      </c>
      <c r="E254" s="7" t="s">
        <v>1919</v>
      </c>
      <c r="F254" s="7" t="s">
        <v>1920</v>
      </c>
      <c r="G254" s="7" t="s">
        <v>1512</v>
      </c>
      <c r="I254" s="7" t="s">
        <v>1921</v>
      </c>
      <c r="J254" s="7" t="s">
        <v>2133</v>
      </c>
    </row>
    <row r="255" spans="1:10">
      <c r="A255" s="7">
        <v>76</v>
      </c>
      <c r="B255" s="7" t="s">
        <v>1451</v>
      </c>
      <c r="C255" s="7" t="s">
        <v>19</v>
      </c>
      <c r="D255" s="7" t="s">
        <v>1929</v>
      </c>
      <c r="E255" s="7" t="s">
        <v>1930</v>
      </c>
      <c r="F255" s="7" t="s">
        <v>1931</v>
      </c>
      <c r="G255" s="7" t="s">
        <v>1519</v>
      </c>
      <c r="H255" s="7" t="s">
        <v>1932</v>
      </c>
      <c r="J255" s="7" t="s">
        <v>2133</v>
      </c>
    </row>
    <row r="256" spans="1:10">
      <c r="A256" s="7">
        <v>77</v>
      </c>
      <c r="B256" s="7" t="s">
        <v>1451</v>
      </c>
      <c r="C256" s="7" t="s">
        <v>19</v>
      </c>
      <c r="D256" s="7" t="s">
        <v>1933</v>
      </c>
      <c r="E256" s="7" t="s">
        <v>1934</v>
      </c>
      <c r="F256" s="7" t="s">
        <v>1935</v>
      </c>
      <c r="G256" s="7" t="s">
        <v>1501</v>
      </c>
      <c r="J256" s="7" t="s">
        <v>2133</v>
      </c>
    </row>
    <row r="257" spans="1:10">
      <c r="A257" s="7">
        <v>78</v>
      </c>
      <c r="B257" s="7" t="s">
        <v>1451</v>
      </c>
      <c r="C257" s="7" t="s">
        <v>19</v>
      </c>
      <c r="D257" s="7" t="s">
        <v>1940</v>
      </c>
      <c r="E257" s="7" t="s">
        <v>1941</v>
      </c>
      <c r="F257" s="7" t="s">
        <v>1942</v>
      </c>
      <c r="G257" s="7" t="s">
        <v>1477</v>
      </c>
      <c r="J257" s="7" t="s">
        <v>2133</v>
      </c>
    </row>
    <row r="258" spans="1:10">
      <c r="A258" s="7">
        <v>79</v>
      </c>
      <c r="B258" s="7" t="s">
        <v>1451</v>
      </c>
      <c r="C258" s="7" t="s">
        <v>19</v>
      </c>
      <c r="D258" s="7" t="s">
        <v>1943</v>
      </c>
      <c r="E258" s="7" t="s">
        <v>1944</v>
      </c>
      <c r="F258" s="7" t="s">
        <v>1945</v>
      </c>
      <c r="G258" s="7" t="s">
        <v>1477</v>
      </c>
      <c r="J258" s="7" t="s">
        <v>2133</v>
      </c>
    </row>
    <row r="259" spans="1:10">
      <c r="A259" s="7">
        <v>80</v>
      </c>
      <c r="B259" s="7" t="s">
        <v>1451</v>
      </c>
      <c r="C259" s="7" t="s">
        <v>19</v>
      </c>
      <c r="D259" s="7" t="s">
        <v>1949</v>
      </c>
      <c r="E259" s="7" t="s">
        <v>1950</v>
      </c>
      <c r="F259" s="7" t="s">
        <v>1951</v>
      </c>
      <c r="G259" s="7" t="s">
        <v>1477</v>
      </c>
      <c r="J259" s="7" t="s">
        <v>2133</v>
      </c>
    </row>
    <row r="260" spans="1:10">
      <c r="A260" s="7">
        <v>81</v>
      </c>
      <c r="B260" s="7" t="s">
        <v>1451</v>
      </c>
      <c r="C260" s="7" t="s">
        <v>19</v>
      </c>
      <c r="D260" s="7" t="s">
        <v>1952</v>
      </c>
      <c r="E260" s="7" t="s">
        <v>1953</v>
      </c>
      <c r="F260" s="7" t="s">
        <v>1954</v>
      </c>
      <c r="G260" s="7" t="s">
        <v>1512</v>
      </c>
      <c r="H260" s="7" t="s">
        <v>1955</v>
      </c>
      <c r="J260" s="7" t="s">
        <v>2133</v>
      </c>
    </row>
    <row r="261" spans="1:10">
      <c r="A261" s="7">
        <v>82</v>
      </c>
      <c r="B261" s="7" t="s">
        <v>1451</v>
      </c>
      <c r="C261" s="7" t="s">
        <v>19</v>
      </c>
      <c r="D261" s="7" t="s">
        <v>2109</v>
      </c>
      <c r="E261" s="7" t="s">
        <v>2110</v>
      </c>
      <c r="F261" s="7" t="s">
        <v>2111</v>
      </c>
      <c r="G261" s="7" t="s">
        <v>1501</v>
      </c>
      <c r="J261" s="7" t="s">
        <v>2133</v>
      </c>
    </row>
    <row r="262" spans="1:10">
      <c r="A262" s="7">
        <v>83</v>
      </c>
      <c r="B262" s="7" t="s">
        <v>1451</v>
      </c>
      <c r="C262" s="7" t="s">
        <v>19</v>
      </c>
      <c r="D262" s="7" t="s">
        <v>1959</v>
      </c>
      <c r="E262" s="7" t="s">
        <v>1960</v>
      </c>
      <c r="F262" s="7" t="s">
        <v>1961</v>
      </c>
      <c r="G262" s="7" t="s">
        <v>1501</v>
      </c>
      <c r="J262" s="7" t="s">
        <v>2133</v>
      </c>
    </row>
    <row r="263" spans="1:10">
      <c r="A263" s="7">
        <v>84</v>
      </c>
      <c r="B263" s="7" t="s">
        <v>1451</v>
      </c>
      <c r="C263" s="7" t="s">
        <v>19</v>
      </c>
      <c r="D263" s="7" t="s">
        <v>1962</v>
      </c>
      <c r="E263" s="7" t="s">
        <v>1963</v>
      </c>
      <c r="F263" s="7" t="s">
        <v>1964</v>
      </c>
      <c r="G263" s="7" t="s">
        <v>1459</v>
      </c>
      <c r="J263" s="7" t="s">
        <v>2133</v>
      </c>
    </row>
    <row r="264" spans="1:10">
      <c r="A264" s="7">
        <v>85</v>
      </c>
      <c r="B264" s="7" t="s">
        <v>1451</v>
      </c>
      <c r="C264" s="7" t="s">
        <v>19</v>
      </c>
      <c r="D264" s="7" t="s">
        <v>1968</v>
      </c>
      <c r="E264" s="7" t="s">
        <v>1969</v>
      </c>
      <c r="F264" s="7" t="s">
        <v>1970</v>
      </c>
      <c r="G264" s="7" t="s">
        <v>1512</v>
      </c>
      <c r="J264" s="7" t="s">
        <v>2133</v>
      </c>
    </row>
    <row r="265" spans="1:10">
      <c r="A265" s="7">
        <v>86</v>
      </c>
      <c r="B265" s="7" t="s">
        <v>1451</v>
      </c>
      <c r="C265" s="7" t="s">
        <v>19</v>
      </c>
      <c r="D265" s="7" t="s">
        <v>1971</v>
      </c>
      <c r="E265" s="7" t="s">
        <v>1972</v>
      </c>
      <c r="F265" s="7" t="s">
        <v>1973</v>
      </c>
      <c r="G265" s="7" t="s">
        <v>1974</v>
      </c>
      <c r="H265" s="7" t="s">
        <v>1975</v>
      </c>
      <c r="J265" s="7" t="s">
        <v>2133</v>
      </c>
    </row>
    <row r="266" spans="1:10">
      <c r="A266" s="7">
        <v>87</v>
      </c>
      <c r="B266" s="7" t="s">
        <v>1451</v>
      </c>
      <c r="C266" s="7" t="s">
        <v>19</v>
      </c>
      <c r="D266" s="7" t="s">
        <v>1976</v>
      </c>
      <c r="E266" s="7" t="s">
        <v>1977</v>
      </c>
      <c r="F266" s="7" t="s">
        <v>1978</v>
      </c>
      <c r="G266" s="7" t="s">
        <v>1496</v>
      </c>
      <c r="J266" s="7" t="s">
        <v>2133</v>
      </c>
    </row>
    <row r="267" spans="1:10">
      <c r="A267" s="7">
        <v>88</v>
      </c>
      <c r="B267" s="7" t="s">
        <v>1451</v>
      </c>
      <c r="C267" s="7" t="s">
        <v>19</v>
      </c>
      <c r="D267" s="7" t="s">
        <v>2112</v>
      </c>
      <c r="E267" s="7" t="s">
        <v>2113</v>
      </c>
      <c r="F267" s="7" t="s">
        <v>2114</v>
      </c>
      <c r="G267" s="7" t="s">
        <v>1501</v>
      </c>
      <c r="J267" s="7" t="s">
        <v>2133</v>
      </c>
    </row>
    <row r="268" spans="1:10">
      <c r="A268" s="7">
        <v>89</v>
      </c>
      <c r="B268" s="7" t="s">
        <v>1451</v>
      </c>
      <c r="C268" s="7" t="s">
        <v>19</v>
      </c>
      <c r="D268" s="7" t="s">
        <v>1986</v>
      </c>
      <c r="E268" s="7" t="s">
        <v>1987</v>
      </c>
      <c r="F268" s="7" t="s">
        <v>1988</v>
      </c>
      <c r="G268" s="7" t="s">
        <v>1512</v>
      </c>
      <c r="I268" s="7" t="s">
        <v>1746</v>
      </c>
      <c r="J268" s="7" t="s">
        <v>2133</v>
      </c>
    </row>
    <row r="269" spans="1:10">
      <c r="A269" s="7">
        <v>90</v>
      </c>
      <c r="B269" s="7" t="s">
        <v>1451</v>
      </c>
      <c r="C269" s="7" t="s">
        <v>19</v>
      </c>
      <c r="D269" s="7" t="s">
        <v>1989</v>
      </c>
      <c r="E269" s="7" t="s">
        <v>1990</v>
      </c>
      <c r="F269" s="7" t="s">
        <v>1991</v>
      </c>
      <c r="G269" s="7" t="s">
        <v>1512</v>
      </c>
      <c r="H269" s="7" t="s">
        <v>1992</v>
      </c>
      <c r="J269" s="7" t="s">
        <v>2133</v>
      </c>
    </row>
    <row r="270" spans="1:10">
      <c r="A270" s="7">
        <v>91</v>
      </c>
      <c r="B270" s="7" t="s">
        <v>1451</v>
      </c>
      <c r="C270" s="7" t="s">
        <v>19</v>
      </c>
      <c r="D270" s="7" t="s">
        <v>1993</v>
      </c>
      <c r="E270" s="7" t="s">
        <v>1994</v>
      </c>
      <c r="F270" s="7" t="s">
        <v>1995</v>
      </c>
      <c r="G270" s="7" t="s">
        <v>1501</v>
      </c>
      <c r="J270" s="7" t="s">
        <v>2133</v>
      </c>
    </row>
    <row r="271" spans="1:10">
      <c r="A271" s="7">
        <v>92</v>
      </c>
      <c r="B271" s="7" t="s">
        <v>1451</v>
      </c>
      <c r="C271" s="7" t="s">
        <v>19</v>
      </c>
      <c r="D271" s="7" t="s">
        <v>2115</v>
      </c>
      <c r="E271" s="7" t="s">
        <v>2116</v>
      </c>
      <c r="F271" s="7" t="s">
        <v>2117</v>
      </c>
      <c r="G271" s="7" t="s">
        <v>1501</v>
      </c>
      <c r="J271" s="7" t="s">
        <v>2133</v>
      </c>
    </row>
    <row r="272" spans="1:10">
      <c r="A272" s="7">
        <v>93</v>
      </c>
      <c r="B272" s="7" t="s">
        <v>1451</v>
      </c>
      <c r="C272" s="7" t="s">
        <v>19</v>
      </c>
      <c r="D272" s="7" t="s">
        <v>2003</v>
      </c>
      <c r="E272" s="7" t="s">
        <v>2004</v>
      </c>
      <c r="F272" s="7" t="s">
        <v>2005</v>
      </c>
      <c r="G272" s="7" t="s">
        <v>2006</v>
      </c>
      <c r="H272" s="7" t="s">
        <v>2007</v>
      </c>
      <c r="J272" s="7" t="s">
        <v>2133</v>
      </c>
    </row>
    <row r="273" spans="1:10">
      <c r="A273" s="7">
        <v>94</v>
      </c>
      <c r="B273" s="7" t="s">
        <v>1451</v>
      </c>
      <c r="C273" s="7" t="s">
        <v>19</v>
      </c>
      <c r="D273" s="7" t="s">
        <v>2008</v>
      </c>
      <c r="E273" s="7" t="s">
        <v>2009</v>
      </c>
      <c r="F273" s="7" t="s">
        <v>2010</v>
      </c>
      <c r="G273" s="7" t="s">
        <v>1512</v>
      </c>
      <c r="I273" s="7" t="s">
        <v>2011</v>
      </c>
      <c r="J273" s="7" t="s">
        <v>2133</v>
      </c>
    </row>
    <row r="274" spans="1:10">
      <c r="A274" s="7">
        <v>95</v>
      </c>
      <c r="B274" s="7" t="s">
        <v>1451</v>
      </c>
      <c r="C274" s="7" t="s">
        <v>19</v>
      </c>
      <c r="D274" s="7" t="s">
        <v>2118</v>
      </c>
      <c r="E274" s="7" t="s">
        <v>2119</v>
      </c>
      <c r="F274" s="7" t="s">
        <v>2120</v>
      </c>
      <c r="G274" s="7" t="s">
        <v>1501</v>
      </c>
      <c r="H274" s="7" t="s">
        <v>2121</v>
      </c>
      <c r="J274" s="7" t="s">
        <v>2133</v>
      </c>
    </row>
    <row r="275" spans="1:10">
      <c r="A275" s="7">
        <v>96</v>
      </c>
      <c r="B275" s="7" t="s">
        <v>1451</v>
      </c>
      <c r="C275" s="7" t="s">
        <v>19</v>
      </c>
      <c r="D275" s="7" t="s">
        <v>2122</v>
      </c>
      <c r="E275" s="7" t="s">
        <v>2123</v>
      </c>
      <c r="F275" s="7" t="s">
        <v>2124</v>
      </c>
      <c r="G275" s="7" t="s">
        <v>1459</v>
      </c>
      <c r="H275" s="7" t="s">
        <v>2125</v>
      </c>
      <c r="J275" s="7" t="s">
        <v>2133</v>
      </c>
    </row>
    <row r="276" spans="1:10">
      <c r="A276" s="7">
        <v>97</v>
      </c>
      <c r="B276" s="7" t="s">
        <v>1451</v>
      </c>
      <c r="C276" s="7" t="s">
        <v>19</v>
      </c>
      <c r="D276" s="7" t="s">
        <v>2126</v>
      </c>
      <c r="E276" s="7" t="s">
        <v>2127</v>
      </c>
      <c r="F276" s="7" t="s">
        <v>2128</v>
      </c>
      <c r="G276" s="7" t="s">
        <v>1477</v>
      </c>
      <c r="H276" s="7" t="s">
        <v>2129</v>
      </c>
      <c r="I276" s="7" t="s">
        <v>1460</v>
      </c>
      <c r="J276" s="7" t="s">
        <v>2133</v>
      </c>
    </row>
    <row r="277" spans="1:10">
      <c r="A277" s="7">
        <v>98</v>
      </c>
      <c r="B277" s="7" t="s">
        <v>1451</v>
      </c>
      <c r="C277" s="7" t="s">
        <v>19</v>
      </c>
      <c r="D277" s="7" t="s">
        <v>2019</v>
      </c>
      <c r="E277" s="7" t="s">
        <v>2020</v>
      </c>
      <c r="F277" s="7" t="s">
        <v>2021</v>
      </c>
      <c r="G277" s="7" t="s">
        <v>1477</v>
      </c>
      <c r="J277" s="7" t="s">
        <v>2133</v>
      </c>
    </row>
    <row r="278" spans="1:10">
      <c r="A278" s="7">
        <v>99</v>
      </c>
      <c r="B278" s="7" t="s">
        <v>1451</v>
      </c>
      <c r="C278" s="7" t="s">
        <v>19</v>
      </c>
      <c r="D278" s="7" t="s">
        <v>2053</v>
      </c>
      <c r="E278" s="7" t="s">
        <v>2054</v>
      </c>
      <c r="F278" s="7" t="s">
        <v>2055</v>
      </c>
      <c r="G278" s="7" t="s">
        <v>1496</v>
      </c>
      <c r="J278" s="7" t="s">
        <v>2133</v>
      </c>
    </row>
    <row r="279" spans="1:10">
      <c r="A279" s="7">
        <v>100</v>
      </c>
      <c r="B279" s="7" t="s">
        <v>1451</v>
      </c>
      <c r="C279" s="7" t="s">
        <v>19</v>
      </c>
      <c r="D279" s="7" t="s">
        <v>2130</v>
      </c>
      <c r="E279" s="7" t="s">
        <v>2131</v>
      </c>
      <c r="F279" s="7" t="s">
        <v>2079</v>
      </c>
      <c r="G279" s="7" t="s">
        <v>2132</v>
      </c>
      <c r="J279" s="7" t="s">
        <v>2133</v>
      </c>
    </row>
    <row r="280" spans="1:10">
      <c r="A280" s="7">
        <v>101</v>
      </c>
      <c r="B280" s="7" t="s">
        <v>1451</v>
      </c>
      <c r="C280" s="7" t="s">
        <v>19</v>
      </c>
      <c r="D280" s="7" t="s">
        <v>2062</v>
      </c>
      <c r="E280" s="7" t="s">
        <v>2063</v>
      </c>
      <c r="F280" s="7" t="s">
        <v>2064</v>
      </c>
      <c r="G280" s="7" t="s">
        <v>1512</v>
      </c>
      <c r="J280" s="7" t="s">
        <v>2133</v>
      </c>
    </row>
    <row r="281" spans="1:10">
      <c r="A281" s="7">
        <v>102</v>
      </c>
      <c r="B281" s="7" t="s">
        <v>1451</v>
      </c>
      <c r="C281" s="7" t="s">
        <v>19</v>
      </c>
      <c r="D281" s="7" t="s">
        <v>2065</v>
      </c>
      <c r="E281" s="7" t="s">
        <v>2066</v>
      </c>
      <c r="F281" s="7" t="s">
        <v>2067</v>
      </c>
      <c r="G281" s="7" t="s">
        <v>2068</v>
      </c>
      <c r="I281" s="7" t="s">
        <v>2069</v>
      </c>
      <c r="J281" s="7" t="s">
        <v>2133</v>
      </c>
    </row>
    <row r="282" spans="1:10">
      <c r="A282" s="7">
        <v>103</v>
      </c>
      <c r="B282" s="7" t="s">
        <v>1451</v>
      </c>
      <c r="C282" s="7" t="s">
        <v>19</v>
      </c>
      <c r="D282" s="7" t="s">
        <v>2073</v>
      </c>
      <c r="E282" s="7" t="s">
        <v>2074</v>
      </c>
      <c r="F282" s="7" t="s">
        <v>2075</v>
      </c>
      <c r="G282" s="7" t="s">
        <v>2076</v>
      </c>
      <c r="J282" s="7" t="s">
        <v>2133</v>
      </c>
    </row>
    <row r="283" spans="1:10">
      <c r="A283" s="7">
        <v>104</v>
      </c>
      <c r="B283" s="7" t="s">
        <v>1451</v>
      </c>
      <c r="C283" s="7" t="s">
        <v>19</v>
      </c>
      <c r="D283" s="7" t="s">
        <v>2077</v>
      </c>
      <c r="E283" s="7" t="s">
        <v>2078</v>
      </c>
      <c r="F283" s="7" t="s">
        <v>2079</v>
      </c>
      <c r="G283" s="7" t="s">
        <v>2080</v>
      </c>
      <c r="J283" s="7" t="s">
        <v>2133</v>
      </c>
    </row>
  </sheetData>
  <sheetProtection formatColumns="0" formatRows="0"/>
  <phoneticPr fontId="12"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G3"/>
  <sheetViews>
    <sheetView showGridLines="0" zoomScaleNormal="100" workbookViewId="0"/>
  </sheetViews>
  <sheetFormatPr defaultRowHeight="11.25"/>
  <sheetData>
    <row r="1" spans="1:7">
      <c r="A1" s="599" t="s">
        <v>2507</v>
      </c>
      <c r="B1" s="599" t="s">
        <v>2508</v>
      </c>
      <c r="C1" s="599" t="s">
        <v>2509</v>
      </c>
      <c r="D1" s="599" t="s">
        <v>2510</v>
      </c>
      <c r="E1" s="599" t="s">
        <v>2511</v>
      </c>
      <c r="F1" s="599" t="s">
        <v>2512</v>
      </c>
      <c r="G1" s="599" t="s">
        <v>2513</v>
      </c>
    </row>
    <row r="2" spans="1:7">
      <c r="A2" s="599" t="s">
        <v>2514</v>
      </c>
      <c r="B2" s="599" t="s">
        <v>2515</v>
      </c>
      <c r="C2" s="599"/>
      <c r="D2" s="599"/>
      <c r="E2" s="599"/>
      <c r="F2" s="599"/>
      <c r="G2" s="599"/>
    </row>
    <row r="3" spans="1:7">
      <c r="A3" s="599" t="s">
        <v>2516</v>
      </c>
      <c r="B3" s="599" t="s">
        <v>2515</v>
      </c>
      <c r="C3" s="599"/>
      <c r="D3" s="599"/>
      <c r="E3" s="599"/>
      <c r="F3" s="599"/>
      <c r="G3" s="599"/>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25"/>
  <sheetData>
    <row r="1" spans="1:1">
      <c r="A1" t="s">
        <v>927</v>
      </c>
    </row>
    <row r="2" spans="1:1">
      <c r="A2" t="s">
        <v>928</v>
      </c>
    </row>
    <row r="3" spans="1:1">
      <c r="A3" t="s">
        <v>929</v>
      </c>
    </row>
    <row r="4" spans="1:1">
      <c r="A4" t="s">
        <v>930</v>
      </c>
    </row>
    <row r="5" spans="1:1">
      <c r="A5" t="s">
        <v>931</v>
      </c>
    </row>
    <row r="6" spans="1:1">
      <c r="A6" t="s">
        <v>932</v>
      </c>
    </row>
    <row r="7" spans="1:1">
      <c r="A7" t="s">
        <v>933</v>
      </c>
    </row>
    <row r="8" spans="1:1">
      <c r="A8" t="s">
        <v>934</v>
      </c>
    </row>
    <row r="9" spans="1:1">
      <c r="A9" t="s">
        <v>935</v>
      </c>
    </row>
    <row r="10" spans="1:1">
      <c r="A10" t="s">
        <v>936</v>
      </c>
    </row>
    <row r="11" spans="1:1">
      <c r="A11" t="s">
        <v>937</v>
      </c>
    </row>
    <row r="12" spans="1:1">
      <c r="A12" t="s">
        <v>938</v>
      </c>
    </row>
    <row r="13" spans="1:1">
      <c r="A13" t="s">
        <v>939</v>
      </c>
    </row>
    <row r="14" spans="1:1">
      <c r="A14" t="s">
        <v>940</v>
      </c>
    </row>
    <row r="15" spans="1:1">
      <c r="A15" t="s">
        <v>941</v>
      </c>
    </row>
    <row r="16" spans="1:1">
      <c r="A16" t="s">
        <v>942</v>
      </c>
    </row>
    <row r="17" spans="1:1">
      <c r="A17" t="s">
        <v>943</v>
      </c>
    </row>
    <row r="18" spans="1:1">
      <c r="A18" t="s">
        <v>944</v>
      </c>
    </row>
    <row r="19" spans="1:1">
      <c r="A19" t="s">
        <v>945</v>
      </c>
    </row>
    <row r="20" spans="1:1">
      <c r="A20" t="s">
        <v>946</v>
      </c>
    </row>
    <row r="21" spans="1:1">
      <c r="A21" t="s">
        <v>947</v>
      </c>
    </row>
    <row r="22" spans="1:1">
      <c r="A22" t="s">
        <v>948</v>
      </c>
    </row>
    <row r="23" spans="1:1">
      <c r="A23" t="s">
        <v>949</v>
      </c>
    </row>
    <row r="24" spans="1:1">
      <c r="A24" t="s">
        <v>950</v>
      </c>
    </row>
    <row r="25" spans="1:1">
      <c r="A25" t="s">
        <v>951</v>
      </c>
    </row>
    <row r="26" spans="1:1">
      <c r="A26" t="s">
        <v>952</v>
      </c>
    </row>
    <row r="27" spans="1:1">
      <c r="A27" t="s">
        <v>953</v>
      </c>
    </row>
    <row r="28" spans="1:1">
      <c r="A28" t="s">
        <v>954</v>
      </c>
    </row>
    <row r="29" spans="1:1">
      <c r="A29" t="s">
        <v>955</v>
      </c>
    </row>
    <row r="30" spans="1:1">
      <c r="A30" t="s">
        <v>956</v>
      </c>
    </row>
    <row r="31" spans="1:1">
      <c r="A31" t="s">
        <v>957</v>
      </c>
    </row>
    <row r="32" spans="1:1">
      <c r="A32" t="s">
        <v>958</v>
      </c>
    </row>
    <row r="33" spans="1:1">
      <c r="A33" t="s">
        <v>959</v>
      </c>
    </row>
    <row r="34" spans="1:1">
      <c r="A34" t="s">
        <v>960</v>
      </c>
    </row>
    <row r="35" spans="1:1">
      <c r="A35" t="s">
        <v>961</v>
      </c>
    </row>
    <row r="36" spans="1:1">
      <c r="A36" t="s">
        <v>962</v>
      </c>
    </row>
    <row r="37" spans="1:1">
      <c r="A37" t="s">
        <v>963</v>
      </c>
    </row>
    <row r="38" spans="1:1">
      <c r="A38" t="s">
        <v>964</v>
      </c>
    </row>
    <row r="39" spans="1:1">
      <c r="A39" t="s">
        <v>965</v>
      </c>
    </row>
    <row r="40" spans="1:1">
      <c r="A40" t="s">
        <v>966</v>
      </c>
    </row>
    <row r="41" spans="1:1">
      <c r="A41" t="s">
        <v>967</v>
      </c>
    </row>
    <row r="42" spans="1:1">
      <c r="A42" t="s">
        <v>968</v>
      </c>
    </row>
    <row r="43" spans="1:1">
      <c r="A43" t="s">
        <v>969</v>
      </c>
    </row>
    <row r="44" spans="1:1">
      <c r="A44" t="s">
        <v>970</v>
      </c>
    </row>
    <row r="45" spans="1:1">
      <c r="A45" t="s">
        <v>971</v>
      </c>
    </row>
    <row r="46" spans="1:1">
      <c r="A46" t="s">
        <v>972</v>
      </c>
    </row>
    <row r="47" spans="1:1">
      <c r="A47" t="s">
        <v>973</v>
      </c>
    </row>
    <row r="48" spans="1:1">
      <c r="A48" t="s">
        <v>974</v>
      </c>
    </row>
    <row r="49" spans="1:1">
      <c r="A49" t="s">
        <v>975</v>
      </c>
    </row>
    <row r="50" spans="1:1">
      <c r="A50" t="s">
        <v>976</v>
      </c>
    </row>
    <row r="51" spans="1:1">
      <c r="A51" t="s">
        <v>977</v>
      </c>
    </row>
    <row r="52" spans="1:1">
      <c r="A52" t="s">
        <v>978</v>
      </c>
    </row>
    <row r="53" spans="1:1">
      <c r="A53" t="s">
        <v>979</v>
      </c>
    </row>
    <row r="54" spans="1:1">
      <c r="A54" t="s">
        <v>980</v>
      </c>
    </row>
    <row r="55" spans="1:1">
      <c r="A55" t="s">
        <v>981</v>
      </c>
    </row>
    <row r="56" spans="1:1">
      <c r="A56" t="s">
        <v>982</v>
      </c>
    </row>
    <row r="57" spans="1:1">
      <c r="A57" t="s">
        <v>983</v>
      </c>
    </row>
    <row r="58" spans="1:1">
      <c r="A58" t="s">
        <v>984</v>
      </c>
    </row>
    <row r="59" spans="1:1">
      <c r="A59" t="s">
        <v>985</v>
      </c>
    </row>
    <row r="60" spans="1:1">
      <c r="A60" t="s">
        <v>986</v>
      </c>
    </row>
    <row r="61" spans="1:1">
      <c r="A61" t="s">
        <v>987</v>
      </c>
    </row>
    <row r="62" spans="1:1">
      <c r="A62" t="s">
        <v>988</v>
      </c>
    </row>
    <row r="63" spans="1:1">
      <c r="A63" t="s">
        <v>989</v>
      </c>
    </row>
    <row r="64" spans="1:1">
      <c r="A64" t="s">
        <v>990</v>
      </c>
    </row>
    <row r="65" spans="1:1">
      <c r="A65" t="s">
        <v>991</v>
      </c>
    </row>
    <row r="66" spans="1:1">
      <c r="A66" t="s">
        <v>992</v>
      </c>
    </row>
    <row r="67" spans="1:1">
      <c r="A67" t="s">
        <v>993</v>
      </c>
    </row>
    <row r="68" spans="1:1">
      <c r="A68" t="s">
        <v>994</v>
      </c>
    </row>
    <row r="69" spans="1:1">
      <c r="A69" t="s">
        <v>995</v>
      </c>
    </row>
    <row r="70" spans="1:1">
      <c r="A70" t="s">
        <v>996</v>
      </c>
    </row>
    <row r="71" spans="1:1">
      <c r="A71" t="s">
        <v>997</v>
      </c>
    </row>
    <row r="72" spans="1:1">
      <c r="A72" t="s">
        <v>998</v>
      </c>
    </row>
    <row r="73" spans="1:1">
      <c r="A73" t="s">
        <v>999</v>
      </c>
    </row>
    <row r="74" spans="1:1">
      <c r="A74" t="s">
        <v>1000</v>
      </c>
    </row>
    <row r="75" spans="1:1">
      <c r="A75" t="s">
        <v>1001</v>
      </c>
    </row>
    <row r="76" spans="1:1">
      <c r="A76" t="s">
        <v>1002</v>
      </c>
    </row>
    <row r="77" spans="1:1">
      <c r="A77" t="s">
        <v>1003</v>
      </c>
    </row>
    <row r="78" spans="1:1">
      <c r="A78" t="s">
        <v>1004</v>
      </c>
    </row>
    <row r="79" spans="1:1">
      <c r="A79" t="s">
        <v>1005</v>
      </c>
    </row>
    <row r="80" spans="1:1">
      <c r="A80" t="s">
        <v>1006</v>
      </c>
    </row>
    <row r="81" spans="1:1">
      <c r="A81" t="s">
        <v>1007</v>
      </c>
    </row>
    <row r="82" spans="1:1">
      <c r="A82" t="s">
        <v>1008</v>
      </c>
    </row>
    <row r="83" spans="1:1">
      <c r="A83" t="s">
        <v>1009</v>
      </c>
    </row>
    <row r="84" spans="1:1">
      <c r="A84" t="s">
        <v>1010</v>
      </c>
    </row>
    <row r="85" spans="1:1">
      <c r="A85" t="s">
        <v>1011</v>
      </c>
    </row>
    <row r="86" spans="1:1">
      <c r="A86" t="s">
        <v>2134</v>
      </c>
    </row>
    <row r="87" spans="1:1">
      <c r="A87" t="s">
        <v>1012</v>
      </c>
    </row>
    <row r="88" spans="1:1">
      <c r="A88" t="s">
        <v>1013</v>
      </c>
    </row>
    <row r="89" spans="1:1">
      <c r="A89" t="s">
        <v>1014</v>
      </c>
    </row>
    <row r="90" spans="1:1">
      <c r="A90" t="s">
        <v>1015</v>
      </c>
    </row>
    <row r="91" spans="1:1">
      <c r="A91" t="s">
        <v>1016</v>
      </c>
    </row>
    <row r="92" spans="1:1">
      <c r="A92" t="s">
        <v>1017</v>
      </c>
    </row>
    <row r="93" spans="1:1">
      <c r="A93" t="s">
        <v>1018</v>
      </c>
    </row>
    <row r="94" spans="1:1">
      <c r="A94" t="s">
        <v>1019</v>
      </c>
    </row>
    <row r="95" spans="1:1">
      <c r="A95" t="s">
        <v>1020</v>
      </c>
    </row>
    <row r="96" spans="1:1">
      <c r="A96" t="s">
        <v>1021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RowHeight="11.25"/>
  <cols>
    <col min="1" max="16384" width="9.140625" style="46"/>
  </cols>
  <sheetData/>
  <phoneticPr fontId="12"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8"/>
  <sheetViews>
    <sheetView showGridLines="0" zoomScaleNormal="100" workbookViewId="0"/>
  </sheetViews>
  <sheetFormatPr defaultRowHeight="11.25"/>
  <sheetData>
    <row r="1" spans="1:1">
      <c r="A1" s="542">
        <f>IF('Общие сведения'!$H$8="",1,0)</f>
        <v>0</v>
      </c>
    </row>
    <row r="2" spans="1:1">
      <c r="A2" s="542">
        <f>IF('Общие сведения'!$H$9="",1,0)</f>
        <v>0</v>
      </c>
    </row>
    <row r="3" spans="1:1">
      <c r="A3" s="542">
        <f>IF('Общие сведения'!$H$10="",1,0)</f>
        <v>0</v>
      </c>
    </row>
    <row r="4" spans="1:1">
      <c r="A4" s="542">
        <f>IF('Общие сведения'!$H$29="",1,0)</f>
        <v>0</v>
      </c>
    </row>
    <row r="5" spans="1:1">
      <c r="A5" s="542">
        <f>IF('Общие сведения'!$H$30="",1,0)</f>
        <v>0</v>
      </c>
    </row>
    <row r="6" spans="1:1">
      <c r="A6" s="542">
        <f>IF('Общие сведения'!$H$31="",1,0)</f>
        <v>0</v>
      </c>
    </row>
    <row r="7" spans="1:1">
      <c r="A7" s="542">
        <f>IF('Общие сведения'!$H$32="",1,0)</f>
        <v>0</v>
      </c>
    </row>
    <row r="8" spans="1:1">
      <c r="A8" s="542">
        <f>IF('Общие сведения'!$H$33="",1,0)</f>
        <v>0</v>
      </c>
    </row>
    <row r="9" spans="1:1">
      <c r="A9" s="542">
        <f>IF('Общие сведения'!$H$34="",1,0)</f>
        <v>0</v>
      </c>
    </row>
    <row r="10" spans="1:1">
      <c r="A10" s="542">
        <f>IF('Общие сведения'!$H$35="",1,0)</f>
        <v>0</v>
      </c>
    </row>
    <row r="11" spans="1:1">
      <c r="A11" s="542">
        <f>IF('Общие сведения'!$H$37="",1,0)</f>
        <v>0</v>
      </c>
    </row>
    <row r="12" spans="1:1">
      <c r="A12" s="542">
        <f>IF('Общие сведения'!$H$38="",1,0)</f>
        <v>0</v>
      </c>
    </row>
    <row r="13" spans="1:1">
      <c r="A13" s="542">
        <f>IF('Общие сведения'!$H$39="",1,0)</f>
        <v>0</v>
      </c>
    </row>
    <row r="14" spans="1:1">
      <c r="A14" s="542">
        <f>IF('Общие сведения'!$H$40="",1,0)</f>
        <v>0</v>
      </c>
    </row>
    <row r="15" spans="1:1">
      <c r="A15" s="542">
        <f>IF('Общие сведения'!$H$41="",1,0)</f>
        <v>0</v>
      </c>
    </row>
    <row r="16" spans="1:1">
      <c r="A16" s="542">
        <f>IF('Общие сведения'!$H$42="",1,0)</f>
        <v>0</v>
      </c>
    </row>
    <row r="17" spans="1:1">
      <c r="A17" s="542">
        <f>IF('Общие сведения'!$H$43="",1,0)</f>
        <v>0</v>
      </c>
    </row>
    <row r="18" spans="1:1">
      <c r="A18" s="542">
        <f>IF('Общие сведения'!$H$45="",1,0)</f>
        <v>0</v>
      </c>
    </row>
    <row r="19" spans="1:1">
      <c r="A19" s="542">
        <f>IF('Общие сведения'!$H$46="",1,0)</f>
        <v>0</v>
      </c>
    </row>
    <row r="20" spans="1:1">
      <c r="A20" s="542">
        <f>IF('Общие сведения'!$H$52="",1,0)</f>
        <v>0</v>
      </c>
    </row>
    <row r="21" spans="1:1">
      <c r="A21" s="542">
        <f>IF('Общие сведения'!$H$58="",1,0)</f>
        <v>0</v>
      </c>
    </row>
    <row r="22" spans="1:1">
      <c r="A22" s="542">
        <f>IF('Общие сведения'!$H$64="",1,0)</f>
        <v>0</v>
      </c>
    </row>
    <row r="23" spans="1:1">
      <c r="A23" s="542">
        <f>IF('Общие сведения'!$H$71="",1,0)</f>
        <v>0</v>
      </c>
    </row>
    <row r="24" spans="1:1">
      <c r="A24" s="542">
        <f>IF('Общие сведения'!$H$78="",1,0)</f>
        <v>0</v>
      </c>
    </row>
    <row r="25" spans="1:1">
      <c r="A25" s="542">
        <f>IF('Общие сведения'!$H$110="",1,0)</f>
        <v>0</v>
      </c>
    </row>
    <row r="26" spans="1:1">
      <c r="A26" s="542">
        <f>IF('Общие сведения'!$H$112="",1,0)</f>
        <v>0</v>
      </c>
    </row>
    <row r="27" spans="1:1">
      <c r="A27" s="542">
        <f>IF('Общие сведения'!$H$156="",1,0)</f>
        <v>0</v>
      </c>
    </row>
    <row r="28" spans="1:1">
      <c r="A28" s="542">
        <f>IF('Общие сведения'!$H$158="",1,0)</f>
        <v>0</v>
      </c>
    </row>
    <row r="29" spans="1:1">
      <c r="A29" s="542">
        <f>IF('Список объектов'!$M$27="",1,0)</f>
        <v>0</v>
      </c>
    </row>
    <row r="30" spans="1:1">
      <c r="A30" s="542">
        <f>IF('Список объектов'!$N$27="",1,0)</f>
        <v>0</v>
      </c>
    </row>
    <row r="31" spans="1:1">
      <c r="A31" s="542">
        <f>IF('Список объектов'!$O$27="",1,0)</f>
        <v>0</v>
      </c>
    </row>
    <row r="32" spans="1:1">
      <c r="A32" s="542">
        <f>IF('Общие сведения'!$H$116="",1,0)</f>
        <v>0</v>
      </c>
    </row>
    <row r="33" spans="1:1">
      <c r="A33" s="542">
        <f>IF('Общие сведения'!$H$117="",1,0)</f>
        <v>0</v>
      </c>
    </row>
    <row r="34" spans="1:1">
      <c r="A34" s="542">
        <f>IF('Общие сведения'!$H$119="",1,0)</f>
        <v>0</v>
      </c>
    </row>
    <row r="35" spans="1:1">
      <c r="A35" s="542">
        <f>IF('Список территорий'!$M$16="",1,0)</f>
        <v>0</v>
      </c>
    </row>
    <row r="36" spans="1:1">
      <c r="A36" s="542">
        <f>IF('Список территорий'!$N$16="",1,0)</f>
        <v>0</v>
      </c>
    </row>
    <row r="37" spans="1:1">
      <c r="A37" s="542">
        <f>IF(ЭЭ!$M$23="",1,0)</f>
        <v>0</v>
      </c>
    </row>
    <row r="38" spans="1:1">
      <c r="A38" s="542">
        <f>IF(Налоги!$M$28="",1,0)</f>
        <v>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3"/>
  </cols>
  <sheetData/>
  <sheetProtection formatColumns="0" formatRows="0"/>
  <phoneticPr fontId="14"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100" hidden="1" customWidth="1"/>
    <col min="11" max="11" width="3.7109375" style="100" customWidth="1"/>
    <col min="12" max="12" width="6.140625" style="100" customWidth="1"/>
    <col min="13" max="13" width="20.7109375" style="100" customWidth="1"/>
    <col min="14" max="14" width="92.5703125" style="100" customWidth="1"/>
    <col min="15" max="16384" width="9.1406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28" t="s">
        <v>709</v>
      </c>
      <c r="M12" s="329"/>
      <c r="N12" s="329"/>
    </row>
    <row r="14" spans="12:14" s="325" customFormat="1" ht="30" customHeight="1">
      <c r="L14" s="264" t="s">
        <v>16</v>
      </c>
      <c r="M14" s="264" t="s">
        <v>710</v>
      </c>
      <c r="N14" s="264" t="s">
        <v>711</v>
      </c>
    </row>
    <row r="15" spans="12:14" ht="33.75">
      <c r="L15" s="264">
        <v>1</v>
      </c>
      <c r="M15" s="330" t="s">
        <v>529</v>
      </c>
      <c r="N15" s="330" t="s">
        <v>712</v>
      </c>
    </row>
    <row r="16" spans="12:14" ht="69" customHeight="1">
      <c r="L16" s="264">
        <v>2</v>
      </c>
      <c r="M16" s="330" t="s">
        <v>530</v>
      </c>
      <c r="N16" s="330" t="s">
        <v>1199</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4" type="noConversion"/>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25"/>
  <sheetData/>
  <phoneticPr fontId="12"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6"/>
  </cols>
  <sheetData/>
  <phoneticPr fontId="12"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31"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3"/>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111</v>
      </c>
      <c r="B1" s="6" t="s">
        <v>112</v>
      </c>
    </row>
    <row r="2" spans="1:2">
      <c r="A2" t="s">
        <v>113</v>
      </c>
      <c r="B2" t="s">
        <v>1110</v>
      </c>
    </row>
    <row r="3" spans="1:2">
      <c r="A3" t="s">
        <v>159</v>
      </c>
      <c r="B3" t="s">
        <v>114</v>
      </c>
    </row>
    <row r="4" spans="1:2">
      <c r="A4" t="s">
        <v>1107</v>
      </c>
      <c r="B4" t="s">
        <v>1153</v>
      </c>
    </row>
    <row r="5" spans="1:2">
      <c r="A5" t="s">
        <v>1258</v>
      </c>
      <c r="B5" t="s">
        <v>1111</v>
      </c>
    </row>
    <row r="6" spans="1:2">
      <c r="A6" t="s">
        <v>1108</v>
      </c>
      <c r="B6" t="s">
        <v>1112</v>
      </c>
    </row>
    <row r="7" spans="1:2">
      <c r="A7" t="s">
        <v>1256</v>
      </c>
      <c r="B7" t="s">
        <v>1338</v>
      </c>
    </row>
    <row r="8" spans="1:2">
      <c r="A8" t="s">
        <v>1259</v>
      </c>
      <c r="B8" t="s">
        <v>1113</v>
      </c>
    </row>
    <row r="9" spans="1:2">
      <c r="A9" t="s">
        <v>1260</v>
      </c>
      <c r="B9" t="s">
        <v>203</v>
      </c>
    </row>
    <row r="10" spans="1:2">
      <c r="A10" t="s">
        <v>1261</v>
      </c>
      <c r="B10" t="s">
        <v>1339</v>
      </c>
    </row>
    <row r="11" spans="1:2">
      <c r="A11" t="s">
        <v>1262</v>
      </c>
      <c r="B11" t="s">
        <v>192</v>
      </c>
    </row>
    <row r="12" spans="1:2">
      <c r="A12" t="s">
        <v>1263</v>
      </c>
      <c r="B12" t="s">
        <v>1114</v>
      </c>
    </row>
    <row r="13" spans="1:2">
      <c r="A13" t="s">
        <v>1257</v>
      </c>
      <c r="B13" t="s">
        <v>1115</v>
      </c>
    </row>
    <row r="14" spans="1:2">
      <c r="A14" t="s">
        <v>301</v>
      </c>
      <c r="B14" t="s">
        <v>190</v>
      </c>
    </row>
    <row r="15" spans="1:2">
      <c r="A15" t="s">
        <v>1264</v>
      </c>
      <c r="B15" t="s">
        <v>118</v>
      </c>
    </row>
    <row r="16" spans="1:2">
      <c r="A16" t="s">
        <v>1265</v>
      </c>
      <c r="B16" t="s">
        <v>160</v>
      </c>
    </row>
    <row r="17" spans="1:2">
      <c r="A17" t="s">
        <v>1266</v>
      </c>
      <c r="B17" t="s">
        <v>172</v>
      </c>
    </row>
    <row r="18" spans="1:2">
      <c r="A18" t="s">
        <v>1267</v>
      </c>
      <c r="B18" t="s">
        <v>193</v>
      </c>
    </row>
    <row r="19" spans="1:2">
      <c r="A19" t="s">
        <v>1268</v>
      </c>
      <c r="B19" t="s">
        <v>189</v>
      </c>
    </row>
    <row r="20" spans="1:2">
      <c r="A20" t="s">
        <v>1269</v>
      </c>
      <c r="B20" t="s">
        <v>116</v>
      </c>
    </row>
    <row r="21" spans="1:2">
      <c r="A21" t="s">
        <v>1270</v>
      </c>
      <c r="B21" t="s">
        <v>119</v>
      </c>
    </row>
    <row r="22" spans="1:2">
      <c r="A22" t="s">
        <v>1271</v>
      </c>
      <c r="B22" t="s">
        <v>174</v>
      </c>
    </row>
    <row r="23" spans="1:2">
      <c r="A23" t="s">
        <v>1272</v>
      </c>
      <c r="B23" t="s">
        <v>173</v>
      </c>
    </row>
    <row r="24" spans="1:2">
      <c r="A24" t="s">
        <v>1273</v>
      </c>
      <c r="B24" t="s">
        <v>158</v>
      </c>
    </row>
    <row r="25" spans="1:2">
      <c r="A25" t="s">
        <v>109</v>
      </c>
      <c r="B25" t="s">
        <v>1116</v>
      </c>
    </row>
    <row r="26" spans="1:2">
      <c r="A26" t="s">
        <v>117</v>
      </c>
      <c r="B26" t="s">
        <v>1117</v>
      </c>
    </row>
    <row r="27" spans="1:2">
      <c r="B27" t="s">
        <v>1118</v>
      </c>
    </row>
    <row r="28" spans="1:2">
      <c r="B28" t="s">
        <v>1119</v>
      </c>
    </row>
    <row r="29" spans="1:2">
      <c r="B29" t="s">
        <v>1120</v>
      </c>
    </row>
    <row r="30" spans="1:2">
      <c r="B30" t="s">
        <v>1332</v>
      </c>
    </row>
    <row r="31" spans="1:2">
      <c r="B31" t="s">
        <v>1154</v>
      </c>
    </row>
    <row r="32" spans="1:2">
      <c r="B32" t="s">
        <v>1245</v>
      </c>
    </row>
    <row r="33" spans="2:2">
      <c r="B33" t="s">
        <v>1401</v>
      </c>
    </row>
  </sheetData>
  <sheetProtection formatColumns="0" formatRows="0"/>
  <phoneticPr fontId="12" type="noConversion"/>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4"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9"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25"/>
  <cols>
    <col min="1" max="1" width="49.1406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2" type="noConversion"/>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2"/>
  <sheetViews>
    <sheetView showGridLines="0" view="pageBreakPreview" topLeftCell="K11" zoomScale="60" zoomScaleNormal="100" workbookViewId="0">
      <selection activeCell="T21" sqref="T21"/>
    </sheetView>
  </sheetViews>
  <sheetFormatPr defaultRowHeight="12.75"/>
  <cols>
    <col min="1" max="10" width="0" style="485" hidden="1" customWidth="1"/>
    <col min="11" max="11" width="3.7109375" style="485" customWidth="1"/>
    <col min="12" max="12" width="11.7109375" style="485" customWidth="1"/>
    <col min="13" max="13" width="32.85546875" style="485" customWidth="1"/>
    <col min="14" max="14" width="116.140625" style="485" customWidth="1"/>
    <col min="15" max="15" width="9.140625" style="486" customWidth="1"/>
    <col min="16" max="16384" width="9.140625" style="485"/>
  </cols>
  <sheetData>
    <row r="1" spans="12:15" hidden="1">
      <c r="L1" s="486"/>
      <c r="M1" s="486"/>
      <c r="N1" s="486"/>
    </row>
    <row r="2" spans="12:15" hidden="1">
      <c r="L2" s="486"/>
      <c r="M2" s="486"/>
      <c r="N2" s="486"/>
    </row>
    <row r="3" spans="12:15" hidden="1">
      <c r="L3" s="486"/>
      <c r="M3" s="486"/>
      <c r="N3" s="486"/>
    </row>
    <row r="4" spans="12:15" hidden="1">
      <c r="L4" s="486"/>
      <c r="M4" s="486"/>
      <c r="N4" s="486"/>
    </row>
    <row r="5" spans="12:15" hidden="1">
      <c r="L5" s="486"/>
      <c r="M5" s="486"/>
      <c r="N5" s="486"/>
    </row>
    <row r="6" spans="12:15" hidden="1">
      <c r="L6" s="486"/>
      <c r="M6" s="486"/>
      <c r="N6" s="486"/>
    </row>
    <row r="7" spans="12:15" hidden="1">
      <c r="L7" s="486"/>
      <c r="M7" s="486"/>
      <c r="N7" s="486"/>
    </row>
    <row r="8" spans="12:15" hidden="1">
      <c r="L8" s="486"/>
      <c r="M8" s="486"/>
      <c r="N8" s="486"/>
    </row>
    <row r="9" spans="12:15" hidden="1">
      <c r="L9" s="486"/>
      <c r="M9" s="486"/>
      <c r="N9" s="486"/>
    </row>
    <row r="10" spans="12:15" hidden="1">
      <c r="L10" s="486"/>
      <c r="M10" s="486"/>
      <c r="N10" s="486"/>
    </row>
    <row r="11" spans="12:15">
      <c r="L11" s="486"/>
      <c r="M11" s="486"/>
      <c r="N11" s="486"/>
    </row>
    <row r="12" spans="12:15" ht="24.95" customHeight="1">
      <c r="L12" s="487" t="s">
        <v>1258</v>
      </c>
      <c r="M12" s="488"/>
      <c r="N12" s="488"/>
    </row>
    <row r="13" spans="12:15" ht="16.5" customHeight="1">
      <c r="L13" s="656" t="s">
        <v>1295</v>
      </c>
      <c r="M13" s="486"/>
      <c r="N13" s="486"/>
    </row>
    <row r="14" spans="12:15" ht="27.95" customHeight="1">
      <c r="L14" s="657" t="s">
        <v>1255</v>
      </c>
      <c r="M14" s="658" t="s">
        <v>1108</v>
      </c>
      <c r="N14" s="659" t="s">
        <v>1294</v>
      </c>
      <c r="O14" s="489"/>
    </row>
    <row r="15" spans="12:15" ht="27.95" customHeight="1">
      <c r="L15" s="657" t="s">
        <v>1255</v>
      </c>
      <c r="M15" s="658" t="s">
        <v>1256</v>
      </c>
      <c r="N15" s="659" t="s">
        <v>1274</v>
      </c>
      <c r="O15" s="489"/>
    </row>
    <row r="16" spans="12:15" ht="27.95" customHeight="1">
      <c r="L16" s="657" t="s">
        <v>1255</v>
      </c>
      <c r="M16" s="658" t="s">
        <v>1259</v>
      </c>
      <c r="N16" s="659" t="s">
        <v>1293</v>
      </c>
      <c r="O16" s="489"/>
    </row>
    <row r="17" spans="12:15" ht="27.95" customHeight="1">
      <c r="L17" s="657" t="s">
        <v>1255</v>
      </c>
      <c r="M17" s="658" t="s">
        <v>1260</v>
      </c>
      <c r="N17" s="659" t="s">
        <v>1277</v>
      </c>
      <c r="O17" s="489"/>
    </row>
    <row r="18" spans="12:15" ht="27.95" customHeight="1">
      <c r="L18" s="657" t="s">
        <v>1255</v>
      </c>
      <c r="M18" s="658" t="s">
        <v>1261</v>
      </c>
      <c r="N18" s="659" t="s">
        <v>1278</v>
      </c>
      <c r="O18" s="489"/>
    </row>
    <row r="19" spans="12:15" ht="27.95" customHeight="1">
      <c r="L19" s="657" t="s">
        <v>1255</v>
      </c>
      <c r="M19" s="658" t="s">
        <v>1262</v>
      </c>
      <c r="N19" s="659" t="s">
        <v>1279</v>
      </c>
      <c r="O19" s="489"/>
    </row>
    <row r="20" spans="12:15" ht="27.95" customHeight="1">
      <c r="L20" s="657" t="s">
        <v>1255</v>
      </c>
      <c r="M20" s="658" t="s">
        <v>1263</v>
      </c>
      <c r="N20" s="659" t="s">
        <v>1280</v>
      </c>
      <c r="O20" s="489"/>
    </row>
    <row r="21" spans="12:15" ht="27.95" customHeight="1">
      <c r="L21" s="657" t="s">
        <v>1255</v>
      </c>
      <c r="M21" s="658" t="s">
        <v>1257</v>
      </c>
      <c r="N21" s="659" t="s">
        <v>1281</v>
      </c>
      <c r="O21" s="489"/>
    </row>
    <row r="22" spans="12:15" ht="27.95" customHeight="1">
      <c r="L22" s="657" t="s">
        <v>1255</v>
      </c>
      <c r="M22" s="658" t="s">
        <v>301</v>
      </c>
      <c r="N22" s="659" t="s">
        <v>1282</v>
      </c>
      <c r="O22" s="489"/>
    </row>
    <row r="23" spans="12:15" ht="27.95" customHeight="1">
      <c r="L23" s="657" t="s">
        <v>1255</v>
      </c>
      <c r="M23" s="658" t="s">
        <v>1264</v>
      </c>
      <c r="N23" s="659" t="s">
        <v>1283</v>
      </c>
      <c r="O23" s="489"/>
    </row>
    <row r="24" spans="12:15" ht="27.95" customHeight="1">
      <c r="L24" s="657" t="s">
        <v>1255</v>
      </c>
      <c r="M24" s="658" t="s">
        <v>1265</v>
      </c>
      <c r="N24" s="659" t="s">
        <v>1284</v>
      </c>
      <c r="O24" s="489"/>
    </row>
    <row r="25" spans="12:15" ht="27.95" customHeight="1">
      <c r="L25" s="657" t="s">
        <v>1255</v>
      </c>
      <c r="M25" s="658" t="s">
        <v>1266</v>
      </c>
      <c r="N25" s="659" t="s">
        <v>1285</v>
      </c>
      <c r="O25" s="489"/>
    </row>
    <row r="26" spans="12:15" ht="27.95" customHeight="1">
      <c r="L26" s="657" t="s">
        <v>1255</v>
      </c>
      <c r="M26" s="658" t="s">
        <v>1267</v>
      </c>
      <c r="N26" s="659" t="s">
        <v>1286</v>
      </c>
      <c r="O26" s="489"/>
    </row>
    <row r="27" spans="12:15" ht="27.95" customHeight="1">
      <c r="L27" s="657" t="s">
        <v>1255</v>
      </c>
      <c r="M27" s="658" t="s">
        <v>1268</v>
      </c>
      <c r="N27" s="659" t="s">
        <v>1287</v>
      </c>
      <c r="O27" s="489"/>
    </row>
    <row r="28" spans="12:15" ht="27.95" customHeight="1">
      <c r="L28" s="657" t="s">
        <v>1255</v>
      </c>
      <c r="M28" s="658" t="s">
        <v>1269</v>
      </c>
      <c r="N28" s="659" t="s">
        <v>1288</v>
      </c>
      <c r="O28" s="489"/>
    </row>
    <row r="29" spans="12:15" ht="27.95" customHeight="1">
      <c r="L29" s="657" t="s">
        <v>1255</v>
      </c>
      <c r="M29" s="658" t="s">
        <v>1270</v>
      </c>
      <c r="N29" s="659" t="s">
        <v>1289</v>
      </c>
      <c r="O29" s="489"/>
    </row>
    <row r="30" spans="12:15" ht="27.95" customHeight="1">
      <c r="L30" s="657" t="s">
        <v>1255</v>
      </c>
      <c r="M30" s="658" t="s">
        <v>1271</v>
      </c>
      <c r="N30" s="659" t="s">
        <v>1290</v>
      </c>
      <c r="O30" s="489"/>
    </row>
    <row r="31" spans="12:15" ht="27.95" customHeight="1">
      <c r="L31" s="657" t="s">
        <v>1255</v>
      </c>
      <c r="M31" s="658" t="s">
        <v>1272</v>
      </c>
      <c r="N31" s="659" t="s">
        <v>1291</v>
      </c>
      <c r="O31" s="489"/>
    </row>
    <row r="32" spans="12:15" ht="27.95" customHeight="1">
      <c r="L32" s="657" t="s">
        <v>1255</v>
      </c>
      <c r="M32" s="658" t="s">
        <v>1273</v>
      </c>
      <c r="N32" s="659" t="s">
        <v>1292</v>
      </c>
      <c r="O32" s="489"/>
    </row>
  </sheetData>
  <sheetProtection formatColumns="0" formatRows="0" autoFilter="0"/>
  <pageMargins left="0.7" right="0.7" top="0.75" bottom="0.47222222222222221" header="0.3" footer="0.3"/>
  <pageSetup paperSize="9" orientation="portrait" horizontalDpi="0" verticalDpi="0"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61"/>
  <sheetViews>
    <sheetView showGridLines="0" tabSelected="1" view="pageBreakPreview" topLeftCell="D6" zoomScale="80" zoomScaleNormal="100" zoomScaleSheetLayoutView="80" workbookViewId="0">
      <selection activeCell="G192" sqref="G192"/>
    </sheetView>
  </sheetViews>
  <sheetFormatPr defaultColWidth="9.140625" defaultRowHeight="10.5"/>
  <cols>
    <col min="1" max="3" width="10.7109375" style="53" hidden="1" customWidth="1"/>
    <col min="4" max="4" width="3.7109375" style="53" customWidth="1"/>
    <col min="5" max="5" width="12.7109375" style="53" customWidth="1"/>
    <col min="6" max="6" width="18.7109375" style="53" customWidth="1"/>
    <col min="7" max="7" width="57.5703125" style="53" customWidth="1"/>
    <col min="8" max="8" width="48.7109375" style="53" customWidth="1"/>
    <col min="9" max="9" width="3.7109375" style="53" customWidth="1"/>
    <col min="10" max="10" width="59.42578125" style="53" hidden="1" customWidth="1"/>
    <col min="11" max="14" width="16.7109375" style="53" hidden="1" customWidth="1"/>
    <col min="15" max="16" width="9.140625" style="53" customWidth="1"/>
    <col min="17" max="16384" width="9.140625" style="53"/>
  </cols>
  <sheetData>
    <row r="1" spans="1:16" hidden="1">
      <c r="A1" s="661"/>
      <c r="B1" s="661"/>
      <c r="C1" s="661"/>
      <c r="D1" s="661"/>
      <c r="E1" s="661"/>
      <c r="F1" s="661"/>
      <c r="G1" s="661"/>
      <c r="H1" s="661"/>
      <c r="I1" s="661"/>
      <c r="J1" s="661"/>
      <c r="K1" s="661"/>
      <c r="L1" s="661"/>
      <c r="M1" s="661"/>
      <c r="N1" s="661"/>
      <c r="O1" s="661"/>
      <c r="P1" s="661"/>
    </row>
    <row r="2" spans="1:16" hidden="1">
      <c r="A2" s="661"/>
      <c r="B2" s="661"/>
      <c r="C2" s="661"/>
      <c r="D2" s="661"/>
      <c r="E2" s="661"/>
      <c r="F2" s="661"/>
      <c r="G2" s="661"/>
      <c r="H2" s="661"/>
      <c r="I2" s="661"/>
      <c r="J2" s="661"/>
      <c r="K2" s="661"/>
      <c r="L2" s="661"/>
      <c r="M2" s="661"/>
      <c r="N2" s="661"/>
      <c r="O2" s="661"/>
      <c r="P2" s="661"/>
    </row>
    <row r="3" spans="1:16" hidden="1">
      <c r="A3" s="661"/>
      <c r="B3" s="661"/>
      <c r="C3" s="661"/>
      <c r="D3" s="661"/>
      <c r="E3" s="661"/>
      <c r="F3" s="661"/>
      <c r="G3" s="661"/>
      <c r="H3" s="661"/>
      <c r="I3" s="661"/>
      <c r="J3" s="661"/>
      <c r="K3" s="661"/>
      <c r="L3" s="661"/>
      <c r="M3" s="661"/>
      <c r="N3" s="661"/>
      <c r="O3" s="661"/>
      <c r="P3" s="661"/>
    </row>
    <row r="4" spans="1:16" hidden="1">
      <c r="A4" s="661"/>
      <c r="B4" s="661"/>
      <c r="C4" s="661"/>
      <c r="D4" s="661"/>
      <c r="E4" s="661"/>
      <c r="F4" s="661"/>
      <c r="G4" s="661"/>
      <c r="H4" s="661"/>
      <c r="I4" s="661"/>
      <c r="J4" s="661"/>
      <c r="K4" s="661"/>
      <c r="L4" s="661"/>
      <c r="M4" s="661"/>
      <c r="N4" s="661"/>
      <c r="O4" s="661"/>
      <c r="P4" s="661"/>
    </row>
    <row r="5" spans="1:16" hidden="1">
      <c r="A5" s="661"/>
      <c r="B5" s="661"/>
      <c r="C5" s="661"/>
      <c r="D5" s="661"/>
      <c r="E5" s="661"/>
      <c r="F5" s="661"/>
      <c r="G5" s="661"/>
      <c r="H5" s="661"/>
      <c r="I5" s="661"/>
      <c r="J5" s="661"/>
      <c r="K5" s="661"/>
      <c r="L5" s="661"/>
      <c r="M5" s="661"/>
      <c r="N5" s="661"/>
      <c r="O5" s="661"/>
      <c r="P5" s="661"/>
    </row>
    <row r="6" spans="1:16">
      <c r="A6" s="661"/>
      <c r="B6" s="661"/>
      <c r="C6" s="661"/>
      <c r="D6" s="661"/>
      <c r="E6" s="661"/>
      <c r="F6" s="661"/>
      <c r="G6" s="661"/>
      <c r="H6" s="661"/>
      <c r="I6" s="661"/>
      <c r="J6" s="661"/>
      <c r="K6" s="661"/>
      <c r="L6" s="661"/>
      <c r="M6" s="661"/>
      <c r="N6" s="661"/>
      <c r="O6" s="661"/>
      <c r="P6" s="661"/>
    </row>
    <row r="7" spans="1:16" ht="16.5" customHeight="1">
      <c r="A7" s="661"/>
      <c r="B7" s="661"/>
      <c r="C7" s="660"/>
      <c r="D7" s="661"/>
      <c r="E7" s="625" t="s">
        <v>105</v>
      </c>
      <c r="F7" s="626"/>
      <c r="G7" s="627"/>
      <c r="H7" s="662" t="s">
        <v>19</v>
      </c>
      <c r="I7" s="661" t="s">
        <v>835</v>
      </c>
      <c r="J7" s="661"/>
      <c r="K7" s="661"/>
      <c r="L7" s="661"/>
      <c r="M7" s="661"/>
      <c r="N7" s="661"/>
      <c r="O7" s="661"/>
      <c r="P7" s="661"/>
    </row>
    <row r="8" spans="1:16" ht="16.5" customHeight="1">
      <c r="A8" s="661"/>
      <c r="B8" s="661"/>
      <c r="C8" s="660"/>
      <c r="D8" s="661"/>
      <c r="E8" s="625" t="s">
        <v>106</v>
      </c>
      <c r="F8" s="626"/>
      <c r="G8" s="627"/>
      <c r="H8" s="663">
        <v>2024</v>
      </c>
      <c r="I8" s="664"/>
      <c r="J8" s="661"/>
      <c r="K8" s="661"/>
      <c r="L8" s="661"/>
      <c r="M8" s="661"/>
      <c r="N8" s="661"/>
      <c r="O8" s="661"/>
      <c r="P8" s="661"/>
    </row>
    <row r="9" spans="1:16" ht="16.5" customHeight="1">
      <c r="A9" s="661"/>
      <c r="B9" s="661"/>
      <c r="C9" s="660"/>
      <c r="D9" s="661"/>
      <c r="E9" s="625" t="s">
        <v>925</v>
      </c>
      <c r="F9" s="626"/>
      <c r="G9" s="627"/>
      <c r="H9" s="663">
        <v>2023</v>
      </c>
      <c r="I9" s="664">
        <v>2027</v>
      </c>
      <c r="J9" s="660">
        <v>2024</v>
      </c>
      <c r="K9" s="661"/>
      <c r="L9" s="661"/>
      <c r="M9" s="661"/>
      <c r="N9" s="661"/>
      <c r="O9" s="661"/>
      <c r="P9" s="661"/>
    </row>
    <row r="10" spans="1:16" ht="16.5" customHeight="1">
      <c r="A10" s="661"/>
      <c r="B10" s="661"/>
      <c r="C10" s="660"/>
      <c r="D10" s="661"/>
      <c r="E10" s="625" t="s">
        <v>269</v>
      </c>
      <c r="F10" s="626"/>
      <c r="G10" s="627"/>
      <c r="H10" s="663">
        <v>5</v>
      </c>
      <c r="I10" s="664"/>
      <c r="J10" s="661"/>
      <c r="K10" s="661"/>
      <c r="L10" s="661"/>
      <c r="M10" s="661"/>
      <c r="N10" s="661"/>
      <c r="O10" s="661"/>
      <c r="P10" s="661"/>
    </row>
    <row r="11" spans="1:16" ht="16.5" customHeight="1">
      <c r="A11" s="661"/>
      <c r="B11" s="661"/>
      <c r="C11" s="660"/>
      <c r="D11" s="661"/>
      <c r="E11" s="625" t="s">
        <v>1205</v>
      </c>
      <c r="F11" s="626"/>
      <c r="G11" s="627"/>
      <c r="H11" s="663">
        <v>4</v>
      </c>
      <c r="I11" s="664"/>
      <c r="J11" s="661"/>
      <c r="K11" s="661"/>
      <c r="L11" s="661"/>
      <c r="M11" s="661"/>
      <c r="N11" s="661"/>
      <c r="O11" s="661"/>
      <c r="P11" s="661"/>
    </row>
    <row r="12" spans="1:16">
      <c r="A12" s="661"/>
      <c r="B12" s="661"/>
      <c r="C12" s="660"/>
      <c r="D12" s="661"/>
      <c r="E12" s="661"/>
      <c r="F12" s="661"/>
      <c r="G12" s="661"/>
      <c r="H12" s="661"/>
      <c r="I12" s="661"/>
      <c r="J12" s="661"/>
      <c r="K12" s="661"/>
      <c r="L12" s="661"/>
      <c r="M12" s="661"/>
      <c r="N12" s="661"/>
      <c r="O12" s="661"/>
      <c r="P12" s="661"/>
    </row>
    <row r="13" spans="1:16">
      <c r="A13" s="661"/>
      <c r="B13" s="661"/>
      <c r="C13" s="660"/>
      <c r="D13" s="661"/>
      <c r="E13" s="661"/>
      <c r="F13" s="661"/>
      <c r="G13" s="661"/>
      <c r="H13" s="661"/>
      <c r="I13" s="661"/>
      <c r="J13" s="661"/>
      <c r="K13" s="661"/>
      <c r="L13" s="661"/>
      <c r="M13" s="661"/>
      <c r="N13" s="661"/>
      <c r="O13" s="661"/>
      <c r="P13" s="661"/>
    </row>
    <row r="14" spans="1:16" ht="15" customHeight="1">
      <c r="A14" s="661"/>
      <c r="B14" s="661"/>
      <c r="C14" s="660"/>
      <c r="D14" s="661"/>
      <c r="E14" s="665" t="s">
        <v>204</v>
      </c>
      <c r="F14" s="665"/>
      <c r="G14" s="665"/>
      <c r="H14" s="665"/>
      <c r="I14" s="666"/>
      <c r="J14" s="666"/>
      <c r="K14" s="666"/>
      <c r="L14" s="666"/>
      <c r="M14" s="666"/>
      <c r="N14" s="666"/>
      <c r="O14" s="666"/>
      <c r="P14" s="666"/>
    </row>
    <row r="15" spans="1:16" ht="15" customHeight="1">
      <c r="A15" s="661"/>
      <c r="B15" s="661"/>
      <c r="C15" s="660"/>
      <c r="D15" s="661"/>
      <c r="E15" s="667" t="s">
        <v>916</v>
      </c>
      <c r="F15" s="667"/>
      <c r="G15" s="667"/>
      <c r="H15" s="667"/>
      <c r="I15" s="666"/>
      <c r="J15" s="666"/>
      <c r="K15" s="666"/>
      <c r="L15" s="666"/>
      <c r="M15" s="666"/>
      <c r="N15" s="666"/>
      <c r="O15" s="666"/>
      <c r="P15" s="666"/>
    </row>
    <row r="16" spans="1:16" ht="15" customHeight="1">
      <c r="A16" s="661"/>
      <c r="B16" s="661"/>
      <c r="C16" s="660"/>
      <c r="D16" s="661"/>
      <c r="E16" s="665" t="s">
        <v>205</v>
      </c>
      <c r="F16" s="665"/>
      <c r="G16" s="665"/>
      <c r="H16" s="665"/>
      <c r="I16" s="666"/>
      <c r="J16" s="666"/>
      <c r="K16" s="666"/>
      <c r="L16" s="666"/>
      <c r="M16" s="666"/>
      <c r="N16" s="666"/>
      <c r="O16" s="666"/>
      <c r="P16" s="666"/>
    </row>
    <row r="17" spans="1:16" ht="15" customHeight="1">
      <c r="A17" s="661"/>
      <c r="B17" s="661"/>
      <c r="C17" s="660"/>
      <c r="D17" s="661">
        <v>26319988</v>
      </c>
      <c r="E17" s="668" t="s">
        <v>1475</v>
      </c>
      <c r="F17" s="668"/>
      <c r="G17" s="668"/>
      <c r="H17" s="668"/>
      <c r="I17" s="669"/>
      <c r="J17" s="666"/>
      <c r="K17" s="666"/>
      <c r="L17" s="666"/>
      <c r="M17" s="666"/>
      <c r="N17" s="666"/>
      <c r="O17" s="661" t="s">
        <v>2537</v>
      </c>
      <c r="P17" s="666"/>
    </row>
    <row r="18" spans="1:16" ht="15" customHeight="1">
      <c r="A18" s="661"/>
      <c r="B18" s="661"/>
      <c r="C18" s="660"/>
      <c r="D18" s="661"/>
      <c r="E18" s="670" t="s">
        <v>2538</v>
      </c>
      <c r="F18" s="670"/>
      <c r="G18" s="670"/>
      <c r="H18" s="670"/>
      <c r="I18" s="669"/>
      <c r="J18" s="666"/>
      <c r="K18" s="666"/>
      <c r="L18" s="666"/>
      <c r="M18" s="666"/>
      <c r="N18" s="666"/>
      <c r="O18" s="666"/>
      <c r="P18" s="666"/>
    </row>
    <row r="19" spans="1:16" ht="15" customHeight="1">
      <c r="A19" s="661"/>
      <c r="B19" s="661"/>
      <c r="C19" s="660"/>
      <c r="D19" s="661"/>
      <c r="E19" s="671" t="s">
        <v>2539</v>
      </c>
      <c r="F19" s="671"/>
      <c r="G19" s="671"/>
      <c r="H19" s="671"/>
      <c r="I19" s="672"/>
      <c r="J19" s="666"/>
      <c r="K19" s="666"/>
      <c r="L19" s="666"/>
      <c r="M19" s="666"/>
      <c r="N19" s="666"/>
      <c r="O19" s="666"/>
      <c r="P19" s="666"/>
    </row>
    <row r="20" spans="1:16" ht="11.25" customHeight="1">
      <c r="A20" s="661"/>
      <c r="B20" s="661"/>
      <c r="C20" s="660"/>
      <c r="D20" s="661"/>
      <c r="E20" s="673"/>
      <c r="F20" s="674"/>
      <c r="G20" s="674"/>
      <c r="H20" s="675"/>
      <c r="I20" s="676"/>
      <c r="J20" s="677"/>
      <c r="K20" s="678"/>
      <c r="L20" s="679"/>
      <c r="M20" s="679"/>
      <c r="N20" s="678"/>
      <c r="O20" s="677"/>
      <c r="P20" s="677"/>
    </row>
    <row r="21" spans="1:16" ht="11.25" customHeight="1">
      <c r="A21" s="661"/>
      <c r="B21" s="661"/>
      <c r="C21" s="660"/>
      <c r="D21" s="661"/>
      <c r="E21" s="680" t="s">
        <v>1253</v>
      </c>
      <c r="F21" s="680"/>
      <c r="G21" s="680"/>
      <c r="H21" s="680"/>
      <c r="I21" s="681"/>
      <c r="J21" s="682"/>
      <c r="K21" s="682"/>
      <c r="L21" s="682"/>
      <c r="M21" s="682"/>
      <c r="N21" s="682"/>
      <c r="O21" s="664"/>
      <c r="P21" s="664"/>
    </row>
    <row r="22" spans="1:16" ht="30.6" customHeight="1">
      <c r="A22" s="661"/>
      <c r="B22" s="661"/>
      <c r="C22" s="660"/>
      <c r="D22" s="661"/>
      <c r="E22" s="683" t="s">
        <v>206</v>
      </c>
      <c r="F22" s="683"/>
      <c r="G22" s="683"/>
      <c r="H22" s="684" t="s">
        <v>2498</v>
      </c>
      <c r="I22" s="685"/>
      <c r="J22" s="664"/>
      <c r="K22" s="664"/>
      <c r="L22" s="664"/>
      <c r="M22" s="661"/>
      <c r="N22" s="661"/>
      <c r="O22" s="661"/>
      <c r="P22" s="661"/>
    </row>
    <row r="23" spans="1:16" ht="21" customHeight="1">
      <c r="A23" s="661"/>
      <c r="B23" s="661"/>
      <c r="C23" s="660"/>
      <c r="D23" s="661"/>
      <c r="E23" s="683" t="s">
        <v>207</v>
      </c>
      <c r="F23" s="683"/>
      <c r="G23" s="683"/>
      <c r="H23" s="684" t="s">
        <v>1475</v>
      </c>
      <c r="I23" s="685"/>
      <c r="J23" s="661"/>
      <c r="K23" s="661"/>
      <c r="L23" s="661"/>
      <c r="M23" s="661"/>
      <c r="N23" s="661"/>
      <c r="O23" s="661"/>
      <c r="P23" s="661"/>
    </row>
    <row r="24" spans="1:16" ht="15.95" customHeight="1">
      <c r="A24" s="661"/>
      <c r="B24" s="661"/>
      <c r="C24" s="660"/>
      <c r="D24" s="661"/>
      <c r="E24" s="683" t="s">
        <v>208</v>
      </c>
      <c r="F24" s="683"/>
      <c r="G24" s="683"/>
      <c r="H24" s="686"/>
      <c r="I24" s="685"/>
      <c r="J24" s="661"/>
      <c r="K24" s="661"/>
      <c r="L24" s="661"/>
      <c r="M24" s="661"/>
      <c r="N24" s="661"/>
      <c r="O24" s="661"/>
      <c r="P24" s="661"/>
    </row>
    <row r="25" spans="1:16" ht="15.95" customHeight="1">
      <c r="A25" s="661"/>
      <c r="B25" s="661"/>
      <c r="C25" s="660"/>
      <c r="D25" s="661"/>
      <c r="E25" s="683" t="s">
        <v>209</v>
      </c>
      <c r="F25" s="683"/>
      <c r="G25" s="683"/>
      <c r="H25" s="687" t="s">
        <v>2499</v>
      </c>
      <c r="I25" s="685"/>
      <c r="J25" s="661"/>
      <c r="K25" s="661"/>
      <c r="L25" s="661"/>
      <c r="M25" s="661"/>
      <c r="N25" s="661"/>
      <c r="O25" s="661"/>
      <c r="P25" s="661"/>
    </row>
    <row r="26" spans="1:16" ht="15.95" customHeight="1">
      <c r="A26" s="661"/>
      <c r="B26" s="661"/>
      <c r="C26" s="660"/>
      <c r="D26" s="661"/>
      <c r="E26" s="683" t="s">
        <v>107</v>
      </c>
      <c r="F26" s="683"/>
      <c r="G26" s="683"/>
      <c r="H26" s="688" t="s">
        <v>1476</v>
      </c>
      <c r="I26" s="685"/>
      <c r="J26" s="661"/>
      <c r="K26" s="661"/>
      <c r="L26" s="661"/>
      <c r="M26" s="661"/>
      <c r="N26" s="661"/>
      <c r="O26" s="661"/>
      <c r="P26" s="661"/>
    </row>
    <row r="27" spans="1:16" ht="15.95" customHeight="1">
      <c r="A27" s="661"/>
      <c r="B27" s="661"/>
      <c r="C27" s="660"/>
      <c r="D27" s="661"/>
      <c r="E27" s="683" t="s">
        <v>108</v>
      </c>
      <c r="F27" s="683"/>
      <c r="G27" s="683"/>
      <c r="H27" s="688" t="s">
        <v>1477</v>
      </c>
      <c r="I27" s="685"/>
      <c r="J27" s="661"/>
      <c r="K27" s="661"/>
      <c r="L27" s="661"/>
      <c r="M27" s="661"/>
      <c r="N27" s="661"/>
      <c r="O27" s="661"/>
      <c r="P27" s="661"/>
    </row>
    <row r="28" spans="1:16" ht="15.95" customHeight="1">
      <c r="A28" s="661"/>
      <c r="B28" s="661"/>
      <c r="C28" s="660"/>
      <c r="D28" s="661"/>
      <c r="E28" s="683" t="s">
        <v>210</v>
      </c>
      <c r="F28" s="683"/>
      <c r="G28" s="683"/>
      <c r="H28" s="686"/>
      <c r="I28" s="685"/>
      <c r="J28" s="661"/>
      <c r="K28" s="661"/>
      <c r="L28" s="661"/>
      <c r="M28" s="661"/>
      <c r="N28" s="661"/>
      <c r="O28" s="661"/>
      <c r="P28" s="661"/>
    </row>
    <row r="29" spans="1:16" ht="15.95" customHeight="1">
      <c r="A29" s="661"/>
      <c r="B29" s="661"/>
      <c r="C29" s="660"/>
      <c r="D29" s="661"/>
      <c r="E29" s="683" t="s">
        <v>211</v>
      </c>
      <c r="F29" s="683"/>
      <c r="G29" s="683"/>
      <c r="H29" s="689" t="s">
        <v>939</v>
      </c>
      <c r="I29" s="685"/>
      <c r="J29" s="661"/>
      <c r="K29" s="661"/>
      <c r="L29" s="661"/>
      <c r="M29" s="661"/>
      <c r="N29" s="661"/>
      <c r="O29" s="661"/>
      <c r="P29" s="661"/>
    </row>
    <row r="30" spans="1:16" ht="29.25" customHeight="1">
      <c r="A30" s="661"/>
      <c r="B30" s="661"/>
      <c r="C30" s="660"/>
      <c r="D30" s="661"/>
      <c r="E30" s="683" t="s">
        <v>212</v>
      </c>
      <c r="F30" s="683"/>
      <c r="G30" s="683"/>
      <c r="H30" s="690" t="s">
        <v>2525</v>
      </c>
      <c r="I30" s="669"/>
      <c r="J30" s="661"/>
      <c r="K30" s="661"/>
      <c r="L30" s="661"/>
      <c r="M30" s="661"/>
      <c r="N30" s="661"/>
      <c r="O30" s="661"/>
      <c r="P30" s="661"/>
    </row>
    <row r="31" spans="1:16" ht="29.25" customHeight="1">
      <c r="A31" s="661"/>
      <c r="B31" s="661"/>
      <c r="C31" s="660"/>
      <c r="D31" s="661"/>
      <c r="E31" s="683" t="s">
        <v>213</v>
      </c>
      <c r="F31" s="683"/>
      <c r="G31" s="683"/>
      <c r="H31" s="690" t="s">
        <v>2525</v>
      </c>
      <c r="I31" s="669"/>
      <c r="J31" s="661"/>
      <c r="K31" s="661"/>
      <c r="L31" s="661"/>
      <c r="M31" s="661"/>
      <c r="N31" s="661"/>
      <c r="O31" s="661"/>
      <c r="P31" s="661"/>
    </row>
    <row r="32" spans="1:16" ht="15.95" customHeight="1">
      <c r="A32" s="661"/>
      <c r="B32" s="661"/>
      <c r="C32" s="660"/>
      <c r="D32" s="661"/>
      <c r="E32" s="683" t="s">
        <v>214</v>
      </c>
      <c r="F32" s="683"/>
      <c r="G32" s="683"/>
      <c r="H32" s="690" t="s">
        <v>2494</v>
      </c>
      <c r="I32" s="669"/>
      <c r="J32" s="661"/>
      <c r="K32" s="661"/>
      <c r="L32" s="661"/>
      <c r="M32" s="661"/>
      <c r="N32" s="661"/>
      <c r="O32" s="661"/>
      <c r="P32" s="661"/>
    </row>
    <row r="33" spans="1:16" ht="15.95" customHeight="1">
      <c r="A33" s="661"/>
      <c r="B33" s="661"/>
      <c r="C33" s="660"/>
      <c r="D33" s="661"/>
      <c r="E33" s="683" t="s">
        <v>164</v>
      </c>
      <c r="F33" s="683"/>
      <c r="G33" s="683"/>
      <c r="H33" s="690" t="s">
        <v>2495</v>
      </c>
      <c r="I33" s="669"/>
      <c r="J33" s="661"/>
      <c r="K33" s="661"/>
      <c r="L33" s="661"/>
      <c r="M33" s="661"/>
      <c r="N33" s="661"/>
      <c r="O33" s="661"/>
      <c r="P33" s="661"/>
    </row>
    <row r="34" spans="1:16" ht="15.95" customHeight="1">
      <c r="A34" s="661"/>
      <c r="B34" s="661"/>
      <c r="C34" s="660"/>
      <c r="D34" s="661"/>
      <c r="E34" s="683" t="s">
        <v>215</v>
      </c>
      <c r="F34" s="683"/>
      <c r="G34" s="683"/>
      <c r="H34" s="690" t="s">
        <v>2526</v>
      </c>
      <c r="I34" s="669"/>
      <c r="J34" s="661"/>
      <c r="K34" s="661"/>
      <c r="L34" s="661"/>
      <c r="M34" s="661"/>
      <c r="N34" s="661"/>
      <c r="O34" s="661"/>
      <c r="P34" s="661"/>
    </row>
    <row r="35" spans="1:16" ht="15.95" customHeight="1">
      <c r="A35" s="661"/>
      <c r="B35" s="661"/>
      <c r="C35" s="660"/>
      <c r="D35" s="661"/>
      <c r="E35" s="683" t="s">
        <v>216</v>
      </c>
      <c r="F35" s="683"/>
      <c r="G35" s="683"/>
      <c r="H35" s="690" t="s">
        <v>2496</v>
      </c>
      <c r="I35" s="669"/>
      <c r="J35" s="661"/>
      <c r="K35" s="661"/>
      <c r="L35" s="661"/>
      <c r="M35" s="661"/>
      <c r="N35" s="661"/>
      <c r="O35" s="661"/>
      <c r="P35" s="661"/>
    </row>
    <row r="36" spans="1:16" ht="15.95" customHeight="1">
      <c r="A36" s="661"/>
      <c r="B36" s="661"/>
      <c r="C36" s="660"/>
      <c r="D36" s="661"/>
      <c r="E36" s="683" t="s">
        <v>217</v>
      </c>
      <c r="F36" s="683"/>
      <c r="G36" s="683"/>
      <c r="H36" s="691" t="s">
        <v>2497</v>
      </c>
      <c r="I36" s="669"/>
      <c r="J36" s="661"/>
      <c r="K36" s="661"/>
      <c r="L36" s="661"/>
      <c r="M36" s="661"/>
      <c r="N36" s="661"/>
      <c r="O36" s="661"/>
      <c r="P36" s="661"/>
    </row>
    <row r="37" spans="1:16" ht="15.95" customHeight="1">
      <c r="A37" s="661"/>
      <c r="B37" s="661"/>
      <c r="C37" s="660"/>
      <c r="D37" s="661"/>
      <c r="E37" s="683" t="s">
        <v>218</v>
      </c>
      <c r="F37" s="683"/>
      <c r="G37" s="692" t="s">
        <v>219</v>
      </c>
      <c r="H37" s="693" t="s">
        <v>21</v>
      </c>
      <c r="I37" s="669"/>
      <c r="J37" s="661"/>
      <c r="K37" s="661"/>
      <c r="L37" s="661"/>
      <c r="M37" s="661"/>
      <c r="N37" s="661"/>
      <c r="O37" s="661"/>
      <c r="P37" s="661"/>
    </row>
    <row r="38" spans="1:16" ht="15.95" customHeight="1">
      <c r="A38" s="661"/>
      <c r="B38" s="661"/>
      <c r="C38" s="660"/>
      <c r="D38" s="661"/>
      <c r="E38" s="683"/>
      <c r="F38" s="683"/>
      <c r="G38" s="692" t="s">
        <v>220</v>
      </c>
      <c r="H38" s="694" t="s">
        <v>2500</v>
      </c>
      <c r="I38" s="669"/>
      <c r="J38" s="661"/>
      <c r="K38" s="661"/>
      <c r="L38" s="661"/>
      <c r="M38" s="661"/>
      <c r="N38" s="661"/>
      <c r="O38" s="661"/>
      <c r="P38" s="661"/>
    </row>
    <row r="39" spans="1:16" ht="15.95" customHeight="1">
      <c r="A39" s="661"/>
      <c r="B39" s="661"/>
      <c r="C39" s="660"/>
      <c r="D39" s="661"/>
      <c r="E39" s="683"/>
      <c r="F39" s="683"/>
      <c r="G39" s="692" t="s">
        <v>221</v>
      </c>
      <c r="H39" s="694" t="s">
        <v>755</v>
      </c>
      <c r="I39" s="669"/>
      <c r="J39" s="661"/>
      <c r="K39" s="661"/>
      <c r="L39" s="661"/>
      <c r="M39" s="661"/>
      <c r="N39" s="661"/>
      <c r="O39" s="661"/>
      <c r="P39" s="661"/>
    </row>
    <row r="40" spans="1:16" ht="20.25" customHeight="1">
      <c r="A40" s="661"/>
      <c r="B40" s="661"/>
      <c r="C40" s="660"/>
      <c r="D40" s="661"/>
      <c r="E40" s="683" t="s">
        <v>222</v>
      </c>
      <c r="F40" s="683"/>
      <c r="G40" s="683"/>
      <c r="H40" s="693" t="s">
        <v>20</v>
      </c>
      <c r="I40" s="669"/>
      <c r="J40" s="661"/>
      <c r="K40" s="661"/>
      <c r="L40" s="661"/>
      <c r="M40" s="661"/>
      <c r="N40" s="661"/>
      <c r="O40" s="661"/>
      <c r="P40" s="661"/>
    </row>
    <row r="41" spans="1:16" ht="15.95" customHeight="1">
      <c r="A41" s="661"/>
      <c r="B41" s="661"/>
      <c r="C41" s="660"/>
      <c r="D41" s="661"/>
      <c r="E41" s="683" t="s">
        <v>223</v>
      </c>
      <c r="F41" s="683"/>
      <c r="G41" s="683"/>
      <c r="H41" s="693" t="s">
        <v>20</v>
      </c>
      <c r="I41" s="669"/>
      <c r="J41" s="661"/>
      <c r="K41" s="661"/>
      <c r="L41" s="661"/>
      <c r="M41" s="661"/>
      <c r="N41" s="661"/>
      <c r="O41" s="661"/>
      <c r="P41" s="661"/>
    </row>
    <row r="42" spans="1:16" ht="21.75" customHeight="1">
      <c r="A42" s="661"/>
      <c r="B42" s="661"/>
      <c r="C42" s="660"/>
      <c r="D42" s="661"/>
      <c r="E42" s="683" t="s">
        <v>224</v>
      </c>
      <c r="F42" s="683"/>
      <c r="G42" s="683"/>
      <c r="H42" s="693" t="s">
        <v>21</v>
      </c>
      <c r="I42" s="669"/>
      <c r="J42" s="661"/>
      <c r="K42" s="661"/>
      <c r="L42" s="661"/>
      <c r="M42" s="661"/>
      <c r="N42" s="661"/>
      <c r="O42" s="661"/>
      <c r="P42" s="661"/>
    </row>
    <row r="43" spans="1:16" ht="15.95" customHeight="1">
      <c r="A43" s="661" t="s">
        <v>1381</v>
      </c>
      <c r="B43" s="661"/>
      <c r="C43" s="660"/>
      <c r="D43" s="661"/>
      <c r="E43" s="683" t="s">
        <v>225</v>
      </c>
      <c r="F43" s="683"/>
      <c r="G43" s="683"/>
      <c r="H43" s="693" t="s">
        <v>21</v>
      </c>
      <c r="I43" s="669"/>
      <c r="J43" s="661"/>
      <c r="K43" s="661"/>
      <c r="L43" s="661"/>
      <c r="M43" s="661"/>
      <c r="N43" s="661"/>
      <c r="O43" s="661"/>
      <c r="P43" s="661"/>
    </row>
    <row r="44" spans="1:16" ht="15.95" hidden="1" customHeight="1">
      <c r="A44" s="661"/>
      <c r="B44" s="661"/>
      <c r="C44" s="660"/>
      <c r="D44" s="661"/>
      <c r="E44" s="629" t="s">
        <v>226</v>
      </c>
      <c r="F44" s="629"/>
      <c r="G44" s="629"/>
      <c r="H44" s="695" t="s">
        <v>1156</v>
      </c>
      <c r="I44" s="669"/>
      <c r="J44" s="696"/>
      <c r="K44" s="661"/>
      <c r="L44" s="661"/>
      <c r="M44" s="661"/>
      <c r="N44" s="661"/>
      <c r="O44" s="661"/>
      <c r="P44" s="661"/>
    </row>
    <row r="45" spans="1:16" ht="15.95" customHeight="1">
      <c r="A45" s="661"/>
      <c r="B45" s="661"/>
      <c r="C45" s="660"/>
      <c r="D45" s="661"/>
      <c r="E45" s="683" t="s">
        <v>227</v>
      </c>
      <c r="F45" s="683"/>
      <c r="G45" s="683"/>
      <c r="H45" s="693" t="s">
        <v>20</v>
      </c>
      <c r="I45" s="669"/>
      <c r="J45" s="661"/>
      <c r="K45" s="661"/>
      <c r="L45" s="661"/>
      <c r="M45" s="661"/>
      <c r="N45" s="661"/>
      <c r="O45" s="661"/>
      <c r="P45" s="661"/>
    </row>
    <row r="46" spans="1:16" ht="15.95" customHeight="1">
      <c r="A46" s="661" t="s">
        <v>1382</v>
      </c>
      <c r="B46" s="661"/>
      <c r="C46" s="660"/>
      <c r="D46" s="661"/>
      <c r="E46" s="683" t="s">
        <v>228</v>
      </c>
      <c r="F46" s="683"/>
      <c r="G46" s="683"/>
      <c r="H46" s="693" t="s">
        <v>21</v>
      </c>
      <c r="I46" s="669"/>
      <c r="J46" s="661"/>
      <c r="K46" s="661"/>
      <c r="L46" s="661"/>
      <c r="M46" s="661"/>
      <c r="N46" s="661"/>
      <c r="O46" s="661"/>
      <c r="P46" s="661"/>
    </row>
    <row r="47" spans="1:16" ht="15.95" hidden="1" customHeight="1">
      <c r="A47" s="661"/>
      <c r="B47" s="661"/>
      <c r="C47" s="660"/>
      <c r="D47" s="661"/>
      <c r="E47" s="697" t="s">
        <v>229</v>
      </c>
      <c r="F47" s="683" t="s">
        <v>230</v>
      </c>
      <c r="G47" s="683"/>
      <c r="H47" s="698" t="s">
        <v>1156</v>
      </c>
      <c r="I47" s="669"/>
      <c r="J47" s="661"/>
      <c r="K47" s="661"/>
      <c r="L47" s="661"/>
      <c r="M47" s="661"/>
      <c r="N47" s="661"/>
      <c r="O47" s="661"/>
      <c r="P47" s="661"/>
    </row>
    <row r="48" spans="1:16" ht="15.95" hidden="1" customHeight="1">
      <c r="A48" s="661"/>
      <c r="B48" s="661"/>
      <c r="C48" s="660"/>
      <c r="D48" s="661"/>
      <c r="E48" s="697"/>
      <c r="F48" s="683" t="s">
        <v>231</v>
      </c>
      <c r="G48" s="683"/>
      <c r="H48" s="699" t="s">
        <v>1156</v>
      </c>
      <c r="I48" s="669"/>
      <c r="J48" s="661"/>
      <c r="K48" s="661"/>
      <c r="L48" s="661"/>
      <c r="M48" s="661"/>
      <c r="N48" s="661"/>
      <c r="O48" s="661"/>
      <c r="P48" s="661"/>
    </row>
    <row r="49" spans="1:16" ht="15.95" hidden="1" customHeight="1">
      <c r="A49" s="661"/>
      <c r="B49" s="661"/>
      <c r="C49" s="660"/>
      <c r="D49" s="661"/>
      <c r="E49" s="697"/>
      <c r="F49" s="683" t="s">
        <v>232</v>
      </c>
      <c r="G49" s="683"/>
      <c r="H49" s="698" t="s">
        <v>1156</v>
      </c>
      <c r="I49" s="669"/>
      <c r="J49" s="661"/>
      <c r="K49" s="661"/>
      <c r="L49" s="661"/>
      <c r="M49" s="661"/>
      <c r="N49" s="661"/>
      <c r="O49" s="661"/>
      <c r="P49" s="661"/>
    </row>
    <row r="50" spans="1:16" ht="15.95" hidden="1" customHeight="1">
      <c r="A50" s="661"/>
      <c r="B50" s="661"/>
      <c r="C50" s="660"/>
      <c r="D50" s="661"/>
      <c r="E50" s="697"/>
      <c r="F50" s="683" t="s">
        <v>233</v>
      </c>
      <c r="G50" s="683"/>
      <c r="H50" s="700"/>
      <c r="I50" s="669"/>
      <c r="J50" s="661"/>
      <c r="K50" s="661"/>
      <c r="L50" s="661"/>
      <c r="M50" s="661"/>
      <c r="N50" s="661"/>
      <c r="O50" s="661"/>
      <c r="P50" s="661"/>
    </row>
    <row r="51" spans="1:16" ht="15.95" hidden="1" customHeight="1">
      <c r="A51" s="661"/>
      <c r="B51" s="661"/>
      <c r="C51" s="660"/>
      <c r="D51" s="661"/>
      <c r="E51" s="697"/>
      <c r="F51" s="629" t="s">
        <v>234</v>
      </c>
      <c r="G51" s="629"/>
      <c r="H51" s="695" t="s">
        <v>1156</v>
      </c>
      <c r="I51" s="669"/>
      <c r="J51" s="696"/>
      <c r="K51" s="661"/>
      <c r="L51" s="661"/>
      <c r="M51" s="661"/>
      <c r="N51" s="661"/>
      <c r="O51" s="661"/>
      <c r="P51" s="661"/>
    </row>
    <row r="52" spans="1:16" ht="15.95" customHeight="1">
      <c r="A52" s="661" t="s">
        <v>1383</v>
      </c>
      <c r="B52" s="661"/>
      <c r="C52" s="660"/>
      <c r="D52" s="661"/>
      <c r="E52" s="683" t="s">
        <v>235</v>
      </c>
      <c r="F52" s="683"/>
      <c r="G52" s="683"/>
      <c r="H52" s="693" t="s">
        <v>21</v>
      </c>
      <c r="I52" s="669"/>
      <c r="J52" s="661"/>
      <c r="K52" s="661"/>
      <c r="L52" s="661"/>
      <c r="M52" s="661"/>
      <c r="N52" s="661"/>
      <c r="O52" s="661"/>
      <c r="P52" s="661"/>
    </row>
    <row r="53" spans="1:16" ht="15.95" hidden="1" customHeight="1">
      <c r="A53" s="661"/>
      <c r="B53" s="661"/>
      <c r="C53" s="660"/>
      <c r="D53" s="661"/>
      <c r="E53" s="697" t="s">
        <v>229</v>
      </c>
      <c r="F53" s="683" t="s">
        <v>230</v>
      </c>
      <c r="G53" s="683"/>
      <c r="H53" s="698" t="s">
        <v>1156</v>
      </c>
      <c r="I53" s="669"/>
      <c r="J53" s="661"/>
      <c r="K53" s="661"/>
      <c r="L53" s="661"/>
      <c r="M53" s="661"/>
      <c r="N53" s="661"/>
      <c r="O53" s="661"/>
      <c r="P53" s="661"/>
    </row>
    <row r="54" spans="1:16" ht="15.95" hidden="1" customHeight="1">
      <c r="A54" s="661"/>
      <c r="B54" s="661"/>
      <c r="C54" s="660"/>
      <c r="D54" s="661"/>
      <c r="E54" s="697"/>
      <c r="F54" s="683" t="s">
        <v>231</v>
      </c>
      <c r="G54" s="683"/>
      <c r="H54" s="699" t="s">
        <v>1156</v>
      </c>
      <c r="I54" s="669"/>
      <c r="J54" s="661"/>
      <c r="K54" s="661"/>
      <c r="L54" s="661"/>
      <c r="M54" s="661"/>
      <c r="N54" s="661"/>
      <c r="O54" s="661"/>
      <c r="P54" s="661"/>
    </row>
    <row r="55" spans="1:16" ht="15.95" hidden="1" customHeight="1">
      <c r="A55" s="661"/>
      <c r="B55" s="661"/>
      <c r="C55" s="660"/>
      <c r="D55" s="661"/>
      <c r="E55" s="697"/>
      <c r="F55" s="683" t="s">
        <v>232</v>
      </c>
      <c r="G55" s="683"/>
      <c r="H55" s="698" t="s">
        <v>1156</v>
      </c>
      <c r="I55" s="669"/>
      <c r="J55" s="661"/>
      <c r="K55" s="661"/>
      <c r="L55" s="661"/>
      <c r="M55" s="661"/>
      <c r="N55" s="661"/>
      <c r="O55" s="661"/>
      <c r="P55" s="661"/>
    </row>
    <row r="56" spans="1:16" ht="15.95" hidden="1" customHeight="1">
      <c r="A56" s="661"/>
      <c r="B56" s="661"/>
      <c r="C56" s="660"/>
      <c r="D56" s="661"/>
      <c r="E56" s="697"/>
      <c r="F56" s="683" t="s">
        <v>233</v>
      </c>
      <c r="G56" s="683"/>
      <c r="H56" s="700"/>
      <c r="I56" s="669"/>
      <c r="J56" s="661"/>
      <c r="K56" s="661"/>
      <c r="L56" s="661"/>
      <c r="M56" s="661"/>
      <c r="N56" s="661"/>
      <c r="O56" s="661"/>
      <c r="P56" s="661"/>
    </row>
    <row r="57" spans="1:16" ht="15.95" hidden="1" customHeight="1">
      <c r="A57" s="661"/>
      <c r="B57" s="661"/>
      <c r="C57" s="660"/>
      <c r="D57" s="661"/>
      <c r="E57" s="697"/>
      <c r="F57" s="629" t="s">
        <v>234</v>
      </c>
      <c r="G57" s="629"/>
      <c r="H57" s="695" t="s">
        <v>1156</v>
      </c>
      <c r="I57" s="669"/>
      <c r="J57" s="696"/>
      <c r="K57" s="661"/>
      <c r="L57" s="661"/>
      <c r="M57" s="661"/>
      <c r="N57" s="661"/>
      <c r="O57" s="661"/>
      <c r="P57" s="661"/>
    </row>
    <row r="58" spans="1:16" ht="15.95" customHeight="1">
      <c r="A58" s="661" t="s">
        <v>1384</v>
      </c>
      <c r="B58" s="661"/>
      <c r="C58" s="660"/>
      <c r="D58" s="661"/>
      <c r="E58" s="683" t="s">
        <v>236</v>
      </c>
      <c r="F58" s="683"/>
      <c r="G58" s="683"/>
      <c r="H58" s="693" t="s">
        <v>21</v>
      </c>
      <c r="I58" s="669"/>
      <c r="J58" s="661"/>
      <c r="K58" s="661"/>
      <c r="L58" s="661"/>
      <c r="M58" s="661"/>
      <c r="N58" s="661"/>
      <c r="O58" s="661"/>
      <c r="P58" s="661"/>
    </row>
    <row r="59" spans="1:16" ht="15.95" hidden="1" customHeight="1">
      <c r="A59" s="661"/>
      <c r="B59" s="661"/>
      <c r="C59" s="660"/>
      <c r="D59" s="661"/>
      <c r="E59" s="697" t="s">
        <v>229</v>
      </c>
      <c r="F59" s="683" t="s">
        <v>230</v>
      </c>
      <c r="G59" s="683"/>
      <c r="H59" s="698" t="s">
        <v>1156</v>
      </c>
      <c r="I59" s="669"/>
      <c r="J59" s="661"/>
      <c r="K59" s="661"/>
      <c r="L59" s="661"/>
      <c r="M59" s="661"/>
      <c r="N59" s="661"/>
      <c r="O59" s="661"/>
      <c r="P59" s="661"/>
    </row>
    <row r="60" spans="1:16" ht="15.95" hidden="1" customHeight="1">
      <c r="A60" s="661"/>
      <c r="B60" s="661"/>
      <c r="C60" s="660"/>
      <c r="D60" s="661"/>
      <c r="E60" s="697"/>
      <c r="F60" s="683" t="s">
        <v>231</v>
      </c>
      <c r="G60" s="683"/>
      <c r="H60" s="699" t="s">
        <v>1156</v>
      </c>
      <c r="I60" s="669"/>
      <c r="J60" s="661"/>
      <c r="K60" s="661"/>
      <c r="L60" s="661"/>
      <c r="M60" s="661"/>
      <c r="N60" s="661"/>
      <c r="O60" s="661"/>
      <c r="P60" s="661"/>
    </row>
    <row r="61" spans="1:16" ht="15.95" hidden="1" customHeight="1">
      <c r="A61" s="661"/>
      <c r="B61" s="661"/>
      <c r="C61" s="660"/>
      <c r="D61" s="661"/>
      <c r="E61" s="697"/>
      <c r="F61" s="683" t="s">
        <v>232</v>
      </c>
      <c r="G61" s="683"/>
      <c r="H61" s="698" t="s">
        <v>1156</v>
      </c>
      <c r="I61" s="669"/>
      <c r="J61" s="661"/>
      <c r="K61" s="661"/>
      <c r="L61" s="661"/>
      <c r="M61" s="661"/>
      <c r="N61" s="661"/>
      <c r="O61" s="661"/>
      <c r="P61" s="661"/>
    </row>
    <row r="62" spans="1:16" ht="15.95" hidden="1" customHeight="1">
      <c r="A62" s="661"/>
      <c r="B62" s="661"/>
      <c r="C62" s="660"/>
      <c r="D62" s="661"/>
      <c r="E62" s="697"/>
      <c r="F62" s="683" t="s">
        <v>233</v>
      </c>
      <c r="G62" s="683"/>
      <c r="H62" s="700"/>
      <c r="I62" s="669"/>
      <c r="J62" s="661"/>
      <c r="K62" s="661"/>
      <c r="L62" s="661"/>
      <c r="M62" s="661"/>
      <c r="N62" s="661"/>
      <c r="O62" s="661"/>
      <c r="P62" s="661"/>
    </row>
    <row r="63" spans="1:16" ht="15.95" hidden="1" customHeight="1">
      <c r="A63" s="661"/>
      <c r="B63" s="661"/>
      <c r="C63" s="660"/>
      <c r="D63" s="661"/>
      <c r="E63" s="697"/>
      <c r="F63" s="629" t="s">
        <v>234</v>
      </c>
      <c r="G63" s="629"/>
      <c r="H63" s="695" t="s">
        <v>1156</v>
      </c>
      <c r="I63" s="669"/>
      <c r="J63" s="696"/>
      <c r="K63" s="661"/>
      <c r="L63" s="661"/>
      <c r="M63" s="661"/>
      <c r="N63" s="661"/>
      <c r="O63" s="661"/>
      <c r="P63" s="661"/>
    </row>
    <row r="64" spans="1:16" ht="21.95" customHeight="1">
      <c r="A64" s="661" t="s">
        <v>1385</v>
      </c>
      <c r="B64" s="661"/>
      <c r="C64" s="660"/>
      <c r="D64" s="661"/>
      <c r="E64" s="683" t="s">
        <v>2540</v>
      </c>
      <c r="F64" s="683"/>
      <c r="G64" s="683"/>
      <c r="H64" s="693" t="s">
        <v>21</v>
      </c>
      <c r="I64" s="669"/>
      <c r="J64" s="696"/>
      <c r="K64" s="661"/>
      <c r="L64" s="661"/>
      <c r="M64" s="661"/>
      <c r="N64" s="661"/>
      <c r="O64" s="661"/>
      <c r="P64" s="661"/>
    </row>
    <row r="65" spans="1:16" ht="15.95" hidden="1" customHeight="1">
      <c r="A65" s="661"/>
      <c r="B65" s="661"/>
      <c r="C65" s="660"/>
      <c r="D65" s="661"/>
      <c r="E65" s="697" t="s">
        <v>229</v>
      </c>
      <c r="F65" s="683" t="s">
        <v>230</v>
      </c>
      <c r="G65" s="683"/>
      <c r="H65" s="698" t="s">
        <v>1156</v>
      </c>
      <c r="I65" s="669"/>
      <c r="J65" s="661"/>
      <c r="K65" s="661"/>
      <c r="L65" s="661"/>
      <c r="M65" s="661"/>
      <c r="N65" s="661"/>
      <c r="O65" s="661"/>
      <c r="P65" s="661"/>
    </row>
    <row r="66" spans="1:16" ht="15.95" hidden="1" customHeight="1">
      <c r="A66" s="661"/>
      <c r="B66" s="661"/>
      <c r="C66" s="660"/>
      <c r="D66" s="661"/>
      <c r="E66" s="697"/>
      <c r="F66" s="683" t="s">
        <v>231</v>
      </c>
      <c r="G66" s="683"/>
      <c r="H66" s="699" t="s">
        <v>1156</v>
      </c>
      <c r="I66" s="669"/>
      <c r="J66" s="661"/>
      <c r="K66" s="661"/>
      <c r="L66" s="661"/>
      <c r="M66" s="661"/>
      <c r="N66" s="661"/>
      <c r="O66" s="661"/>
      <c r="P66" s="661"/>
    </row>
    <row r="67" spans="1:16" ht="15.95" hidden="1" customHeight="1">
      <c r="A67" s="661"/>
      <c r="B67" s="661"/>
      <c r="C67" s="660"/>
      <c r="D67" s="661"/>
      <c r="E67" s="697"/>
      <c r="F67" s="683" t="s">
        <v>232</v>
      </c>
      <c r="G67" s="683"/>
      <c r="H67" s="698" t="s">
        <v>1156</v>
      </c>
      <c r="I67" s="669"/>
      <c r="J67" s="661"/>
      <c r="K67" s="661"/>
      <c r="L67" s="661"/>
      <c r="M67" s="661"/>
      <c r="N67" s="661"/>
      <c r="O67" s="661"/>
      <c r="P67" s="661"/>
    </row>
    <row r="68" spans="1:16" ht="15.95" hidden="1" customHeight="1">
      <c r="A68" s="661"/>
      <c r="B68" s="661"/>
      <c r="C68" s="660"/>
      <c r="D68" s="661"/>
      <c r="E68" s="697"/>
      <c r="F68" s="683" t="s">
        <v>233</v>
      </c>
      <c r="G68" s="683"/>
      <c r="H68" s="700"/>
      <c r="I68" s="669"/>
      <c r="J68" s="661"/>
      <c r="K68" s="661"/>
      <c r="L68" s="661"/>
      <c r="M68" s="661"/>
      <c r="N68" s="661"/>
      <c r="O68" s="661"/>
      <c r="P68" s="661"/>
    </row>
    <row r="69" spans="1:16" ht="15.95" hidden="1" customHeight="1">
      <c r="A69" s="661"/>
      <c r="B69" s="661"/>
      <c r="C69" s="660"/>
      <c r="D69" s="661"/>
      <c r="E69" s="697"/>
      <c r="F69" s="683" t="s">
        <v>237</v>
      </c>
      <c r="G69" s="683"/>
      <c r="H69" s="700"/>
      <c r="I69" s="669"/>
      <c r="J69" s="661"/>
      <c r="K69" s="661"/>
      <c r="L69" s="661"/>
      <c r="M69" s="661"/>
      <c r="N69" s="661"/>
      <c r="O69" s="661"/>
      <c r="P69" s="661"/>
    </row>
    <row r="70" spans="1:16" ht="15.95" hidden="1" customHeight="1">
      <c r="A70" s="661"/>
      <c r="B70" s="661"/>
      <c r="C70" s="660"/>
      <c r="D70" s="661"/>
      <c r="E70" s="697"/>
      <c r="F70" s="683" t="s">
        <v>238</v>
      </c>
      <c r="G70" s="683"/>
      <c r="H70" s="700"/>
      <c r="I70" s="669"/>
      <c r="J70" s="661"/>
      <c r="K70" s="661"/>
      <c r="L70" s="661"/>
      <c r="M70" s="661"/>
      <c r="N70" s="661"/>
      <c r="O70" s="661"/>
      <c r="P70" s="661"/>
    </row>
    <row r="71" spans="1:16" ht="21.95" customHeight="1">
      <c r="A71" s="661" t="s">
        <v>1386</v>
      </c>
      <c r="B71" s="661"/>
      <c r="C71" s="660"/>
      <c r="D71" s="661"/>
      <c r="E71" s="683" t="s">
        <v>2541</v>
      </c>
      <c r="F71" s="683"/>
      <c r="G71" s="683"/>
      <c r="H71" s="693" t="s">
        <v>21</v>
      </c>
      <c r="I71" s="669"/>
      <c r="J71" s="661"/>
      <c r="K71" s="661"/>
      <c r="L71" s="661"/>
      <c r="M71" s="661"/>
      <c r="N71" s="661"/>
      <c r="O71" s="661"/>
      <c r="P71" s="661"/>
    </row>
    <row r="72" spans="1:16" ht="15.95" hidden="1" customHeight="1">
      <c r="A72" s="661"/>
      <c r="B72" s="661"/>
      <c r="C72" s="660"/>
      <c r="D72" s="661"/>
      <c r="E72" s="697" t="s">
        <v>229</v>
      </c>
      <c r="F72" s="683" t="s">
        <v>230</v>
      </c>
      <c r="G72" s="683"/>
      <c r="H72" s="698" t="s">
        <v>1156</v>
      </c>
      <c r="I72" s="669"/>
      <c r="J72" s="661"/>
      <c r="K72" s="661"/>
      <c r="L72" s="661"/>
      <c r="M72" s="661"/>
      <c r="N72" s="661"/>
      <c r="O72" s="661"/>
      <c r="P72" s="661"/>
    </row>
    <row r="73" spans="1:16" ht="15.95" hidden="1" customHeight="1">
      <c r="A73" s="661"/>
      <c r="B73" s="661"/>
      <c r="C73" s="660"/>
      <c r="D73" s="661"/>
      <c r="E73" s="697"/>
      <c r="F73" s="683" t="s">
        <v>231</v>
      </c>
      <c r="G73" s="683"/>
      <c r="H73" s="699" t="s">
        <v>1156</v>
      </c>
      <c r="I73" s="669"/>
      <c r="J73" s="661"/>
      <c r="K73" s="661"/>
      <c r="L73" s="661"/>
      <c r="M73" s="661"/>
      <c r="N73" s="661"/>
      <c r="O73" s="661"/>
      <c r="P73" s="661"/>
    </row>
    <row r="74" spans="1:16" ht="15.95" hidden="1" customHeight="1">
      <c r="A74" s="661"/>
      <c r="B74" s="661"/>
      <c r="C74" s="660"/>
      <c r="D74" s="661"/>
      <c r="E74" s="697"/>
      <c r="F74" s="683" t="s">
        <v>232</v>
      </c>
      <c r="G74" s="683"/>
      <c r="H74" s="698" t="s">
        <v>1156</v>
      </c>
      <c r="I74" s="669"/>
      <c r="J74" s="661"/>
      <c r="K74" s="661"/>
      <c r="L74" s="661"/>
      <c r="M74" s="661"/>
      <c r="N74" s="661"/>
      <c r="O74" s="661"/>
      <c r="P74" s="661"/>
    </row>
    <row r="75" spans="1:16" ht="15.95" hidden="1" customHeight="1">
      <c r="A75" s="661"/>
      <c r="B75" s="661"/>
      <c r="C75" s="660"/>
      <c r="D75" s="661"/>
      <c r="E75" s="697"/>
      <c r="F75" s="683" t="s">
        <v>233</v>
      </c>
      <c r="G75" s="683"/>
      <c r="H75" s="700"/>
      <c r="I75" s="669"/>
      <c r="J75" s="661"/>
      <c r="K75" s="661"/>
      <c r="L75" s="661"/>
      <c r="M75" s="661"/>
      <c r="N75" s="661"/>
      <c r="O75" s="661"/>
      <c r="P75" s="661"/>
    </row>
    <row r="76" spans="1:16" ht="15.95" hidden="1" customHeight="1">
      <c r="A76" s="661"/>
      <c r="B76" s="661"/>
      <c r="C76" s="660"/>
      <c r="D76" s="661"/>
      <c r="E76" s="697"/>
      <c r="F76" s="683" t="s">
        <v>237</v>
      </c>
      <c r="G76" s="683"/>
      <c r="H76" s="700"/>
      <c r="I76" s="669"/>
      <c r="J76" s="661"/>
      <c r="K76" s="661"/>
      <c r="L76" s="661"/>
      <c r="M76" s="661"/>
      <c r="N76" s="661"/>
      <c r="O76" s="661"/>
      <c r="P76" s="661"/>
    </row>
    <row r="77" spans="1:16" ht="15.95" hidden="1" customHeight="1">
      <c r="A77" s="661"/>
      <c r="B77" s="661"/>
      <c r="C77" s="660"/>
      <c r="D77" s="661"/>
      <c r="E77" s="697"/>
      <c r="F77" s="683" t="s">
        <v>238</v>
      </c>
      <c r="G77" s="683"/>
      <c r="H77" s="700"/>
      <c r="I77" s="669"/>
      <c r="J77" s="661"/>
      <c r="K77" s="661"/>
      <c r="L77" s="661"/>
      <c r="M77" s="661"/>
      <c r="N77" s="661"/>
      <c r="O77" s="661"/>
      <c r="P77" s="661"/>
    </row>
    <row r="78" spans="1:16" ht="21.95" customHeight="1">
      <c r="A78" s="661" t="s">
        <v>1387</v>
      </c>
      <c r="B78" s="661"/>
      <c r="C78" s="660"/>
      <c r="D78" s="661"/>
      <c r="E78" s="683" t="s">
        <v>2542</v>
      </c>
      <c r="F78" s="683"/>
      <c r="G78" s="683"/>
      <c r="H78" s="693" t="s">
        <v>21</v>
      </c>
      <c r="I78" s="669"/>
      <c r="J78" s="661"/>
      <c r="K78" s="661"/>
      <c r="L78" s="661"/>
      <c r="M78" s="661"/>
      <c r="N78" s="661"/>
      <c r="O78" s="661"/>
      <c r="P78" s="661"/>
    </row>
    <row r="79" spans="1:16" ht="15.95" hidden="1" customHeight="1">
      <c r="A79" s="661"/>
      <c r="B79" s="661"/>
      <c r="C79" s="660"/>
      <c r="D79" s="661"/>
      <c r="E79" s="697" t="s">
        <v>229</v>
      </c>
      <c r="F79" s="683" t="s">
        <v>230</v>
      </c>
      <c r="G79" s="683"/>
      <c r="H79" s="698" t="s">
        <v>1156</v>
      </c>
      <c r="I79" s="669"/>
      <c r="J79" s="661"/>
      <c r="K79" s="661"/>
      <c r="L79" s="661"/>
      <c r="M79" s="661"/>
      <c r="N79" s="661"/>
      <c r="O79" s="661"/>
      <c r="P79" s="661"/>
    </row>
    <row r="80" spans="1:16" ht="15.95" hidden="1" customHeight="1">
      <c r="A80" s="661"/>
      <c r="B80" s="661"/>
      <c r="C80" s="660"/>
      <c r="D80" s="661"/>
      <c r="E80" s="697"/>
      <c r="F80" s="683" t="s">
        <v>231</v>
      </c>
      <c r="G80" s="683"/>
      <c r="H80" s="699" t="s">
        <v>1156</v>
      </c>
      <c r="I80" s="669"/>
      <c r="J80" s="661"/>
      <c r="K80" s="661"/>
      <c r="L80" s="661"/>
      <c r="M80" s="661"/>
      <c r="N80" s="661"/>
      <c r="O80" s="661"/>
      <c r="P80" s="661"/>
    </row>
    <row r="81" spans="1:16" ht="15.95" hidden="1" customHeight="1">
      <c r="A81" s="661"/>
      <c r="B81" s="661"/>
      <c r="C81" s="660"/>
      <c r="D81" s="661"/>
      <c r="E81" s="697"/>
      <c r="F81" s="683" t="s">
        <v>232</v>
      </c>
      <c r="G81" s="683"/>
      <c r="H81" s="698" t="s">
        <v>1156</v>
      </c>
      <c r="I81" s="669"/>
      <c r="J81" s="661"/>
      <c r="K81" s="661"/>
      <c r="L81" s="661"/>
      <c r="M81" s="661"/>
      <c r="N81" s="661"/>
      <c r="O81" s="661"/>
      <c r="P81" s="661"/>
    </row>
    <row r="82" spans="1:16" ht="15.95" hidden="1" customHeight="1">
      <c r="A82" s="661"/>
      <c r="B82" s="661"/>
      <c r="C82" s="660"/>
      <c r="D82" s="661"/>
      <c r="E82" s="697"/>
      <c r="F82" s="683" t="s">
        <v>233</v>
      </c>
      <c r="G82" s="683"/>
      <c r="H82" s="700"/>
      <c r="I82" s="669"/>
      <c r="J82" s="661"/>
      <c r="K82" s="661"/>
      <c r="L82" s="661"/>
      <c r="M82" s="661"/>
      <c r="N82" s="661"/>
      <c r="O82" s="661"/>
      <c r="P82" s="661"/>
    </row>
    <row r="83" spans="1:16" ht="15.95" hidden="1" customHeight="1">
      <c r="A83" s="661"/>
      <c r="B83" s="661"/>
      <c r="C83" s="660"/>
      <c r="D83" s="661"/>
      <c r="E83" s="697"/>
      <c r="F83" s="683" t="s">
        <v>239</v>
      </c>
      <c r="G83" s="683"/>
      <c r="H83" s="700"/>
      <c r="I83" s="669"/>
      <c r="J83" s="661"/>
      <c r="K83" s="661"/>
      <c r="L83" s="661"/>
      <c r="M83" s="661"/>
      <c r="N83" s="661"/>
      <c r="O83" s="661"/>
      <c r="P83" s="661"/>
    </row>
    <row r="84" spans="1:16" ht="15.95" hidden="1" customHeight="1">
      <c r="A84" s="661"/>
      <c r="B84" s="661"/>
      <c r="C84" s="660"/>
      <c r="D84" s="661"/>
      <c r="E84" s="697"/>
      <c r="F84" s="683" t="s">
        <v>1148</v>
      </c>
      <c r="G84" s="683"/>
      <c r="H84" s="700"/>
      <c r="I84" s="669"/>
      <c r="J84" s="661"/>
      <c r="K84" s="661"/>
      <c r="L84" s="661"/>
      <c r="M84" s="661"/>
      <c r="N84" s="661"/>
      <c r="O84" s="661"/>
      <c r="P84" s="661"/>
    </row>
    <row r="85" spans="1:16" ht="15.95" customHeight="1">
      <c r="A85" s="661"/>
      <c r="B85" s="661"/>
      <c r="C85" s="660"/>
      <c r="D85" s="661"/>
      <c r="E85" s="683" t="s">
        <v>240</v>
      </c>
      <c r="F85" s="683"/>
      <c r="G85" s="683"/>
      <c r="H85" s="701"/>
      <c r="I85" s="669"/>
      <c r="J85" s="661"/>
      <c r="K85" s="661"/>
      <c r="L85" s="661"/>
      <c r="M85" s="661"/>
      <c r="N85" s="661"/>
      <c r="O85" s="661"/>
      <c r="P85" s="661"/>
    </row>
    <row r="86" spans="1:16" ht="11.25" customHeight="1">
      <c r="A86" s="661"/>
      <c r="B86" s="661"/>
      <c r="C86" s="660"/>
      <c r="D86" s="661"/>
      <c r="E86" s="661"/>
      <c r="F86" s="661"/>
      <c r="G86" s="661"/>
      <c r="H86" s="660"/>
      <c r="I86" s="669"/>
      <c r="J86" s="661"/>
      <c r="K86" s="661"/>
      <c r="L86" s="661"/>
      <c r="M86" s="661"/>
      <c r="N86" s="661"/>
      <c r="O86" s="661"/>
      <c r="P86" s="661"/>
    </row>
    <row r="87" spans="1:16" ht="15.95" customHeight="1">
      <c r="A87" s="661"/>
      <c r="B87" s="661"/>
      <c r="C87" s="660"/>
      <c r="D87" s="661"/>
      <c r="E87" s="683" t="s">
        <v>241</v>
      </c>
      <c r="F87" s="683"/>
      <c r="G87" s="692" t="s">
        <v>242</v>
      </c>
      <c r="H87" s="686" t="s">
        <v>2527</v>
      </c>
      <c r="I87" s="669"/>
      <c r="J87" s="661"/>
      <c r="K87" s="661"/>
      <c r="L87" s="661"/>
      <c r="M87" s="661"/>
      <c r="N87" s="661"/>
      <c r="O87" s="661"/>
      <c r="P87" s="661"/>
    </row>
    <row r="88" spans="1:16" ht="15.95" customHeight="1">
      <c r="A88" s="661"/>
      <c r="B88" s="661"/>
      <c r="C88" s="660"/>
      <c r="D88" s="661"/>
      <c r="E88" s="683"/>
      <c r="F88" s="683"/>
      <c r="G88" s="692" t="s">
        <v>243</v>
      </c>
      <c r="H88" s="686" t="s">
        <v>2528</v>
      </c>
      <c r="I88" s="669"/>
      <c r="J88" s="661"/>
      <c r="K88" s="661"/>
      <c r="L88" s="661"/>
      <c r="M88" s="661"/>
      <c r="N88" s="661"/>
      <c r="O88" s="661"/>
      <c r="P88" s="661"/>
    </row>
    <row r="89" spans="1:16" ht="15.95" customHeight="1">
      <c r="A89" s="661"/>
      <c r="B89" s="661"/>
      <c r="C89" s="660"/>
      <c r="D89" s="661"/>
      <c r="E89" s="683"/>
      <c r="F89" s="683"/>
      <c r="G89" s="692" t="s">
        <v>244</v>
      </c>
      <c r="H89" s="686" t="s">
        <v>2529</v>
      </c>
      <c r="I89" s="669"/>
      <c r="J89" s="661"/>
      <c r="K89" s="661"/>
      <c r="L89" s="661"/>
      <c r="M89" s="661"/>
      <c r="N89" s="661"/>
      <c r="O89" s="661"/>
      <c r="P89" s="661"/>
    </row>
    <row r="90" spans="1:16" ht="15.95" customHeight="1">
      <c r="A90" s="661"/>
      <c r="B90" s="661"/>
      <c r="C90" s="660"/>
      <c r="D90" s="661"/>
      <c r="E90" s="683"/>
      <c r="F90" s="683"/>
      <c r="G90" s="692" t="s">
        <v>245</v>
      </c>
      <c r="H90" s="686" t="s">
        <v>2495</v>
      </c>
      <c r="I90" s="669"/>
      <c r="J90" s="661"/>
      <c r="K90" s="661"/>
      <c r="L90" s="661"/>
      <c r="M90" s="661"/>
      <c r="N90" s="661"/>
      <c r="O90" s="661"/>
      <c r="P90" s="661"/>
    </row>
    <row r="91" spans="1:16" ht="11.25" customHeight="1">
      <c r="A91" s="661"/>
      <c r="B91" s="661"/>
      <c r="C91" s="660"/>
      <c r="D91" s="661"/>
      <c r="E91" s="682"/>
      <c r="F91" s="682"/>
      <c r="G91" s="682"/>
      <c r="H91" s="702"/>
      <c r="I91" s="669"/>
      <c r="J91" s="661"/>
      <c r="K91" s="661"/>
      <c r="L91" s="661"/>
      <c r="M91" s="661"/>
      <c r="N91" s="661"/>
      <c r="O91" s="661"/>
      <c r="P91" s="661"/>
    </row>
    <row r="92" spans="1:16" ht="11.25" customHeight="1">
      <c r="A92" s="661"/>
      <c r="B92" s="661"/>
      <c r="C92" s="660"/>
      <c r="D92" s="661"/>
      <c r="E92" s="703" t="s">
        <v>246</v>
      </c>
      <c r="F92" s="703"/>
      <c r="G92" s="703"/>
      <c r="H92" s="703"/>
      <c r="I92" s="669"/>
      <c r="J92" s="661"/>
      <c r="K92" s="661"/>
      <c r="L92" s="661"/>
      <c r="M92" s="661"/>
      <c r="N92" s="661"/>
      <c r="O92" s="661"/>
      <c r="P92" s="661"/>
    </row>
    <row r="93" spans="1:16" ht="11.25" customHeight="1">
      <c r="A93" s="661"/>
      <c r="B93" s="661"/>
      <c r="C93" s="660"/>
      <c r="D93" s="661"/>
      <c r="E93" s="704" t="s">
        <v>247</v>
      </c>
      <c r="F93" s="704"/>
      <c r="G93" s="704"/>
      <c r="H93" s="704"/>
      <c r="I93" s="669"/>
      <c r="J93" s="661"/>
      <c r="K93" s="661"/>
      <c r="L93" s="661"/>
      <c r="M93" s="661"/>
      <c r="N93" s="661"/>
      <c r="O93" s="661"/>
      <c r="P93" s="661"/>
    </row>
    <row r="94" spans="1:16" ht="11.25" customHeight="1">
      <c r="A94" s="661"/>
      <c r="B94" s="661"/>
      <c r="C94" s="660"/>
      <c r="D94" s="661"/>
      <c r="E94" s="704" t="s">
        <v>248</v>
      </c>
      <c r="F94" s="704"/>
      <c r="G94" s="704"/>
      <c r="H94" s="704"/>
      <c r="I94" s="669"/>
      <c r="J94" s="661"/>
      <c r="K94" s="661"/>
      <c r="L94" s="661"/>
      <c r="M94" s="661"/>
      <c r="N94" s="661"/>
      <c r="O94" s="661"/>
      <c r="P94" s="661"/>
    </row>
    <row r="95" spans="1:16" ht="11.25" customHeight="1">
      <c r="A95" s="661"/>
      <c r="B95" s="661"/>
      <c r="C95" s="660"/>
      <c r="D95" s="661"/>
      <c r="E95" s="704" t="s">
        <v>249</v>
      </c>
      <c r="F95" s="704"/>
      <c r="G95" s="704"/>
      <c r="H95" s="704"/>
      <c r="I95" s="669"/>
      <c r="J95" s="661"/>
      <c r="K95" s="661"/>
      <c r="L95" s="661"/>
      <c r="M95" s="661"/>
      <c r="N95" s="661"/>
      <c r="O95" s="661"/>
      <c r="P95" s="661"/>
    </row>
    <row r="96" spans="1:16" ht="11.25" customHeight="1">
      <c r="A96" s="661"/>
      <c r="B96" s="661"/>
      <c r="C96" s="660"/>
      <c r="D96" s="661"/>
      <c r="E96" s="704" t="s">
        <v>250</v>
      </c>
      <c r="F96" s="704"/>
      <c r="G96" s="704"/>
      <c r="H96" s="704"/>
      <c r="I96" s="669"/>
      <c r="J96" s="661"/>
      <c r="K96" s="661"/>
      <c r="L96" s="661"/>
      <c r="M96" s="661"/>
      <c r="N96" s="661"/>
      <c r="O96" s="661"/>
      <c r="P96" s="661"/>
    </row>
    <row r="97" spans="1:16" ht="11.25" customHeight="1">
      <c r="A97" s="661"/>
      <c r="B97" s="661"/>
      <c r="C97" s="660"/>
      <c r="D97" s="661"/>
      <c r="E97" s="704" t="s">
        <v>251</v>
      </c>
      <c r="F97" s="704"/>
      <c r="G97" s="704"/>
      <c r="H97" s="704"/>
      <c r="I97" s="669"/>
      <c r="J97" s="661"/>
      <c r="K97" s="661"/>
      <c r="L97" s="661"/>
      <c r="M97" s="661"/>
      <c r="N97" s="661"/>
      <c r="O97" s="661"/>
      <c r="P97" s="661"/>
    </row>
    <row r="98" spans="1:16" ht="22.9" customHeight="1">
      <c r="A98" s="661"/>
      <c r="B98" s="661"/>
      <c r="C98" s="660"/>
      <c r="D98" s="661"/>
      <c r="E98" s="704" t="s">
        <v>252</v>
      </c>
      <c r="F98" s="704"/>
      <c r="G98" s="704"/>
      <c r="H98" s="704"/>
      <c r="I98" s="669"/>
      <c r="J98" s="661"/>
      <c r="K98" s="661"/>
      <c r="L98" s="661"/>
      <c r="M98" s="661"/>
      <c r="N98" s="661"/>
      <c r="O98" s="661"/>
      <c r="P98" s="661"/>
    </row>
    <row r="99" spans="1:16" ht="11.25" customHeight="1">
      <c r="A99" s="661"/>
      <c r="B99" s="661"/>
      <c r="C99" s="660"/>
      <c r="D99" s="661"/>
      <c r="E99" s="704" t="s">
        <v>253</v>
      </c>
      <c r="F99" s="704"/>
      <c r="G99" s="704"/>
      <c r="H99" s="704"/>
      <c r="I99" s="669"/>
      <c r="J99" s="661"/>
      <c r="K99" s="661"/>
      <c r="L99" s="661"/>
      <c r="M99" s="661"/>
      <c r="N99" s="661"/>
      <c r="O99" s="661"/>
      <c r="P99" s="661"/>
    </row>
    <row r="100" spans="1:16" ht="19.899999999999999" customHeight="1">
      <c r="A100" s="661"/>
      <c r="B100" s="661"/>
      <c r="C100" s="660"/>
      <c r="D100" s="661"/>
      <c r="E100" s="704" t="s">
        <v>254</v>
      </c>
      <c r="F100" s="704"/>
      <c r="G100" s="704"/>
      <c r="H100" s="704"/>
      <c r="I100" s="669"/>
      <c r="J100" s="661"/>
      <c r="K100" s="661"/>
      <c r="L100" s="661"/>
      <c r="M100" s="661"/>
      <c r="N100" s="661"/>
      <c r="O100" s="661"/>
      <c r="P100" s="661"/>
    </row>
    <row r="101" spans="1:16" ht="15" customHeight="1">
      <c r="A101" s="661"/>
      <c r="B101" s="661"/>
      <c r="C101" s="660"/>
      <c r="D101" s="661"/>
      <c r="E101" s="704" t="s">
        <v>255</v>
      </c>
      <c r="F101" s="704"/>
      <c r="G101" s="704"/>
      <c r="H101" s="704"/>
      <c r="I101" s="669"/>
      <c r="J101" s="661"/>
      <c r="K101" s="661"/>
      <c r="L101" s="661"/>
      <c r="M101" s="661"/>
      <c r="N101" s="661"/>
      <c r="O101" s="661"/>
      <c r="P101" s="661"/>
    </row>
    <row r="102" spans="1:16" ht="13.15" customHeight="1">
      <c r="A102" s="661"/>
      <c r="B102" s="661"/>
      <c r="C102" s="660"/>
      <c r="D102" s="661"/>
      <c r="E102" s="704" t="s">
        <v>256</v>
      </c>
      <c r="F102" s="704"/>
      <c r="G102" s="704"/>
      <c r="H102" s="704"/>
      <c r="I102" s="669"/>
      <c r="J102" s="661"/>
      <c r="K102" s="661"/>
      <c r="L102" s="661"/>
      <c r="M102" s="661"/>
      <c r="N102" s="661"/>
      <c r="O102" s="661"/>
      <c r="P102" s="661"/>
    </row>
    <row r="103" spans="1:16" ht="27" customHeight="1">
      <c r="A103" s="661"/>
      <c r="B103" s="661"/>
      <c r="C103" s="660"/>
      <c r="D103" s="661"/>
      <c r="E103" s="704" t="s">
        <v>257</v>
      </c>
      <c r="F103" s="704"/>
      <c r="G103" s="704"/>
      <c r="H103" s="704"/>
      <c r="I103" s="669"/>
      <c r="J103" s="661"/>
      <c r="K103" s="661"/>
      <c r="L103" s="661"/>
      <c r="M103" s="661"/>
      <c r="N103" s="661"/>
      <c r="O103" s="661"/>
      <c r="P103" s="661"/>
    </row>
    <row r="104" spans="1:16" ht="38.25" customHeight="1">
      <c r="A104" s="661"/>
      <c r="B104" s="661"/>
      <c r="C104" s="660"/>
      <c r="D104" s="661"/>
      <c r="E104" s="704" t="s">
        <v>258</v>
      </c>
      <c r="F104" s="704"/>
      <c r="G104" s="704"/>
      <c r="H104" s="704"/>
      <c r="I104" s="669"/>
      <c r="J104" s="661"/>
      <c r="K104" s="661"/>
      <c r="L104" s="661"/>
      <c r="M104" s="661"/>
      <c r="N104" s="661"/>
      <c r="O104" s="661"/>
      <c r="P104" s="661"/>
    </row>
    <row r="105" spans="1:16" ht="12.6" customHeight="1">
      <c r="A105" s="661"/>
      <c r="B105" s="661"/>
      <c r="C105" s="660"/>
      <c r="D105" s="661"/>
      <c r="E105" s="704" t="s">
        <v>259</v>
      </c>
      <c r="F105" s="704"/>
      <c r="G105" s="704"/>
      <c r="H105" s="704"/>
      <c r="I105" s="669"/>
      <c r="J105" s="661"/>
      <c r="K105" s="661"/>
      <c r="L105" s="661"/>
      <c r="M105" s="661"/>
      <c r="N105" s="661"/>
      <c r="O105" s="661"/>
      <c r="P105" s="661"/>
    </row>
    <row r="106" spans="1:16" ht="15" customHeight="1">
      <c r="A106" s="661"/>
      <c r="B106" s="661"/>
      <c r="C106" s="660"/>
      <c r="D106" s="661"/>
      <c r="E106" s="704" t="s">
        <v>260</v>
      </c>
      <c r="F106" s="704"/>
      <c r="G106" s="704"/>
      <c r="H106" s="704"/>
      <c r="I106" s="669"/>
      <c r="J106" s="661"/>
      <c r="K106" s="661"/>
      <c r="L106" s="661"/>
      <c r="M106" s="661"/>
      <c r="N106" s="661"/>
      <c r="O106" s="661"/>
      <c r="P106" s="661"/>
    </row>
    <row r="107" spans="1:16">
      <c r="A107" s="661"/>
      <c r="B107" s="661"/>
      <c r="C107" s="660"/>
      <c r="D107" s="661"/>
      <c r="E107" s="661"/>
      <c r="F107" s="661"/>
      <c r="G107" s="661"/>
      <c r="H107" s="661"/>
      <c r="I107" s="661"/>
      <c r="J107" s="661"/>
      <c r="K107" s="661"/>
      <c r="L107" s="661"/>
      <c r="M107" s="661"/>
      <c r="N107" s="661"/>
      <c r="O107" s="661"/>
      <c r="P107" s="661"/>
    </row>
    <row r="108" spans="1:16" ht="11.25" customHeight="1">
      <c r="A108" s="661"/>
      <c r="B108" s="661"/>
      <c r="C108" s="660"/>
      <c r="D108" s="661"/>
      <c r="E108" s="705" t="s">
        <v>1254</v>
      </c>
      <c r="F108" s="705"/>
      <c r="G108" s="706"/>
      <c r="H108" s="706"/>
      <c r="I108" s="681"/>
      <c r="J108" s="682"/>
      <c r="K108" s="682"/>
      <c r="L108" s="682"/>
      <c r="M108" s="682"/>
      <c r="N108" s="682"/>
      <c r="O108" s="664"/>
      <c r="P108" s="664"/>
    </row>
    <row r="109" spans="1:16" ht="15.95" customHeight="1">
      <c r="A109" s="661"/>
      <c r="B109" s="661"/>
      <c r="C109" s="660"/>
      <c r="D109" s="661"/>
      <c r="E109" s="707" t="s">
        <v>261</v>
      </c>
      <c r="F109" s="708"/>
      <c r="G109" s="709" t="s">
        <v>1333</v>
      </c>
      <c r="H109" s="710" t="s">
        <v>21</v>
      </c>
      <c r="I109" s="669"/>
      <c r="J109" s="682"/>
      <c r="K109" s="682"/>
      <c r="L109" s="682"/>
      <c r="M109" s="682"/>
      <c r="N109" s="682"/>
      <c r="O109" s="664"/>
      <c r="P109" s="664"/>
    </row>
    <row r="110" spans="1:16" ht="15.95" customHeight="1">
      <c r="A110" s="661"/>
      <c r="B110" s="661"/>
      <c r="C110" s="660"/>
      <c r="D110" s="661"/>
      <c r="E110" s="707"/>
      <c r="F110" s="708"/>
      <c r="G110" s="709" t="s">
        <v>231</v>
      </c>
      <c r="H110" s="711" t="s">
        <v>799</v>
      </c>
      <c r="I110" s="669"/>
      <c r="J110" s="682"/>
      <c r="K110" s="682"/>
      <c r="L110" s="682"/>
      <c r="M110" s="682"/>
      <c r="N110" s="682"/>
      <c r="O110" s="664"/>
      <c r="P110" s="664"/>
    </row>
    <row r="111" spans="1:16" ht="15.95" customHeight="1">
      <c r="A111" s="661"/>
      <c r="B111" s="661"/>
      <c r="C111" s="660"/>
      <c r="D111" s="661"/>
      <c r="E111" s="708"/>
      <c r="F111" s="708"/>
      <c r="G111" s="709" t="s">
        <v>232</v>
      </c>
      <c r="H111" s="712" t="s">
        <v>2501</v>
      </c>
      <c r="I111" s="669"/>
      <c r="J111" s="661"/>
      <c r="K111" s="661"/>
      <c r="L111" s="661"/>
      <c r="M111" s="661"/>
      <c r="N111" s="661"/>
      <c r="O111" s="661"/>
      <c r="P111" s="661"/>
    </row>
    <row r="112" spans="1:16" ht="15.95" customHeight="1">
      <c r="A112" s="661"/>
      <c r="B112" s="661"/>
      <c r="C112" s="660"/>
      <c r="D112" s="661"/>
      <c r="E112" s="708"/>
      <c r="F112" s="708"/>
      <c r="G112" s="709" t="s">
        <v>233</v>
      </c>
      <c r="H112" s="713">
        <v>44890</v>
      </c>
      <c r="I112" s="669"/>
      <c r="J112" s="661"/>
      <c r="K112" s="661"/>
      <c r="L112" s="661"/>
      <c r="M112" s="661"/>
      <c r="N112" s="661"/>
      <c r="O112" s="661"/>
      <c r="P112" s="661"/>
    </row>
    <row r="113" spans="1:16" ht="15" customHeight="1">
      <c r="A113" s="661"/>
      <c r="B113" s="661"/>
      <c r="C113" s="660"/>
      <c r="D113" s="714" t="s">
        <v>1054</v>
      </c>
      <c r="E113" s="715" t="s">
        <v>2543</v>
      </c>
      <c r="F113" s="716"/>
      <c r="G113" s="717"/>
      <c r="H113" s="718"/>
      <c r="I113" s="661"/>
      <c r="J113" s="661"/>
      <c r="K113" s="661"/>
      <c r="L113" s="719"/>
      <c r="M113" s="661"/>
      <c r="N113" s="661"/>
      <c r="O113" s="661"/>
      <c r="P113" s="661"/>
    </row>
    <row r="114" spans="1:16" ht="15">
      <c r="A114" s="720"/>
      <c r="B114" s="661"/>
      <c r="C114" s="660"/>
      <c r="D114" s="721" t="s">
        <v>18</v>
      </c>
      <c r="E114" s="715"/>
      <c r="F114" s="716"/>
      <c r="G114" s="722" t="s">
        <v>2544</v>
      </c>
      <c r="H114" s="723" t="s">
        <v>1023</v>
      </c>
      <c r="I114" s="724"/>
      <c r="J114" s="661" t="s">
        <v>2545</v>
      </c>
      <c r="K114" s="661" t="s">
        <v>1029</v>
      </c>
      <c r="L114" s="719" t="s">
        <v>1132</v>
      </c>
      <c r="M114" s="661" t="s">
        <v>21</v>
      </c>
      <c r="N114" s="661" t="s">
        <v>1026</v>
      </c>
      <c r="O114" s="661"/>
      <c r="P114" s="661"/>
    </row>
    <row r="115" spans="1:16" ht="15">
      <c r="A115" s="720"/>
      <c r="B115" s="661"/>
      <c r="C115" s="660"/>
      <c r="D115" s="725"/>
      <c r="E115" s="715"/>
      <c r="F115" s="716"/>
      <c r="G115" s="726" t="s">
        <v>1246</v>
      </c>
      <c r="H115" s="694" t="s">
        <v>2518</v>
      </c>
      <c r="I115" s="333"/>
      <c r="J115" s="661"/>
      <c r="K115" s="661"/>
      <c r="L115" s="661"/>
      <c r="M115" s="661"/>
      <c r="N115" s="661"/>
      <c r="O115" s="661"/>
      <c r="P115" s="661"/>
    </row>
    <row r="116" spans="1:16" ht="15">
      <c r="A116" s="720"/>
      <c r="B116" s="661"/>
      <c r="C116" s="660"/>
      <c r="D116" s="725"/>
      <c r="E116" s="715"/>
      <c r="F116" s="716"/>
      <c r="G116" s="726" t="s">
        <v>262</v>
      </c>
      <c r="H116" s="727" t="s">
        <v>1132</v>
      </c>
      <c r="I116" s="333"/>
      <c r="J116" s="661"/>
      <c r="K116" s="661"/>
      <c r="L116" s="661"/>
      <c r="M116" s="661"/>
      <c r="N116" s="661"/>
      <c r="O116" s="661"/>
      <c r="P116" s="661"/>
    </row>
    <row r="117" spans="1:16" ht="15">
      <c r="A117" s="720"/>
      <c r="B117" s="661"/>
      <c r="C117" s="660"/>
      <c r="D117" s="725"/>
      <c r="E117" s="715"/>
      <c r="F117" s="716"/>
      <c r="G117" s="726" t="s">
        <v>263</v>
      </c>
      <c r="H117" s="727" t="s">
        <v>1026</v>
      </c>
      <c r="I117" s="333"/>
      <c r="J117" s="661"/>
      <c r="K117" s="661"/>
      <c r="L117" s="661"/>
      <c r="M117" s="661"/>
      <c r="N117" s="661"/>
      <c r="O117" s="661"/>
      <c r="P117" s="661"/>
    </row>
    <row r="118" spans="1:16" ht="21">
      <c r="A118" s="720"/>
      <c r="B118" s="661"/>
      <c r="C118" s="660"/>
      <c r="D118" s="725"/>
      <c r="E118" s="715"/>
      <c r="F118" s="716"/>
      <c r="G118" s="726" t="s">
        <v>264</v>
      </c>
      <c r="H118" s="694" t="s">
        <v>2517</v>
      </c>
      <c r="I118" s="660"/>
      <c r="J118" s="661"/>
      <c r="K118" s="661"/>
      <c r="L118" s="661"/>
      <c r="M118" s="661"/>
      <c r="N118" s="661"/>
      <c r="O118" s="661"/>
      <c r="P118" s="661"/>
    </row>
    <row r="119" spans="1:16" ht="15">
      <c r="A119" s="720"/>
      <c r="B119" s="661"/>
      <c r="C119" s="660"/>
      <c r="D119" s="725"/>
      <c r="E119" s="715"/>
      <c r="F119" s="716"/>
      <c r="G119" s="728" t="s">
        <v>328</v>
      </c>
      <c r="H119" s="729" t="s">
        <v>1029</v>
      </c>
      <c r="I119" s="333"/>
      <c r="J119" s="661"/>
      <c r="K119" s="661"/>
      <c r="L119" s="661"/>
      <c r="M119" s="661"/>
      <c r="N119" s="661"/>
      <c r="O119" s="661"/>
      <c r="P119" s="661"/>
    </row>
    <row r="120" spans="1:16" ht="15">
      <c r="A120" s="720"/>
      <c r="B120" s="661"/>
      <c r="C120" s="660"/>
      <c r="D120" s="725"/>
      <c r="E120" s="715"/>
      <c r="F120" s="716"/>
      <c r="G120" s="728" t="s">
        <v>1031</v>
      </c>
      <c r="H120" s="727" t="s">
        <v>21</v>
      </c>
      <c r="I120" s="333"/>
      <c r="J120" s="661"/>
      <c r="K120" s="661"/>
      <c r="L120" s="661"/>
      <c r="M120" s="661"/>
      <c r="N120" s="661"/>
      <c r="O120" s="661"/>
      <c r="P120" s="661"/>
    </row>
    <row r="121" spans="1:16" ht="15">
      <c r="A121" s="720"/>
      <c r="B121" s="661" t="b">
        <v>1</v>
      </c>
      <c r="C121" s="660"/>
      <c r="D121" s="725"/>
      <c r="E121" s="715"/>
      <c r="F121" s="716"/>
      <c r="G121" s="726" t="s">
        <v>265</v>
      </c>
      <c r="H121" s="730" t="s">
        <v>2519</v>
      </c>
      <c r="I121" s="333"/>
      <c r="J121" s="661"/>
      <c r="K121" s="661"/>
      <c r="L121" s="661"/>
      <c r="M121" s="661"/>
      <c r="N121" s="661"/>
      <c r="O121" s="661"/>
      <c r="P121" s="661"/>
    </row>
    <row r="122" spans="1:16" ht="15">
      <c r="A122" s="720"/>
      <c r="B122" s="661" t="b">
        <v>1</v>
      </c>
      <c r="C122" s="660"/>
      <c r="D122" s="725"/>
      <c r="E122" s="715"/>
      <c r="F122" s="716"/>
      <c r="G122" s="726" t="s">
        <v>266</v>
      </c>
      <c r="H122" s="713">
        <v>45043</v>
      </c>
      <c r="I122" s="333"/>
      <c r="J122" s="661"/>
      <c r="K122" s="661"/>
      <c r="L122" s="661"/>
      <c r="M122" s="661"/>
      <c r="N122" s="661"/>
      <c r="O122" s="661"/>
      <c r="P122" s="661"/>
    </row>
    <row r="123" spans="1:16" ht="15">
      <c r="A123" s="720"/>
      <c r="B123" s="661" t="b">
        <v>1</v>
      </c>
      <c r="C123" s="660"/>
      <c r="D123" s="725"/>
      <c r="E123" s="715"/>
      <c r="F123" s="716"/>
      <c r="G123" s="726" t="s">
        <v>1187</v>
      </c>
      <c r="H123" s="731"/>
      <c r="I123" s="333"/>
      <c r="J123" s="661"/>
      <c r="K123" s="661"/>
      <c r="L123" s="661"/>
      <c r="M123" s="661"/>
      <c r="N123" s="661"/>
      <c r="O123" s="661"/>
      <c r="P123" s="661"/>
    </row>
    <row r="124" spans="1:16" ht="15">
      <c r="A124" s="720"/>
      <c r="B124" s="661" t="b">
        <v>1</v>
      </c>
      <c r="C124" s="660"/>
      <c r="D124" s="725"/>
      <c r="E124" s="715"/>
      <c r="F124" s="716"/>
      <c r="G124" s="726" t="s">
        <v>267</v>
      </c>
      <c r="H124" s="693" t="s">
        <v>268</v>
      </c>
      <c r="I124" s="333"/>
      <c r="J124" s="661"/>
      <c r="K124" s="661"/>
      <c r="L124" s="661"/>
      <c r="M124" s="661"/>
      <c r="N124" s="661"/>
      <c r="O124" s="661"/>
      <c r="P124" s="661"/>
    </row>
    <row r="125" spans="1:16" ht="21">
      <c r="A125" s="720"/>
      <c r="B125" s="661" t="b">
        <v>1</v>
      </c>
      <c r="C125" s="660"/>
      <c r="D125" s="725"/>
      <c r="E125" s="715"/>
      <c r="F125" s="716"/>
      <c r="G125" s="692" t="s">
        <v>2546</v>
      </c>
      <c r="H125" s="727">
        <v>2023</v>
      </c>
      <c r="I125" s="333"/>
      <c r="J125" s="661"/>
      <c r="K125" s="661"/>
      <c r="L125" s="661"/>
      <c r="M125" s="661"/>
      <c r="N125" s="661"/>
      <c r="O125" s="661"/>
      <c r="P125" s="661"/>
    </row>
    <row r="126" spans="1:16" ht="15">
      <c r="A126" s="720"/>
      <c r="B126" s="661" t="b">
        <v>1</v>
      </c>
      <c r="C126" s="660"/>
      <c r="D126" s="725"/>
      <c r="E126" s="715"/>
      <c r="F126" s="716"/>
      <c r="G126" s="726" t="s">
        <v>269</v>
      </c>
      <c r="H126" s="732">
        <v>5</v>
      </c>
      <c r="I126" s="333"/>
      <c r="J126" s="661"/>
      <c r="K126" s="661"/>
      <c r="L126" s="661"/>
      <c r="M126" s="661"/>
      <c r="N126" s="661"/>
      <c r="O126" s="661"/>
      <c r="P126" s="661"/>
    </row>
    <row r="127" spans="1:16" ht="31.5">
      <c r="A127" s="661">
        <v>2024</v>
      </c>
      <c r="B127" s="661" t="b">
        <v>1</v>
      </c>
      <c r="C127" s="660"/>
      <c r="D127" s="725"/>
      <c r="E127" s="715"/>
      <c r="F127" s="716"/>
      <c r="G127" s="728" t="s">
        <v>2547</v>
      </c>
      <c r="H127" s="733">
        <v>13.2</v>
      </c>
      <c r="I127" s="669"/>
      <c r="J127" s="696"/>
      <c r="K127" s="661"/>
      <c r="L127" s="661"/>
      <c r="M127" s="661"/>
      <c r="N127" s="661"/>
      <c r="O127" s="661"/>
      <c r="P127" s="661"/>
    </row>
    <row r="128" spans="1:16" ht="31.5">
      <c r="A128" s="661">
        <v>2024</v>
      </c>
      <c r="B128" s="661" t="b">
        <v>1</v>
      </c>
      <c r="C128" s="660"/>
      <c r="D128" s="725"/>
      <c r="E128" s="715"/>
      <c r="F128" s="716"/>
      <c r="G128" s="728" t="s">
        <v>2548</v>
      </c>
      <c r="H128" s="733">
        <v>16.030118231454498</v>
      </c>
      <c r="I128" s="669"/>
      <c r="J128" s="661"/>
      <c r="K128" s="661"/>
      <c r="L128" s="661"/>
      <c r="M128" s="661"/>
      <c r="N128" s="661"/>
      <c r="O128" s="661"/>
      <c r="P128" s="661"/>
    </row>
    <row r="129" spans="1:16" ht="31.5" hidden="1">
      <c r="A129" s="661">
        <v>2025</v>
      </c>
      <c r="B129" s="661" t="b">
        <v>0</v>
      </c>
      <c r="C129" s="660"/>
      <c r="D129" s="725"/>
      <c r="E129" s="715"/>
      <c r="F129" s="716"/>
      <c r="G129" s="728" t="s">
        <v>2549</v>
      </c>
      <c r="H129" s="733">
        <v>0</v>
      </c>
      <c r="I129" s="669"/>
      <c r="J129" s="696"/>
      <c r="K129" s="661"/>
      <c r="L129" s="661"/>
      <c r="M129" s="661"/>
      <c r="N129" s="661"/>
      <c r="O129" s="661"/>
      <c r="P129" s="661"/>
    </row>
    <row r="130" spans="1:16" ht="31.5" hidden="1">
      <c r="A130" s="661">
        <v>2025</v>
      </c>
      <c r="B130" s="661" t="b">
        <v>0</v>
      </c>
      <c r="C130" s="660"/>
      <c r="D130" s="725"/>
      <c r="E130" s="715"/>
      <c r="F130" s="716"/>
      <c r="G130" s="728" t="s">
        <v>2550</v>
      </c>
      <c r="H130" s="733">
        <v>0</v>
      </c>
      <c r="I130" s="669"/>
      <c r="J130" s="661"/>
      <c r="K130" s="661"/>
      <c r="L130" s="661"/>
      <c r="M130" s="661"/>
      <c r="N130" s="661"/>
      <c r="O130" s="661"/>
      <c r="P130" s="661"/>
    </row>
    <row r="131" spans="1:16" ht="31.5" hidden="1">
      <c r="A131" s="661">
        <v>2026</v>
      </c>
      <c r="B131" s="661" t="b">
        <v>0</v>
      </c>
      <c r="C131" s="660"/>
      <c r="D131" s="725"/>
      <c r="E131" s="715"/>
      <c r="F131" s="716"/>
      <c r="G131" s="728" t="s">
        <v>2551</v>
      </c>
      <c r="H131" s="733">
        <v>0</v>
      </c>
      <c r="I131" s="669"/>
      <c r="J131" s="696"/>
      <c r="K131" s="661"/>
      <c r="L131" s="661"/>
      <c r="M131" s="661"/>
      <c r="N131" s="661"/>
      <c r="O131" s="661"/>
      <c r="P131" s="661"/>
    </row>
    <row r="132" spans="1:16" ht="31.5" hidden="1">
      <c r="A132" s="661">
        <v>2026</v>
      </c>
      <c r="B132" s="661" t="b">
        <v>0</v>
      </c>
      <c r="C132" s="660"/>
      <c r="D132" s="725"/>
      <c r="E132" s="715"/>
      <c r="F132" s="716"/>
      <c r="G132" s="728" t="s">
        <v>2552</v>
      </c>
      <c r="H132" s="733">
        <v>0</v>
      </c>
      <c r="I132" s="669"/>
      <c r="J132" s="661"/>
      <c r="K132" s="661"/>
      <c r="L132" s="661"/>
      <c r="M132" s="661"/>
      <c r="N132" s="661"/>
      <c r="O132" s="661"/>
      <c r="P132" s="661"/>
    </row>
    <row r="133" spans="1:16" ht="31.5" hidden="1">
      <c r="A133" s="661">
        <v>2027</v>
      </c>
      <c r="B133" s="661" t="b">
        <v>0</v>
      </c>
      <c r="C133" s="660"/>
      <c r="D133" s="725"/>
      <c r="E133" s="715"/>
      <c r="F133" s="716"/>
      <c r="G133" s="728" t="s">
        <v>2553</v>
      </c>
      <c r="H133" s="733">
        <v>0</v>
      </c>
      <c r="I133" s="669"/>
      <c r="J133" s="696"/>
      <c r="K133" s="661"/>
      <c r="L133" s="661"/>
      <c r="M133" s="661"/>
      <c r="N133" s="661"/>
      <c r="O133" s="661"/>
      <c r="P133" s="661"/>
    </row>
    <row r="134" spans="1:16" ht="31.5" hidden="1">
      <c r="A134" s="661">
        <v>2027</v>
      </c>
      <c r="B134" s="661" t="b">
        <v>0</v>
      </c>
      <c r="C134" s="660"/>
      <c r="D134" s="725"/>
      <c r="E134" s="715"/>
      <c r="F134" s="716"/>
      <c r="G134" s="728" t="s">
        <v>2554</v>
      </c>
      <c r="H134" s="733">
        <v>0</v>
      </c>
      <c r="I134" s="669"/>
      <c r="J134" s="661"/>
      <c r="K134" s="661"/>
      <c r="L134" s="661"/>
      <c r="M134" s="661"/>
      <c r="N134" s="661"/>
      <c r="O134" s="661"/>
      <c r="P134" s="661"/>
    </row>
    <row r="135" spans="1:16" ht="31.5" hidden="1">
      <c r="A135" s="661">
        <v>2028</v>
      </c>
      <c r="B135" s="661" t="b">
        <v>0</v>
      </c>
      <c r="C135" s="660"/>
      <c r="D135" s="725"/>
      <c r="E135" s="715"/>
      <c r="F135" s="716"/>
      <c r="G135" s="728" t="s">
        <v>2555</v>
      </c>
      <c r="H135" s="733">
        <v>0</v>
      </c>
      <c r="I135" s="669"/>
      <c r="J135" s="696"/>
      <c r="K135" s="661"/>
      <c r="L135" s="661"/>
      <c r="M135" s="661"/>
      <c r="N135" s="661"/>
      <c r="O135" s="661"/>
      <c r="P135" s="661"/>
    </row>
    <row r="136" spans="1:16" ht="31.5" hidden="1">
      <c r="A136" s="661">
        <v>2028</v>
      </c>
      <c r="B136" s="661" t="b">
        <v>0</v>
      </c>
      <c r="C136" s="660"/>
      <c r="D136" s="725"/>
      <c r="E136" s="715"/>
      <c r="F136" s="716"/>
      <c r="G136" s="728" t="s">
        <v>2556</v>
      </c>
      <c r="H136" s="733">
        <v>0</v>
      </c>
      <c r="I136" s="669"/>
      <c r="J136" s="661"/>
      <c r="K136" s="661"/>
      <c r="L136" s="661"/>
      <c r="M136" s="661"/>
      <c r="N136" s="661"/>
      <c r="O136" s="661"/>
      <c r="P136" s="661"/>
    </row>
    <row r="137" spans="1:16" ht="31.5" hidden="1">
      <c r="A137" s="661">
        <v>2029</v>
      </c>
      <c r="B137" s="661" t="b">
        <v>0</v>
      </c>
      <c r="C137" s="660"/>
      <c r="D137" s="725"/>
      <c r="E137" s="715"/>
      <c r="F137" s="716"/>
      <c r="G137" s="728" t="s">
        <v>2557</v>
      </c>
      <c r="H137" s="733">
        <v>0</v>
      </c>
      <c r="I137" s="669"/>
      <c r="J137" s="696"/>
      <c r="K137" s="661"/>
      <c r="L137" s="661"/>
      <c r="M137" s="661"/>
      <c r="N137" s="661"/>
      <c r="O137" s="661"/>
      <c r="P137" s="661"/>
    </row>
    <row r="138" spans="1:16" ht="31.5" hidden="1">
      <c r="A138" s="661">
        <v>2029</v>
      </c>
      <c r="B138" s="661" t="b">
        <v>0</v>
      </c>
      <c r="C138" s="660"/>
      <c r="D138" s="725"/>
      <c r="E138" s="715"/>
      <c r="F138" s="716"/>
      <c r="G138" s="728" t="s">
        <v>2558</v>
      </c>
      <c r="H138" s="733">
        <v>0</v>
      </c>
      <c r="I138" s="669"/>
      <c r="J138" s="661"/>
      <c r="K138" s="661"/>
      <c r="L138" s="661"/>
      <c r="M138" s="661"/>
      <c r="N138" s="661"/>
      <c r="O138" s="661"/>
      <c r="P138" s="661"/>
    </row>
    <row r="139" spans="1:16" ht="31.5" hidden="1">
      <c r="A139" s="661">
        <v>2030</v>
      </c>
      <c r="B139" s="661" t="b">
        <v>0</v>
      </c>
      <c r="C139" s="660"/>
      <c r="D139" s="725"/>
      <c r="E139" s="715"/>
      <c r="F139" s="716"/>
      <c r="G139" s="728" t="s">
        <v>2559</v>
      </c>
      <c r="H139" s="733">
        <v>0</v>
      </c>
      <c r="I139" s="669"/>
      <c r="J139" s="696"/>
      <c r="K139" s="661"/>
      <c r="L139" s="661"/>
      <c r="M139" s="661"/>
      <c r="N139" s="661"/>
      <c r="O139" s="661"/>
      <c r="P139" s="661"/>
    </row>
    <row r="140" spans="1:16" ht="31.5" hidden="1">
      <c r="A140" s="661">
        <v>2030</v>
      </c>
      <c r="B140" s="661" t="b">
        <v>0</v>
      </c>
      <c r="C140" s="660"/>
      <c r="D140" s="725"/>
      <c r="E140" s="715"/>
      <c r="F140" s="716"/>
      <c r="G140" s="728" t="s">
        <v>2560</v>
      </c>
      <c r="H140" s="733">
        <v>0</v>
      </c>
      <c r="I140" s="669"/>
      <c r="J140" s="661"/>
      <c r="K140" s="661"/>
      <c r="L140" s="661"/>
      <c r="M140" s="661"/>
      <c r="N140" s="661"/>
      <c r="O140" s="661"/>
      <c r="P140" s="661"/>
    </row>
    <row r="141" spans="1:16" ht="31.5" hidden="1">
      <c r="A141" s="661">
        <v>2031</v>
      </c>
      <c r="B141" s="661" t="b">
        <v>0</v>
      </c>
      <c r="C141" s="660"/>
      <c r="D141" s="725"/>
      <c r="E141" s="715"/>
      <c r="F141" s="716"/>
      <c r="G141" s="728" t="s">
        <v>2561</v>
      </c>
      <c r="H141" s="733">
        <v>0</v>
      </c>
      <c r="I141" s="669"/>
      <c r="J141" s="696"/>
      <c r="K141" s="661"/>
      <c r="L141" s="661"/>
      <c r="M141" s="661"/>
      <c r="N141" s="661"/>
      <c r="O141" s="661"/>
      <c r="P141" s="661"/>
    </row>
    <row r="142" spans="1:16" ht="31.5" hidden="1">
      <c r="A142" s="661">
        <v>2031</v>
      </c>
      <c r="B142" s="661" t="b">
        <v>0</v>
      </c>
      <c r="C142" s="660"/>
      <c r="D142" s="725"/>
      <c r="E142" s="715"/>
      <c r="F142" s="716"/>
      <c r="G142" s="728" t="s">
        <v>2562</v>
      </c>
      <c r="H142" s="733">
        <v>0</v>
      </c>
      <c r="I142" s="669"/>
      <c r="J142" s="661"/>
      <c r="K142" s="661"/>
      <c r="L142" s="661"/>
      <c r="M142" s="661"/>
      <c r="N142" s="661"/>
      <c r="O142" s="661"/>
      <c r="P142" s="661"/>
    </row>
    <row r="143" spans="1:16" ht="31.5" hidden="1">
      <c r="A143" s="661">
        <v>2032</v>
      </c>
      <c r="B143" s="661" t="b">
        <v>0</v>
      </c>
      <c r="C143" s="660"/>
      <c r="D143" s="725"/>
      <c r="E143" s="715"/>
      <c r="F143" s="716"/>
      <c r="G143" s="728" t="s">
        <v>2563</v>
      </c>
      <c r="H143" s="733">
        <v>0</v>
      </c>
      <c r="I143" s="669"/>
      <c r="J143" s="696"/>
      <c r="K143" s="661"/>
      <c r="L143" s="661"/>
      <c r="M143" s="661"/>
      <c r="N143" s="661"/>
      <c r="O143" s="661"/>
      <c r="P143" s="661"/>
    </row>
    <row r="144" spans="1:16" ht="31.5" hidden="1">
      <c r="A144" s="661">
        <v>2032</v>
      </c>
      <c r="B144" s="661" t="b">
        <v>0</v>
      </c>
      <c r="C144" s="660"/>
      <c r="D144" s="725"/>
      <c r="E144" s="715"/>
      <c r="F144" s="716"/>
      <c r="G144" s="728" t="s">
        <v>2564</v>
      </c>
      <c r="H144" s="733">
        <v>0</v>
      </c>
      <c r="I144" s="669"/>
      <c r="J144" s="661"/>
      <c r="K144" s="661"/>
      <c r="L144" s="661"/>
      <c r="M144" s="661"/>
      <c r="N144" s="661"/>
      <c r="O144" s="661"/>
      <c r="P144" s="661"/>
    </row>
    <row r="145" spans="1:16" ht="31.5" hidden="1">
      <c r="A145" s="661">
        <v>2033</v>
      </c>
      <c r="B145" s="661" t="b">
        <v>0</v>
      </c>
      <c r="C145" s="660"/>
      <c r="D145" s="725"/>
      <c r="E145" s="715"/>
      <c r="F145" s="716"/>
      <c r="G145" s="728" t="s">
        <v>2565</v>
      </c>
      <c r="H145" s="733">
        <v>0</v>
      </c>
      <c r="I145" s="669"/>
      <c r="J145" s="696"/>
      <c r="K145" s="661"/>
      <c r="L145" s="661"/>
      <c r="M145" s="661"/>
      <c r="N145" s="661"/>
      <c r="O145" s="661"/>
      <c r="P145" s="661"/>
    </row>
    <row r="146" spans="1:16" ht="31.5" hidden="1">
      <c r="A146" s="661">
        <v>2033</v>
      </c>
      <c r="B146" s="661" t="b">
        <v>0</v>
      </c>
      <c r="C146" s="660"/>
      <c r="D146" s="725"/>
      <c r="E146" s="715"/>
      <c r="F146" s="716"/>
      <c r="G146" s="728" t="s">
        <v>2566</v>
      </c>
      <c r="H146" s="733">
        <v>0</v>
      </c>
      <c r="I146" s="669"/>
      <c r="J146" s="661"/>
      <c r="K146" s="661"/>
      <c r="L146" s="661"/>
      <c r="M146" s="661"/>
      <c r="N146" s="661"/>
      <c r="O146" s="661"/>
      <c r="P146" s="661"/>
    </row>
    <row r="147" spans="1:16" ht="15.95" customHeight="1">
      <c r="A147" s="661"/>
      <c r="B147" s="661"/>
      <c r="C147" s="660"/>
      <c r="D147" s="661"/>
      <c r="E147" s="734" t="s">
        <v>270</v>
      </c>
      <c r="F147" s="735"/>
      <c r="G147" s="726" t="s">
        <v>271</v>
      </c>
      <c r="H147" s="712" t="s">
        <v>2502</v>
      </c>
      <c r="I147" s="669"/>
      <c r="J147" s="661"/>
      <c r="K147" s="661"/>
      <c r="L147" s="661"/>
      <c r="M147" s="661"/>
      <c r="N147" s="661"/>
      <c r="O147" s="661"/>
      <c r="P147" s="661"/>
    </row>
    <row r="148" spans="1:16" ht="15.95" customHeight="1">
      <c r="A148" s="661"/>
      <c r="B148" s="661"/>
      <c r="C148" s="660"/>
      <c r="D148" s="661"/>
      <c r="E148" s="734"/>
      <c r="F148" s="735"/>
      <c r="G148" s="726" t="s">
        <v>272</v>
      </c>
      <c r="H148" s="712" t="s">
        <v>2503</v>
      </c>
      <c r="I148" s="669"/>
      <c r="J148" s="661"/>
      <c r="K148" s="661"/>
      <c r="L148" s="661"/>
      <c r="M148" s="661"/>
      <c r="N148" s="661"/>
      <c r="O148" s="661"/>
      <c r="P148" s="661"/>
    </row>
    <row r="149" spans="1:16" ht="15.95" customHeight="1">
      <c r="A149" s="661"/>
      <c r="B149" s="661"/>
      <c r="C149" s="660"/>
      <c r="D149" s="661"/>
      <c r="E149" s="734"/>
      <c r="F149" s="735"/>
      <c r="G149" s="726" t="s">
        <v>273</v>
      </c>
      <c r="H149" s="712" t="s">
        <v>2504</v>
      </c>
      <c r="I149" s="669"/>
      <c r="J149" s="661"/>
      <c r="K149" s="661"/>
      <c r="L149" s="661"/>
      <c r="M149" s="661"/>
      <c r="N149" s="661"/>
      <c r="O149" s="661"/>
      <c r="P149" s="661"/>
    </row>
    <row r="150" spans="1:16" ht="15.95" customHeight="1">
      <c r="A150" s="661"/>
      <c r="B150" s="661"/>
      <c r="C150" s="660"/>
      <c r="D150" s="661"/>
      <c r="E150" s="734"/>
      <c r="F150" s="735"/>
      <c r="G150" s="726" t="s">
        <v>274</v>
      </c>
      <c r="H150" s="712" t="s">
        <v>2505</v>
      </c>
      <c r="I150" s="669"/>
      <c r="J150" s="661"/>
      <c r="K150" s="661"/>
      <c r="L150" s="661"/>
      <c r="M150" s="661"/>
      <c r="N150" s="661"/>
      <c r="O150" s="661"/>
      <c r="P150" s="661"/>
    </row>
    <row r="151" spans="1:16" ht="15.95" customHeight="1">
      <c r="A151" s="661"/>
      <c r="B151" s="661"/>
      <c r="C151" s="660"/>
      <c r="D151" s="661"/>
      <c r="E151" s="734"/>
      <c r="F151" s="735"/>
      <c r="G151" s="726" t="s">
        <v>275</v>
      </c>
      <c r="H151" s="712" t="s">
        <v>2506</v>
      </c>
      <c r="I151" s="669"/>
      <c r="J151" s="661"/>
      <c r="K151" s="661"/>
      <c r="L151" s="661"/>
      <c r="M151" s="661"/>
      <c r="N151" s="661"/>
      <c r="O151" s="661"/>
      <c r="P151" s="661"/>
    </row>
    <row r="152" spans="1:16" ht="15.95" customHeight="1">
      <c r="A152" s="661"/>
      <c r="B152" s="661"/>
      <c r="C152" s="660"/>
      <c r="D152" s="661"/>
      <c r="E152" s="734"/>
      <c r="F152" s="735"/>
      <c r="G152" s="726" t="s">
        <v>276</v>
      </c>
      <c r="H152" s="729" t="s">
        <v>268</v>
      </c>
      <c r="I152" s="669"/>
      <c r="J152" s="661"/>
      <c r="K152" s="661"/>
      <c r="L152" s="661"/>
      <c r="M152" s="661"/>
      <c r="N152" s="661"/>
      <c r="O152" s="661"/>
      <c r="P152" s="661"/>
    </row>
    <row r="153" spans="1:16" ht="15.95" customHeight="1">
      <c r="A153" s="661"/>
      <c r="B153" s="661"/>
      <c r="C153" s="660"/>
      <c r="D153" s="661"/>
      <c r="E153" s="734"/>
      <c r="F153" s="735"/>
      <c r="G153" s="726" t="s">
        <v>277</v>
      </c>
      <c r="H153" s="736">
        <v>2024</v>
      </c>
      <c r="I153" s="669"/>
      <c r="J153" s="661"/>
      <c r="K153" s="661"/>
      <c r="L153" s="661"/>
      <c r="M153" s="661"/>
      <c r="N153" s="661"/>
      <c r="O153" s="661"/>
      <c r="P153" s="661"/>
    </row>
    <row r="154" spans="1:16" ht="15.95" customHeight="1">
      <c r="A154" s="661"/>
      <c r="B154" s="661"/>
      <c r="C154" s="660"/>
      <c r="D154" s="661"/>
      <c r="E154" s="734"/>
      <c r="F154" s="735"/>
      <c r="G154" s="726" t="s">
        <v>925</v>
      </c>
      <c r="H154" s="736">
        <v>2023</v>
      </c>
      <c r="I154" s="669"/>
      <c r="J154" s="661"/>
      <c r="K154" s="661"/>
      <c r="L154" s="661"/>
      <c r="M154" s="661"/>
      <c r="N154" s="661"/>
      <c r="O154" s="661"/>
      <c r="P154" s="661"/>
    </row>
    <row r="155" spans="1:16" ht="15.95" customHeight="1">
      <c r="A155" s="661"/>
      <c r="B155" s="661"/>
      <c r="C155" s="660"/>
      <c r="D155" s="661"/>
      <c r="E155" s="737"/>
      <c r="F155" s="738"/>
      <c r="G155" s="726" t="s">
        <v>269</v>
      </c>
      <c r="H155" s="736">
        <v>5</v>
      </c>
      <c r="I155" s="669"/>
      <c r="J155" s="661"/>
      <c r="K155" s="661"/>
      <c r="L155" s="661"/>
      <c r="M155" s="661"/>
      <c r="N155" s="661"/>
      <c r="O155" s="661"/>
      <c r="P155" s="661"/>
    </row>
    <row r="156" spans="1:16" ht="33" customHeight="1">
      <c r="A156" s="661"/>
      <c r="B156" s="661"/>
      <c r="C156" s="660"/>
      <c r="D156" s="661"/>
      <c r="E156" s="739" t="s">
        <v>278</v>
      </c>
      <c r="F156" s="740"/>
      <c r="G156" s="741"/>
      <c r="H156" s="693" t="s">
        <v>20</v>
      </c>
      <c r="I156" s="669"/>
      <c r="J156" s="661"/>
      <c r="K156" s="661"/>
      <c r="L156" s="661"/>
      <c r="M156" s="661"/>
      <c r="N156" s="661"/>
      <c r="O156" s="661"/>
      <c r="P156" s="661"/>
    </row>
    <row r="157" spans="1:16">
      <c r="A157" s="661"/>
      <c r="B157" s="661"/>
      <c r="C157" s="660"/>
      <c r="D157" s="661"/>
      <c r="E157" s="661"/>
      <c r="F157" s="661"/>
      <c r="G157" s="661"/>
      <c r="H157" s="661"/>
      <c r="I157" s="661"/>
      <c r="J157" s="661"/>
      <c r="K157" s="661"/>
      <c r="L157" s="661"/>
      <c r="M157" s="661"/>
      <c r="N157" s="661"/>
      <c r="O157" s="661"/>
      <c r="P157" s="661"/>
    </row>
    <row r="158" spans="1:16" ht="15.95" customHeight="1">
      <c r="A158" s="661"/>
      <c r="B158" s="661"/>
      <c r="C158" s="660"/>
      <c r="D158" s="661"/>
      <c r="E158" s="739" t="s">
        <v>1164</v>
      </c>
      <c r="F158" s="740"/>
      <c r="G158" s="741"/>
      <c r="H158" s="693" t="s">
        <v>20</v>
      </c>
      <c r="I158" s="669"/>
      <c r="J158" s="661"/>
      <c r="K158" s="661"/>
      <c r="L158" s="661"/>
      <c r="M158" s="661"/>
      <c r="N158" s="661"/>
      <c r="O158" s="661"/>
      <c r="P158" s="661"/>
    </row>
    <row r="160" spans="1:16">
      <c r="E160" s="1170" t="str">
        <f>$H$149</f>
        <v>начальник отдела регулирования ЖКК</v>
      </c>
      <c r="F160" s="1166"/>
      <c r="G160" s="1169" t="str">
        <f>$H$148</f>
        <v>Башаева Марина Юрьевна</v>
      </c>
      <c r="H160" s="1168"/>
    </row>
    <row r="161" spans="5:8">
      <c r="E161" s="1167" t="s">
        <v>2634</v>
      </c>
      <c r="G161" s="600" t="s">
        <v>2635</v>
      </c>
      <c r="H161" s="600" t="s">
        <v>2636</v>
      </c>
    </row>
  </sheetData>
  <sheetProtection formatColumns="0" formatRows="0" autoFilter="0"/>
  <mergeCells count="105">
    <mergeCell ref="D114:D146"/>
    <mergeCell ref="E11:G11"/>
    <mergeCell ref="E109:F112"/>
    <mergeCell ref="E147:F155"/>
    <mergeCell ref="E156:G156"/>
    <mergeCell ref="E8:G8"/>
    <mergeCell ref="E9:G9"/>
    <mergeCell ref="E10:G10"/>
    <mergeCell ref="E102:H102"/>
    <mergeCell ref="E103:H103"/>
    <mergeCell ref="E104:H104"/>
    <mergeCell ref="E105:H105"/>
    <mergeCell ref="E106:H106"/>
    <mergeCell ref="E108:H108"/>
    <mergeCell ref="E96:H96"/>
    <mergeCell ref="E97:H97"/>
    <mergeCell ref="E98:H98"/>
    <mergeCell ref="E99:H99"/>
    <mergeCell ref="E100:H100"/>
    <mergeCell ref="E101:H101"/>
    <mergeCell ref="E85:G85"/>
    <mergeCell ref="E87:F90"/>
    <mergeCell ref="E92:H92"/>
    <mergeCell ref="E93:H93"/>
    <mergeCell ref="E113:F146"/>
    <mergeCell ref="E94:H94"/>
    <mergeCell ref="E95:H95"/>
    <mergeCell ref="E78:G78"/>
    <mergeCell ref="E79:E84"/>
    <mergeCell ref="F79:G79"/>
    <mergeCell ref="F80:G80"/>
    <mergeCell ref="F81:G81"/>
    <mergeCell ref="F82:G82"/>
    <mergeCell ref="F83:G83"/>
    <mergeCell ref="F84:G84"/>
    <mergeCell ref="E71:G71"/>
    <mergeCell ref="E72:E77"/>
    <mergeCell ref="F72:G72"/>
    <mergeCell ref="F73:G73"/>
    <mergeCell ref="F74:G74"/>
    <mergeCell ref="F75:G75"/>
    <mergeCell ref="F76:G76"/>
    <mergeCell ref="F77:G77"/>
    <mergeCell ref="E64:G64"/>
    <mergeCell ref="E65:E70"/>
    <mergeCell ref="F65:G65"/>
    <mergeCell ref="F66:G66"/>
    <mergeCell ref="F67:G67"/>
    <mergeCell ref="F68:G68"/>
    <mergeCell ref="F69:G69"/>
    <mergeCell ref="F70:G70"/>
    <mergeCell ref="E58:G58"/>
    <mergeCell ref="E59:E63"/>
    <mergeCell ref="F59:G59"/>
    <mergeCell ref="F60:G60"/>
    <mergeCell ref="F61:G61"/>
    <mergeCell ref="F62:G62"/>
    <mergeCell ref="F63:G63"/>
    <mergeCell ref="F51:G51"/>
    <mergeCell ref="E52:G52"/>
    <mergeCell ref="E53:E57"/>
    <mergeCell ref="F53:G53"/>
    <mergeCell ref="F54:G54"/>
    <mergeCell ref="F55:G55"/>
    <mergeCell ref="F56:G56"/>
    <mergeCell ref="F57:G57"/>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158:G158"/>
    <mergeCell ref="E7:G7"/>
    <mergeCell ref="E14:H14"/>
    <mergeCell ref="E15:H15"/>
    <mergeCell ref="E16:H16"/>
    <mergeCell ref="E17:H17"/>
    <mergeCell ref="E18:H18"/>
    <mergeCell ref="E24:G24"/>
    <mergeCell ref="E25:G25"/>
    <mergeCell ref="E26:G26"/>
    <mergeCell ref="E27:G27"/>
    <mergeCell ref="E28:G28"/>
    <mergeCell ref="E19:H19"/>
    <mergeCell ref="E20:H20"/>
    <mergeCell ref="E42:G42"/>
    <mergeCell ref="E43:G43"/>
    <mergeCell ref="E44:G44"/>
    <mergeCell ref="E45:G45"/>
    <mergeCell ref="E46:G46"/>
    <mergeCell ref="E47:E51"/>
    <mergeCell ref="F47:G47"/>
    <mergeCell ref="F48:G48"/>
    <mergeCell ref="F49:G49"/>
    <mergeCell ref="F50:G50"/>
  </mergeCells>
  <dataValidations count="26">
    <dataValidation type="list" allowBlank="1" showInputMessage="1" showErrorMessage="1" errorTitle="Внимание" error="Пожалуйста, выберите значение из списка!" sqref="H37 H64 H52 H58 H71 H78 H40:H43 H45:H46 H156 H158">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5">
      <formula1>YEAR_LIST</formula1>
    </dataValidation>
    <dataValidation type="list" showDropDown="1" sqref="C10 C126">
      <formula1>period_list</formula1>
    </dataValidation>
    <dataValidation type="list" showInputMessage="1" showErrorMessage="1" errorTitle="Внимание" error="Пожалуйста, выберите значение из списка!" sqref="H9">
      <formula1>YEAR_LIST</formula1>
    </dataValidation>
    <dataValidation type="textLength" operator="lessThanOrEqual" allowBlank="1" showInputMessage="1" showErrorMessage="1" sqref="C30:C36 C47 C49 C24 C53 C55 C111 C59 C61 C65 C67 C72 C74 C79 C81 C85 C87:C90 C147:C151 C120:C121 C123">
      <formula1>990</formula1>
    </dataValidation>
    <dataValidation type="list" showDropDown="1" sqref="C29">
      <formula1>okopf_list</formula1>
    </dataValidation>
    <dataValidation type="list" showDropDown="1" sqref="C37 C40:C43 C45:C46 C52 C58 C64 C71 C78 C156:C158">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2 C82:C84 C122">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0">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3:F113">
      <formula1>"Заявление организации,Заявление организации (отсутствует)"</formula1>
    </dataValidation>
    <dataValidation type="list" showDropDown="1" errorTitle="Ошибка" error="Выберите значение из списка" prompt="Выберите значение из списка" sqref="C117">
      <formula1>tariff_type_list</formula1>
    </dataValidation>
    <dataValidation type="list" allowBlank="1" showInputMessage="1" showErrorMessage="1" errorTitle="Ошибка" error="Выберите значение из списка" prompt="Выберите значение из списка" sqref="H125">
      <formula1>YEAR_LIST</formula1>
    </dataValidation>
    <dataValidation type="list" showDropDown="1" showInputMessage="1" showErrorMessage="1" errorTitle="Внимание" error="Пожалуйста, выберите значение из списка!" sqref="C124">
      <formula1>TARIFF_CALC_METHOD</formula1>
    </dataValidation>
    <dataValidation type="list" allowBlank="1" showInputMessage="1" showErrorMessage="1" errorTitle="Ошибка" error="Выберите значение из списка" prompt="Выберите значение из списка" sqref="H126">
      <formula1>period_list</formula1>
    </dataValidation>
    <dataValidation type="list" allowBlank="1" showInputMessage="1" showErrorMessage="1" errorTitle="Ошибка" error="Выберите значение из списка" prompt="Выберите значение из списка" sqref="H116">
      <formula1>COLDVSNA_VTARIFF</formula1>
    </dataValidation>
    <dataValidation type="list" allowBlank="1" showInputMessage="1" showErrorMessage="1" errorTitle="Внимание" error="Пожалуйста, выберите значение из списка!" sqref="H124">
      <formula1>TARIFF_CALC_METHOD</formula1>
    </dataValidation>
    <dataValidation type="list" allowBlank="1" showInputMessage="1" showErrorMessage="1" errorTitle="Ошибка" error="Выберите значение из списка" prompt="Выберите значение из списка" sqref="H117">
      <formula1>tariff_type_list</formula1>
    </dataValidation>
    <dataValidation type="list" allowBlank="1" showInputMessage="1" showErrorMessage="1" errorTitle="Ошибка" error="Выберите значение из списка" prompt="Выберите значение из списка" sqref="H119">
      <formula1>COLDVSNA_VTOV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5"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BA693"/>
  <sheetViews>
    <sheetView showGridLines="0" zoomScaleNormal="100" workbookViewId="0"/>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43" customFormat="1" ht="30" customHeight="1">
      <c r="A1" s="142" t="s">
        <v>115</v>
      </c>
      <c r="M1" s="144"/>
      <c r="N1" s="144"/>
      <c r="O1" s="144"/>
      <c r="P1" s="144"/>
      <c r="AA1" s="145"/>
    </row>
    <row r="2" spans="1:27">
      <c r="A2" s="146" t="s">
        <v>1032</v>
      </c>
    </row>
    <row r="3" spans="1:27" s="53" customFormat="1" ht="15.95" customHeight="1">
      <c r="A3" s="587"/>
      <c r="C3" s="359"/>
      <c r="D3" s="631" t="s">
        <v>18</v>
      </c>
      <c r="E3" s="1"/>
      <c r="F3" s="1"/>
      <c r="G3" s="135" t="str">
        <f>"Тариф " &amp; D3</f>
        <v>Тариф 1</v>
      </c>
      <c r="H3" s="331" t="s">
        <v>1023</v>
      </c>
      <c r="I3" s="147" t="s">
        <v>283</v>
      </c>
      <c r="J3" s="53" t="str">
        <f>G3 &amp; " (" &amp;H3&amp; ") - " &amp;H5 &amp; IF(H9="",""," (" &amp; H9 &amp; ")")</f>
        <v xml:space="preserve">Тариф 1 (Водоснабжение) - </v>
      </c>
      <c r="K3" s="53">
        <f>H8</f>
        <v>0</v>
      </c>
      <c r="L3" s="320">
        <f>H5</f>
        <v>0</v>
      </c>
      <c r="M3" s="53">
        <f>H9</f>
        <v>0</v>
      </c>
      <c r="N3" s="53">
        <f>H6</f>
        <v>0</v>
      </c>
    </row>
    <row r="4" spans="1:27" s="53" customFormat="1" ht="15.95" customHeight="1">
      <c r="A4" s="587"/>
      <c r="C4" s="359"/>
      <c r="D4" s="631"/>
      <c r="E4" s="1"/>
      <c r="F4" s="1"/>
      <c r="G4" s="56" t="s">
        <v>1246</v>
      </c>
      <c r="H4" s="136"/>
      <c r="I4" s="333"/>
    </row>
    <row r="5" spans="1:27" s="53" customFormat="1" ht="15.95" customHeight="1">
      <c r="A5" s="587"/>
      <c r="C5" s="359"/>
      <c r="D5" s="631"/>
      <c r="E5" s="1"/>
      <c r="F5" s="1"/>
      <c r="G5" s="56" t="s">
        <v>262</v>
      </c>
      <c r="H5" s="138"/>
      <c r="I5" s="333"/>
    </row>
    <row r="6" spans="1:27" s="53" customFormat="1" ht="15.95" customHeight="1">
      <c r="A6" s="587"/>
      <c r="C6" s="359"/>
      <c r="D6" s="631"/>
      <c r="E6" s="1"/>
      <c r="F6" s="1"/>
      <c r="G6" s="56" t="s">
        <v>263</v>
      </c>
      <c r="H6" s="138"/>
      <c r="I6" s="333"/>
    </row>
    <row r="7" spans="1:27" s="53" customFormat="1" ht="15.95" customHeight="1">
      <c r="A7" s="587"/>
      <c r="C7" s="359"/>
      <c r="D7" s="631"/>
      <c r="E7" s="1"/>
      <c r="F7" s="1"/>
      <c r="G7" s="56" t="s">
        <v>264</v>
      </c>
      <c r="H7" s="136"/>
      <c r="I7" s="334"/>
    </row>
    <row r="8" spans="1:27" s="53" customFormat="1" ht="15.95" customHeight="1">
      <c r="A8" s="587"/>
      <c r="C8" s="359"/>
      <c r="D8" s="631"/>
      <c r="E8" s="1"/>
      <c r="F8" s="1"/>
      <c r="G8" s="139" t="str">
        <f>IF(H3="Водоотведение","Вид сточных вод","Вид воды")</f>
        <v>Вид воды</v>
      </c>
      <c r="H8" s="138"/>
      <c r="I8" s="333"/>
    </row>
    <row r="9" spans="1:27" s="53" customFormat="1" ht="15.95" customHeight="1">
      <c r="A9" s="587"/>
      <c r="C9" s="359"/>
      <c r="D9" s="631"/>
      <c r="E9" s="1"/>
      <c r="F9" s="1"/>
      <c r="G9" s="139" t="s">
        <v>1031</v>
      </c>
      <c r="H9" s="528"/>
      <c r="I9" s="333"/>
    </row>
    <row r="10" spans="1:27" s="53" customFormat="1" ht="15.95" customHeight="1">
      <c r="A10" s="587"/>
      <c r="B10" s="53" t="b">
        <f t="shared" ref="B10:B15" si="0">org_declaration="Заявление организации"</f>
        <v>1</v>
      </c>
      <c r="C10" s="359"/>
      <c r="D10" s="631"/>
      <c r="E10" s="1"/>
      <c r="F10" s="1"/>
      <c r="G10" s="56" t="s">
        <v>265</v>
      </c>
      <c r="H10" s="465"/>
      <c r="I10" s="333"/>
    </row>
    <row r="11" spans="1:27" s="53" customFormat="1" ht="15.95" customHeight="1">
      <c r="A11" s="587"/>
      <c r="B11" s="53" t="b">
        <f t="shared" si="0"/>
        <v>1</v>
      </c>
      <c r="C11" s="359"/>
      <c r="D11" s="631"/>
      <c r="E11" s="1"/>
      <c r="F11" s="1"/>
      <c r="G11" s="56" t="s">
        <v>266</v>
      </c>
      <c r="H11" s="533"/>
      <c r="I11" s="333"/>
    </row>
    <row r="12" spans="1:27" s="53" customFormat="1" ht="15.95" customHeight="1">
      <c r="A12" s="587"/>
      <c r="B12" s="53" t="b">
        <f t="shared" si="0"/>
        <v>1</v>
      </c>
      <c r="C12" s="359"/>
      <c r="D12" s="631"/>
      <c r="E12" s="1"/>
      <c r="F12" s="1"/>
      <c r="G12" s="56" t="s">
        <v>1187</v>
      </c>
      <c r="H12" s="465"/>
      <c r="I12" s="333"/>
    </row>
    <row r="13" spans="1:27" s="53" customFormat="1" ht="15.95" customHeight="1">
      <c r="A13" s="587"/>
      <c r="B13" s="53" t="b">
        <f t="shared" si="0"/>
        <v>1</v>
      </c>
      <c r="C13" s="359"/>
      <c r="D13" s="631"/>
      <c r="E13" s="1"/>
      <c r="F13" s="1"/>
      <c r="G13" s="56" t="s">
        <v>267</v>
      </c>
      <c r="H13" s="534"/>
      <c r="I13" s="333"/>
    </row>
    <row r="14" spans="1:27" s="53" customFormat="1" ht="21.75" customHeight="1">
      <c r="A14" s="587"/>
      <c r="B14" s="53" t="b">
        <f t="shared" si="0"/>
        <v>1</v>
      </c>
      <c r="C14" s="359"/>
      <c r="D14" s="631"/>
      <c r="E14" s="1"/>
      <c r="F14" s="1"/>
      <c r="G14" s="532"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28"/>
      <c r="I14" s="333"/>
    </row>
    <row r="15" spans="1:27" s="53" customFormat="1" ht="15.95" customHeight="1">
      <c r="A15" s="587"/>
      <c r="B15" s="53" t="b">
        <f t="shared" si="0"/>
        <v>1</v>
      </c>
      <c r="C15" s="359"/>
      <c r="D15" s="631"/>
      <c r="E15" s="1"/>
      <c r="F15" s="1"/>
      <c r="G15" s="56" t="s">
        <v>269</v>
      </c>
      <c r="H15" s="360"/>
      <c r="I15" s="333"/>
    </row>
    <row r="16" spans="1:27" s="53" customFormat="1" ht="31.5">
      <c r="A16" s="53">
        <f>god</f>
        <v>2024</v>
      </c>
      <c r="B16" s="53" t="b">
        <f t="shared" ref="B16:B35" si="1">A16&lt;=last_year_vis</f>
        <v>1</v>
      </c>
      <c r="C16" s="359"/>
      <c r="D16" s="631"/>
      <c r="E16" s="1"/>
      <c r="F16" s="1"/>
      <c r="G16" s="139" t="str">
        <f>"Величина тарифа на холодное водоснабжение/водоотведение, предложенная организацией (без НДС), руб./куб.м 
с 01.01."&amp;A16&amp;" по 30.06."&amp;A16</f>
        <v>Величина тарифа на холодное водоснабжение/водоотведение, предложенная организацией (без НДС), руб./куб.м 
с 01.01.2024 по 30.06.2024</v>
      </c>
      <c r="H16" s="339">
        <f ca="1">SUMIFS(OFFSET(Калькуляция!$T$15:$T$139,0,A16-god),Калькуляция!$A$15:$A$139,D3,Калькуляция!$M$15:$M$139,"I полугодие: тариф")</f>
        <v>13.2</v>
      </c>
      <c r="I16" s="54"/>
      <c r="J16" s="55"/>
    </row>
    <row r="17" spans="1:10" s="53" customFormat="1" ht="31.5">
      <c r="A17" s="53">
        <f>god</f>
        <v>2024</v>
      </c>
      <c r="B17" s="53" t="b">
        <f t="shared" si="1"/>
        <v>1</v>
      </c>
      <c r="C17" s="359"/>
      <c r="D17" s="631"/>
      <c r="E17" s="1"/>
      <c r="F17" s="1"/>
      <c r="G17" s="139" t="str">
        <f>"Величина тарифа на холодное водоснабжение/водоотведение, предложенная организацией (без НДС), руб./куб.м 
с 01.07."&amp;A17&amp;" по 31.12."&amp;A17</f>
        <v>Величина тарифа на холодное водоснабжение/водоотведение, предложенная организацией (без НДС), руб./куб.м 
с 01.07.2024 по 31.12.2024</v>
      </c>
      <c r="H17" s="339">
        <f ca="1">SUMIFS(OFFSET(Калькуляция!$T$15:$T$139,0,A17-god),Калькуляция!$A$15:$A$139,D3,Калькуляция!$M$15:$M$139,"II полугодие: тариф")</f>
        <v>16.030118231454498</v>
      </c>
      <c r="I17" s="54"/>
    </row>
    <row r="18" spans="1:10" s="53" customFormat="1" ht="31.5">
      <c r="A18" s="53">
        <f>god+1</f>
        <v>2025</v>
      </c>
      <c r="B18" s="53" t="b">
        <f t="shared" si="1"/>
        <v>0</v>
      </c>
      <c r="C18" s="359"/>
      <c r="D18" s="631"/>
      <c r="E18" s="1"/>
      <c r="F18" s="1"/>
      <c r="G18" s="139" t="str">
        <f>"Величина тарифа на холодное водоснабжение/водоотведение, предложенная организацией (без НДС), руб./куб.м 
с 01.01."&amp;A18&amp;" по 30.06."&amp;A18</f>
        <v>Величина тарифа на холодное водоснабжение/водоотведение, предложенная организацией (без НДС), руб./куб.м 
с 01.01.2025 по 30.06.2025</v>
      </c>
      <c r="H18" s="339">
        <f ca="1">SUMIFS(OFFSET(Калькуляция!$T$15:$T$139,0,A18-god),Калькуляция!$A$15:$A$139,D3,Калькуляция!$M$15:$M$139,"I полугодие: тариф")</f>
        <v>0</v>
      </c>
      <c r="I18" s="54"/>
      <c r="J18" s="55"/>
    </row>
    <row r="19" spans="1:10" s="53" customFormat="1" ht="31.5">
      <c r="A19" s="53">
        <f>god+1</f>
        <v>2025</v>
      </c>
      <c r="B19" s="53" t="b">
        <f t="shared" si="1"/>
        <v>0</v>
      </c>
      <c r="C19" s="359"/>
      <c r="D19" s="631"/>
      <c r="E19" s="1"/>
      <c r="F19" s="1"/>
      <c r="G19" s="139" t="str">
        <f>"Величина тарифа на холодное водоснабжение/водоотведение, предложенная организацией (без НДС), руб./куб.м 
с 01.07."&amp;A19&amp;" по 31.12."&amp;A19</f>
        <v>Величина тарифа на холодное водоснабжение/водоотведение, предложенная организацией (без НДС), руб./куб.м 
с 01.07.2025 по 31.12.2025</v>
      </c>
      <c r="H19" s="339">
        <f ca="1">SUMIFS(OFFSET(Калькуляция!$T$15:$T$139,0,A19-god),Калькуляция!$A$15:$A$139,D3,Калькуляция!$M$15:$M$139,"II полугодие: тариф")</f>
        <v>0</v>
      </c>
      <c r="I19" s="54"/>
    </row>
    <row r="20" spans="1:10" s="53" customFormat="1" ht="31.5">
      <c r="A20" s="53">
        <f>god+2</f>
        <v>2026</v>
      </c>
      <c r="B20" s="53" t="b">
        <f t="shared" si="1"/>
        <v>0</v>
      </c>
      <c r="C20" s="359"/>
      <c r="D20" s="631"/>
      <c r="E20" s="1"/>
      <c r="F20" s="1"/>
      <c r="G20" s="139" t="str">
        <f>"Величина тарифа на холодное водоснабжение/водоотведение, предложенная организацией (без НДС), руб./куб.м 
с 01.01."&amp;A20&amp;" по 30.06."&amp;A20</f>
        <v>Величина тарифа на холодное водоснабжение/водоотведение, предложенная организацией (без НДС), руб./куб.м 
с 01.01.2026 по 30.06.2026</v>
      </c>
      <c r="H20" s="339">
        <f ca="1">SUMIFS(OFFSET(Калькуляция!$T$15:$T$139,0,A20-god),Калькуляция!$A$15:$A$139,D3,Калькуляция!$M$15:$M$139,"I полугодие: тариф")</f>
        <v>0</v>
      </c>
      <c r="I20" s="54"/>
      <c r="J20" s="55"/>
    </row>
    <row r="21" spans="1:10" s="53" customFormat="1" ht="31.5">
      <c r="A21" s="53">
        <f>god+2</f>
        <v>2026</v>
      </c>
      <c r="B21" s="53" t="b">
        <f t="shared" si="1"/>
        <v>0</v>
      </c>
      <c r="C21" s="359"/>
      <c r="D21" s="631"/>
      <c r="E21" s="1"/>
      <c r="F21" s="1"/>
      <c r="G21" s="139" t="str">
        <f>"Величина тарифа на холодное водоснабжение/водоотведение, предложенная организацией (без НДС), руб./куб.м 
с 01.07."&amp;A21&amp;" по 31.12."&amp;A21</f>
        <v>Величина тарифа на холодное водоснабжение/водоотведение, предложенная организацией (без НДС), руб./куб.м 
с 01.07.2026 по 31.12.2026</v>
      </c>
      <c r="H21" s="339">
        <f ca="1">SUMIFS(OFFSET(Калькуляция!$T$15:$T$139,0,A21-god),Калькуляция!$A$15:$A$139,D3,Калькуляция!$M$15:$M$139,"II полугодие: тариф")</f>
        <v>0</v>
      </c>
      <c r="I21" s="54"/>
    </row>
    <row r="22" spans="1:10" s="53" customFormat="1" ht="31.5">
      <c r="A22" s="53">
        <f>god+3</f>
        <v>2027</v>
      </c>
      <c r="B22" s="53" t="b">
        <f t="shared" si="1"/>
        <v>0</v>
      </c>
      <c r="C22" s="359"/>
      <c r="D22" s="631"/>
      <c r="E22" s="1"/>
      <c r="F22" s="1"/>
      <c r="G22" s="139" t="str">
        <f>"Величина тарифа на холодное водоснабжение/водоотведение, предложенная организацией (без НДС), руб./куб.м 
с 01.01."&amp;A22&amp;" по 30.06."&amp;A22</f>
        <v>Величина тарифа на холодное водоснабжение/водоотведение, предложенная организацией (без НДС), руб./куб.м 
с 01.01.2027 по 30.06.2027</v>
      </c>
      <c r="H22" s="339">
        <f ca="1">SUMIFS(OFFSET(Калькуляция!$T$15:$T$139,0,A22-god),Калькуляция!$A$15:$A$139,D3,Калькуляция!$M$15:$M$139,"I полугодие: тариф")</f>
        <v>0</v>
      </c>
      <c r="I22" s="54"/>
      <c r="J22" s="55"/>
    </row>
    <row r="23" spans="1:10" s="53" customFormat="1" ht="31.5">
      <c r="A23" s="53">
        <f>god+3</f>
        <v>2027</v>
      </c>
      <c r="B23" s="53" t="b">
        <f t="shared" si="1"/>
        <v>0</v>
      </c>
      <c r="C23" s="359"/>
      <c r="D23" s="631"/>
      <c r="E23" s="1"/>
      <c r="F23" s="1"/>
      <c r="G23" s="139" t="str">
        <f>"Величина тарифа на холодное водоснабжение/водоотведение, предложенная организацией (без НДС), руб./куб.м 
с 01.07."&amp;A23&amp;" по 31.12."&amp;A23</f>
        <v>Величина тарифа на холодное водоснабжение/водоотведение, предложенная организацией (без НДС), руб./куб.м 
с 01.07.2027 по 31.12.2027</v>
      </c>
      <c r="H23" s="339">
        <f ca="1">SUMIFS(OFFSET(Калькуляция!$T$15:$T$139,0,A23-god),Калькуляция!$A$15:$A$139,D3,Калькуляция!$M$15:$M$139,"II полугодие: тариф")</f>
        <v>0</v>
      </c>
      <c r="I23" s="54"/>
    </row>
    <row r="24" spans="1:10" s="53" customFormat="1" ht="31.5">
      <c r="A24" s="53">
        <f>god+4</f>
        <v>2028</v>
      </c>
      <c r="B24" s="53" t="b">
        <f t="shared" si="1"/>
        <v>0</v>
      </c>
      <c r="C24" s="359"/>
      <c r="D24" s="631"/>
      <c r="E24" s="1"/>
      <c r="F24" s="1"/>
      <c r="G24" s="139" t="str">
        <f>"Величина тарифа на холодное водоснабжение/водоотведение, предложенная организацией (без НДС), руб./куб.м 
с 01.01."&amp;A24&amp;" по 30.06."&amp;A24</f>
        <v>Величина тарифа на холодное водоснабжение/водоотведение, предложенная организацией (без НДС), руб./куб.м 
с 01.01.2028 по 30.06.2028</v>
      </c>
      <c r="H24" s="339">
        <f ca="1">SUMIFS(OFFSET(Калькуляция!$T$15:$T$139,0,A24-god),Калькуляция!$A$15:$A$139,D3,Калькуляция!$M$15:$M$139,"I полугодие: тариф")</f>
        <v>0</v>
      </c>
      <c r="I24" s="54"/>
      <c r="J24" s="55"/>
    </row>
    <row r="25" spans="1:10" s="53" customFormat="1" ht="31.5">
      <c r="A25" s="53">
        <f>god+4</f>
        <v>2028</v>
      </c>
      <c r="B25" s="53" t="b">
        <f t="shared" si="1"/>
        <v>0</v>
      </c>
      <c r="C25" s="359"/>
      <c r="D25" s="631"/>
      <c r="E25" s="1"/>
      <c r="F25" s="1"/>
      <c r="G25" s="139" t="str">
        <f>"Величина тарифа на холодное водоснабжение/водоотведение, предложенная организацией (без НДС), руб./куб.м 
с 01.07."&amp;A25&amp;" по 31.12."&amp;A25</f>
        <v>Величина тарифа на холодное водоснабжение/водоотведение, предложенная организацией (без НДС), руб./куб.м 
с 01.07.2028 по 31.12.2028</v>
      </c>
      <c r="H25" s="339">
        <f ca="1">SUMIFS(OFFSET(Калькуляция!$T$15:$T$139,0,A25-god),Калькуляция!$A$15:$A$139,D3,Калькуляция!$M$15:$M$139,"II полугодие: тариф")</f>
        <v>0</v>
      </c>
      <c r="I25" s="54"/>
    </row>
    <row r="26" spans="1:10" s="53" customFormat="1" ht="31.5">
      <c r="A26" s="53">
        <f>god+5</f>
        <v>2029</v>
      </c>
      <c r="B26" s="53" t="b">
        <f t="shared" si="1"/>
        <v>0</v>
      </c>
      <c r="C26" s="359"/>
      <c r="D26" s="631"/>
      <c r="E26" s="1"/>
      <c r="F26" s="1"/>
      <c r="G26" s="139" t="str">
        <f>"Величина тарифа на холодное водоснабжение/водоотведение, предложенная организацией (без НДС), руб./куб.м 
с 01.01."&amp;A26&amp;" по 30.06."&amp;A26</f>
        <v>Величина тарифа на холодное водоснабжение/водоотведение, предложенная организацией (без НДС), руб./куб.м 
с 01.01.2029 по 30.06.2029</v>
      </c>
      <c r="H26" s="339">
        <f ca="1">SUMIFS(OFFSET(Калькуляция!$T$15:$T$139,0,A26-god),Калькуляция!$A$15:$A$139,D3,Калькуляция!$M$15:$M$139,"I полугодие: тариф")</f>
        <v>0</v>
      </c>
      <c r="I26" s="54"/>
      <c r="J26" s="55"/>
    </row>
    <row r="27" spans="1:10" s="53" customFormat="1" ht="31.5">
      <c r="A27" s="53">
        <f>god+5</f>
        <v>2029</v>
      </c>
      <c r="B27" s="53" t="b">
        <f t="shared" si="1"/>
        <v>0</v>
      </c>
      <c r="C27" s="359"/>
      <c r="D27" s="631"/>
      <c r="E27" s="1"/>
      <c r="F27" s="1"/>
      <c r="G27" s="139" t="str">
        <f>"Величина тарифа на холодное водоснабжение/водоотведение, предложенная организацией (без НДС), руб./куб.м 
с 01.07."&amp;A27&amp;" по 31.12."&amp;A27</f>
        <v>Величина тарифа на холодное водоснабжение/водоотведение, предложенная организацией (без НДС), руб./куб.м 
с 01.07.2029 по 31.12.2029</v>
      </c>
      <c r="H27" s="339">
        <f ca="1">SUMIFS(OFFSET(Калькуляция!$T$15:$T$139,0,A27-god),Калькуляция!$A$15:$A$139,D3,Калькуляция!$M$15:$M$139,"II полугодие: тариф")</f>
        <v>0</v>
      </c>
      <c r="I27" s="54"/>
    </row>
    <row r="28" spans="1:10" s="53" customFormat="1" ht="31.5">
      <c r="A28" s="53">
        <f>god+6</f>
        <v>2030</v>
      </c>
      <c r="B28" s="53" t="b">
        <f t="shared" si="1"/>
        <v>0</v>
      </c>
      <c r="C28" s="359"/>
      <c r="D28" s="631"/>
      <c r="E28" s="1"/>
      <c r="F28" s="1"/>
      <c r="G28" s="139" t="str">
        <f>"Величина тарифа на холодное водоснабжение/водоотведение, предложенная организацией (без НДС), руб./куб.м 
с 01.01."&amp;A28&amp;" по 30.06."&amp;A28</f>
        <v>Величина тарифа на холодное водоснабжение/водоотведение, предложенная организацией (без НДС), руб./куб.м 
с 01.01.2030 по 30.06.2030</v>
      </c>
      <c r="H28" s="339">
        <f ca="1">SUMIFS(OFFSET(Калькуляция!$T$15:$T$139,0,A28-god),Калькуляция!$A$15:$A$139,D3,Калькуляция!$M$15:$M$139,"I полугодие: тариф")</f>
        <v>0</v>
      </c>
      <c r="I28" s="54"/>
      <c r="J28" s="55"/>
    </row>
    <row r="29" spans="1:10" s="53" customFormat="1" ht="31.5">
      <c r="A29" s="53">
        <f>god+6</f>
        <v>2030</v>
      </c>
      <c r="B29" s="53" t="b">
        <f t="shared" si="1"/>
        <v>0</v>
      </c>
      <c r="C29" s="359"/>
      <c r="D29" s="631"/>
      <c r="E29" s="1"/>
      <c r="F29" s="1"/>
      <c r="G29" s="139" t="str">
        <f>"Величина тарифа на холодное водоснабжение/водоотведение, предложенная организацией (без НДС), руб./куб.м 
с 01.07."&amp;A29&amp;" по 31.12."&amp;A29</f>
        <v>Величина тарифа на холодное водоснабжение/водоотведение, предложенная организацией (без НДС), руб./куб.м 
с 01.07.2030 по 31.12.2030</v>
      </c>
      <c r="H29" s="339">
        <f ca="1">SUMIFS(OFFSET(Калькуляция!$T$15:$T$139,0,A29-god),Калькуляция!$A$15:$A$139,D3,Калькуляция!$M$15:$M$139,"II полугодие: тариф")</f>
        <v>0</v>
      </c>
      <c r="I29" s="54"/>
    </row>
    <row r="30" spans="1:10" s="53" customFormat="1" ht="31.5">
      <c r="A30" s="53">
        <f>god+7</f>
        <v>2031</v>
      </c>
      <c r="B30" s="53" t="b">
        <f t="shared" si="1"/>
        <v>0</v>
      </c>
      <c r="C30" s="359"/>
      <c r="D30" s="631"/>
      <c r="E30" s="1"/>
      <c r="F30" s="1"/>
      <c r="G30" s="139" t="str">
        <f>"Величина тарифа на холодное водоснабжение/водоотведение, предложенная организацией (без НДС), руб./куб.м 
с 01.01."&amp;A30&amp;" по 30.06."&amp;A30</f>
        <v>Величина тарифа на холодное водоснабжение/водоотведение, предложенная организацией (без НДС), руб./куб.м 
с 01.01.2031 по 30.06.2031</v>
      </c>
      <c r="H30" s="339">
        <f ca="1">SUMIFS(OFFSET(Калькуляция!$T$15:$T$139,0,A30-god),Калькуляция!$A$15:$A$139,D3,Калькуляция!$M$15:$M$139,"I полугодие: тариф")</f>
        <v>0</v>
      </c>
      <c r="I30" s="54"/>
      <c r="J30" s="55"/>
    </row>
    <row r="31" spans="1:10" s="53" customFormat="1" ht="31.5">
      <c r="A31" s="53">
        <f>god+7</f>
        <v>2031</v>
      </c>
      <c r="B31" s="53" t="b">
        <f t="shared" si="1"/>
        <v>0</v>
      </c>
      <c r="C31" s="359"/>
      <c r="D31" s="631"/>
      <c r="E31" s="1"/>
      <c r="F31" s="1"/>
      <c r="G31" s="139" t="str">
        <f>"Величина тарифа на холодное водоснабжение/водоотведение, предложенная организацией (без НДС), руб./куб.м 
с 01.07."&amp;A31&amp;" по 31.12."&amp;A31</f>
        <v>Величина тарифа на холодное водоснабжение/водоотведение, предложенная организацией (без НДС), руб./куб.м 
с 01.07.2031 по 31.12.2031</v>
      </c>
      <c r="H31" s="339">
        <f ca="1">SUMIFS(OFFSET(Калькуляция!$T$15:$T$139,0,A31-god),Калькуляция!$A$15:$A$139,D3,Калькуляция!$M$15:$M$139,"II полугодие: тариф")</f>
        <v>0</v>
      </c>
      <c r="I31" s="54"/>
    </row>
    <row r="32" spans="1:10" s="53" customFormat="1" ht="31.5">
      <c r="A32" s="53">
        <f>god+8</f>
        <v>2032</v>
      </c>
      <c r="B32" s="53" t="b">
        <f t="shared" si="1"/>
        <v>0</v>
      </c>
      <c r="C32" s="359"/>
      <c r="D32" s="631"/>
      <c r="E32" s="1"/>
      <c r="F32" s="1"/>
      <c r="G32" s="139" t="str">
        <f>"Величина тарифа на холодное водоснабжение/водоотведение, предложенная организацией (без НДС), руб./куб.м 
с 01.01."&amp;A32&amp;" по 30.06."&amp;A32</f>
        <v>Величина тарифа на холодное водоснабжение/водоотведение, предложенная организацией (без НДС), руб./куб.м 
с 01.01.2032 по 30.06.2032</v>
      </c>
      <c r="H32" s="339">
        <f ca="1">SUMIFS(OFFSET(Калькуляция!$T$15:$T$139,0,A32-god),Калькуляция!$A$15:$A$139,D3,Калькуляция!$M$15:$M$139,"I полугодие: тариф")</f>
        <v>0</v>
      </c>
      <c r="I32" s="54"/>
      <c r="J32" s="55"/>
    </row>
    <row r="33" spans="1:27" s="53" customFormat="1" ht="31.5">
      <c r="A33" s="53">
        <f>god+8</f>
        <v>2032</v>
      </c>
      <c r="B33" s="53" t="b">
        <f t="shared" si="1"/>
        <v>0</v>
      </c>
      <c r="C33" s="359"/>
      <c r="D33" s="631"/>
      <c r="E33" s="1"/>
      <c r="F33" s="1"/>
      <c r="G33" s="139" t="str">
        <f>"Величина тарифа на холодное водоснабжение/водоотведение, предложенная организацией (без НДС), руб./куб.м 
с 01.07."&amp;A33&amp;" по 31.12."&amp;A33</f>
        <v>Величина тарифа на холодное водоснабжение/водоотведение, предложенная организацией (без НДС), руб./куб.м 
с 01.07.2032 по 31.12.2032</v>
      </c>
      <c r="H33" s="339">
        <f ca="1">SUMIFS(OFFSET(Калькуляция!$T$15:$T$139,0,A33-god),Калькуляция!$A$15:$A$139,D3,Калькуляция!$M$15:$M$139,"II полугодие: тариф")</f>
        <v>0</v>
      </c>
      <c r="I33" s="54"/>
    </row>
    <row r="34" spans="1:27" s="53" customFormat="1" ht="31.5">
      <c r="A34" s="53">
        <f>god+9</f>
        <v>2033</v>
      </c>
      <c r="B34" s="53" t="b">
        <f t="shared" si="1"/>
        <v>0</v>
      </c>
      <c r="C34" s="359"/>
      <c r="D34" s="631"/>
      <c r="E34" s="1"/>
      <c r="F34" s="1"/>
      <c r="G34" s="139" t="str">
        <f>"Величина тарифа на холодное водоснабжение/водоотведение, предложенная организацией (без НДС), руб./куб.м 
с 01.01."&amp;A34&amp;" по 30.06."&amp;A34</f>
        <v>Величина тарифа на холодное водоснабжение/водоотведение, предложенная организацией (без НДС), руб./куб.м 
с 01.01.2033 по 30.06.2033</v>
      </c>
      <c r="H34" s="339">
        <f ca="1">SUMIFS(OFFSET(Калькуляция!$T$15:$T$139,0,A34-god),Калькуляция!$A$15:$A$139,D3,Калькуляция!$M$15:$M$139,"I полугодие: тариф")</f>
        <v>0</v>
      </c>
      <c r="I34" s="54"/>
      <c r="J34" s="55"/>
    </row>
    <row r="35" spans="1:27" s="53" customFormat="1" ht="31.5">
      <c r="A35" s="53">
        <f>god+9</f>
        <v>2033</v>
      </c>
      <c r="B35" s="53" t="b">
        <f t="shared" si="1"/>
        <v>0</v>
      </c>
      <c r="C35" s="359"/>
      <c r="D35" s="631"/>
      <c r="E35" s="1"/>
      <c r="F35" s="1"/>
      <c r="G35" s="139" t="str">
        <f>"Величина тарифа на холодное водоснабжение/водоотведение, предложенная организацией (без НДС), руб./куб.м 
с 01.07."&amp;A35&amp;" по 31.12."&amp;A35</f>
        <v>Величина тарифа на холодное водоснабжение/водоотведение, предложенная организацией (без НДС), руб./куб.м 
с 01.07.2033 по 31.12.2033</v>
      </c>
      <c r="H35" s="339">
        <f ca="1">SUMIFS(OFFSET(Калькуляция!$T$15:$T$139,0,A35-god),Калькуляция!$A$15:$A$139,D3,Калькуляция!$M$15:$M$139,"II полугодие: тариф")</f>
        <v>0</v>
      </c>
      <c r="I35" s="54"/>
    </row>
    <row r="36" spans="1:27" s="558" customFormat="1">
      <c r="A36" s="557" t="s">
        <v>1388</v>
      </c>
      <c r="M36" s="559"/>
      <c r="N36" s="559"/>
      <c r="O36" s="559"/>
      <c r="P36" s="559"/>
      <c r="AA36" s="560"/>
    </row>
    <row r="37" spans="1:27" s="53" customFormat="1" ht="15.95" customHeight="1">
      <c r="C37" s="582"/>
      <c r="D37" s="147" t="s">
        <v>283</v>
      </c>
      <c r="E37" s="628" t="s">
        <v>226</v>
      </c>
      <c r="F37" s="628"/>
      <c r="G37" s="628"/>
      <c r="H37" s="541"/>
      <c r="I37" s="54"/>
      <c r="J37" s="55"/>
    </row>
    <row r="38" spans="1:27" s="558" customFormat="1">
      <c r="A38" s="557" t="s">
        <v>1389</v>
      </c>
      <c r="M38" s="559"/>
      <c r="N38" s="559"/>
      <c r="O38" s="559"/>
      <c r="P38" s="559"/>
      <c r="AA38" s="560"/>
    </row>
    <row r="39" spans="1:27" s="558" customFormat="1">
      <c r="A39" s="557" t="s">
        <v>1390</v>
      </c>
      <c r="M39" s="559"/>
      <c r="N39" s="559"/>
      <c r="O39" s="559"/>
      <c r="P39" s="559"/>
      <c r="AA39" s="560"/>
    </row>
    <row r="40" spans="1:27" s="558" customFormat="1">
      <c r="A40" s="557" t="s">
        <v>1391</v>
      </c>
      <c r="M40" s="559"/>
      <c r="N40" s="559"/>
      <c r="O40" s="559"/>
      <c r="P40" s="559"/>
      <c r="AA40" s="560"/>
    </row>
    <row r="41" spans="1:27" s="53" customFormat="1" ht="15.95" customHeight="1">
      <c r="C41" s="582"/>
      <c r="D41" s="147" t="s">
        <v>283</v>
      </c>
      <c r="E41" s="630" t="s">
        <v>229</v>
      </c>
      <c r="F41" s="628" t="s">
        <v>230</v>
      </c>
      <c r="G41" s="628"/>
      <c r="H41" s="377"/>
      <c r="I41" s="54"/>
    </row>
    <row r="42" spans="1:27" s="53" customFormat="1" ht="15.95" customHeight="1">
      <c r="C42" s="582"/>
      <c r="E42" s="630"/>
      <c r="F42" s="628" t="s">
        <v>231</v>
      </c>
      <c r="G42" s="628"/>
      <c r="H42" s="358"/>
      <c r="I42" s="54"/>
    </row>
    <row r="43" spans="1:27" s="53" customFormat="1" ht="15.95" customHeight="1">
      <c r="C43" s="582"/>
      <c r="E43" s="630"/>
      <c r="F43" s="628" t="s">
        <v>232</v>
      </c>
      <c r="G43" s="628"/>
      <c r="H43" s="377"/>
      <c r="I43" s="54"/>
    </row>
    <row r="44" spans="1:27" s="53" customFormat="1" ht="15.95" customHeight="1">
      <c r="C44" s="582"/>
      <c r="E44" s="630"/>
      <c r="F44" s="628" t="s">
        <v>233</v>
      </c>
      <c r="G44" s="628"/>
      <c r="H44" s="141"/>
      <c r="I44" s="54"/>
    </row>
    <row r="45" spans="1:27" s="53" customFormat="1" ht="15.95" customHeight="1">
      <c r="C45" s="582"/>
      <c r="E45" s="630"/>
      <c r="F45" s="628" t="s">
        <v>234</v>
      </c>
      <c r="G45" s="628"/>
      <c r="H45" s="541"/>
      <c r="I45" s="54"/>
      <c r="J45" s="55"/>
    </row>
    <row r="46" spans="1:27" s="558" customFormat="1">
      <c r="A46" s="557" t="s">
        <v>1392</v>
      </c>
      <c r="M46" s="559"/>
      <c r="N46" s="559"/>
      <c r="O46" s="559"/>
      <c r="P46" s="559"/>
      <c r="AA46" s="560"/>
    </row>
    <row r="47" spans="1:27" s="558" customFormat="1">
      <c r="A47" s="557" t="s">
        <v>1393</v>
      </c>
      <c r="M47" s="559"/>
      <c r="N47" s="559"/>
      <c r="O47" s="559"/>
      <c r="P47" s="559"/>
      <c r="AA47" s="560"/>
    </row>
    <row r="48" spans="1:27" s="53" customFormat="1" ht="15.95" customHeight="1">
      <c r="C48" s="582"/>
      <c r="D48" s="147" t="s">
        <v>283</v>
      </c>
      <c r="E48" s="630" t="s">
        <v>229</v>
      </c>
      <c r="F48" s="628" t="s">
        <v>230</v>
      </c>
      <c r="G48" s="628"/>
      <c r="H48" s="377"/>
      <c r="I48" s="54"/>
    </row>
    <row r="49" spans="1:27" s="53" customFormat="1" ht="15.95" customHeight="1">
      <c r="C49" s="582"/>
      <c r="E49" s="630"/>
      <c r="F49" s="628" t="s">
        <v>231</v>
      </c>
      <c r="G49" s="628"/>
      <c r="H49" s="358"/>
      <c r="I49" s="54"/>
    </row>
    <row r="50" spans="1:27" s="53" customFormat="1" ht="15.95" customHeight="1">
      <c r="C50" s="582"/>
      <c r="E50" s="630"/>
      <c r="F50" s="628" t="s">
        <v>232</v>
      </c>
      <c r="G50" s="628"/>
      <c r="H50" s="377"/>
      <c r="I50" s="54"/>
    </row>
    <row r="51" spans="1:27" s="53" customFormat="1" ht="15.95" customHeight="1">
      <c r="C51" s="582"/>
      <c r="E51" s="630"/>
      <c r="F51" s="628" t="s">
        <v>233</v>
      </c>
      <c r="G51" s="628"/>
      <c r="H51" s="141"/>
      <c r="I51" s="54"/>
    </row>
    <row r="52" spans="1:27" s="53" customFormat="1" ht="15.95" customHeight="1">
      <c r="C52" s="582"/>
      <c r="E52" s="630"/>
      <c r="F52" s="628" t="s">
        <v>237</v>
      </c>
      <c r="G52" s="628"/>
      <c r="H52" s="141"/>
      <c r="I52" s="54"/>
    </row>
    <row r="53" spans="1:27" s="53" customFormat="1" ht="15.95" customHeight="1">
      <c r="C53" s="582"/>
      <c r="E53" s="630"/>
      <c r="F53" s="628" t="s">
        <v>238</v>
      </c>
      <c r="G53" s="628"/>
      <c r="H53" s="141"/>
      <c r="I53" s="54"/>
    </row>
    <row r="54" spans="1:27" s="558" customFormat="1">
      <c r="A54" s="557" t="s">
        <v>1394</v>
      </c>
      <c r="M54" s="559"/>
      <c r="N54" s="559"/>
      <c r="O54" s="559"/>
      <c r="P54" s="559"/>
      <c r="AA54" s="560"/>
    </row>
    <row r="55" spans="1:27" s="53" customFormat="1" ht="15.95" customHeight="1">
      <c r="C55" s="582"/>
      <c r="D55" s="147" t="s">
        <v>283</v>
      </c>
      <c r="E55" s="630" t="s">
        <v>229</v>
      </c>
      <c r="F55" s="628" t="s">
        <v>230</v>
      </c>
      <c r="G55" s="628"/>
      <c r="H55" s="377"/>
      <c r="I55" s="54"/>
    </row>
    <row r="56" spans="1:27" s="53" customFormat="1" ht="15.95" customHeight="1">
      <c r="C56" s="582"/>
      <c r="E56" s="630"/>
      <c r="F56" s="628" t="s">
        <v>231</v>
      </c>
      <c r="G56" s="628"/>
      <c r="H56" s="583"/>
      <c r="I56" s="54"/>
    </row>
    <row r="57" spans="1:27" s="53" customFormat="1" ht="15.95" customHeight="1">
      <c r="C57" s="582"/>
      <c r="E57" s="630"/>
      <c r="F57" s="628" t="s">
        <v>232</v>
      </c>
      <c r="G57" s="628"/>
      <c r="H57" s="377"/>
      <c r="I57" s="54"/>
    </row>
    <row r="58" spans="1:27" s="53" customFormat="1" ht="15.95" customHeight="1">
      <c r="C58" s="582"/>
      <c r="E58" s="630"/>
      <c r="F58" s="628" t="s">
        <v>233</v>
      </c>
      <c r="G58" s="628"/>
      <c r="H58" s="141"/>
      <c r="I58" s="54"/>
    </row>
    <row r="59" spans="1:27" s="53" customFormat="1" ht="15.95" customHeight="1">
      <c r="C59" s="582"/>
      <c r="E59" s="630"/>
      <c r="F59" s="628" t="s">
        <v>239</v>
      </c>
      <c r="G59" s="628"/>
      <c r="H59" s="141"/>
      <c r="I59" s="54"/>
    </row>
    <row r="60" spans="1:27" s="53" customFormat="1" ht="15.95" customHeight="1">
      <c r="C60" s="582"/>
      <c r="E60" s="630"/>
      <c r="F60" s="628" t="s">
        <v>1148</v>
      </c>
      <c r="G60" s="628"/>
      <c r="H60" s="141"/>
      <c r="I60" s="54"/>
    </row>
    <row r="61" spans="1:27" s="558" customFormat="1">
      <c r="A61" s="557" t="s">
        <v>1395</v>
      </c>
      <c r="M61" s="559"/>
      <c r="N61" s="559"/>
      <c r="O61" s="559"/>
      <c r="P61" s="559"/>
      <c r="AA61" s="560"/>
    </row>
    <row r="62" spans="1:27" s="558" customFormat="1" ht="14.25">
      <c r="A62" s="584"/>
      <c r="G62" s="585"/>
      <c r="H62" s="586"/>
      <c r="I62" s="147" t="s">
        <v>283</v>
      </c>
      <c r="M62" s="559"/>
      <c r="N62" s="559"/>
      <c r="O62" s="559"/>
      <c r="P62" s="559"/>
      <c r="AA62" s="560"/>
    </row>
    <row r="64" spans="1:27" s="143" customFormat="1" ht="30" customHeight="1">
      <c r="A64" s="142" t="s">
        <v>1034</v>
      </c>
      <c r="M64" s="144"/>
      <c r="N64" s="144"/>
      <c r="O64" s="144"/>
      <c r="P64" s="144"/>
      <c r="AA64" s="145"/>
    </row>
    <row r="65" spans="1:27">
      <c r="A65" s="146" t="s">
        <v>1035</v>
      </c>
    </row>
    <row r="66" spans="1:27" s="57" customFormat="1" ht="15" customHeight="1">
      <c r="A66" s="159" t="s">
        <v>18</v>
      </c>
      <c r="D66" s="58"/>
      <c r="E66" s="61"/>
      <c r="F66" s="61"/>
      <c r="G66" s="61"/>
      <c r="H66" s="61"/>
      <c r="I66" s="61"/>
      <c r="J66" s="61"/>
      <c r="K66" s="61"/>
      <c r="L66" s="158" t="str">
        <f>INDEX('Общие сведения'!$J$113:$J$146,MATCH($A66,'Общие сведения'!$D$113:$D$146,0))</f>
        <v>Тариф 1 (Водоснабжение) - тариф на техническую воду (нет)</v>
      </c>
      <c r="M66" s="152"/>
      <c r="N66" s="152"/>
      <c r="O66" s="152"/>
      <c r="P66" s="152"/>
    </row>
    <row r="67" spans="1:27" s="57" customFormat="1" ht="12.75" outlineLevel="1">
      <c r="A67" s="159" t="str">
        <f>A66</f>
        <v>1</v>
      </c>
      <c r="D67" s="62"/>
      <c r="E67" s="63"/>
      <c r="F67" s="63"/>
      <c r="G67" s="63"/>
      <c r="H67" s="63"/>
      <c r="I67" s="63"/>
      <c r="J67" s="63"/>
      <c r="K67" s="63"/>
      <c r="L67" s="64" t="s">
        <v>18</v>
      </c>
      <c r="M67" s="65"/>
      <c r="N67" s="65"/>
      <c r="O67" s="157"/>
      <c r="P67" s="182"/>
    </row>
    <row r="68" spans="1:27" s="57" customFormat="1" ht="15" customHeight="1" outlineLevel="1">
      <c r="A68" s="159" t="str">
        <f>A66</f>
        <v>1</v>
      </c>
      <c r="D68" s="58"/>
      <c r="E68" s="59"/>
      <c r="F68" s="59"/>
      <c r="G68" s="59"/>
      <c r="H68" s="59"/>
      <c r="I68" s="59"/>
      <c r="J68" s="59"/>
      <c r="K68" s="59"/>
      <c r="L68" s="153"/>
      <c r="M68" s="336" t="s">
        <v>284</v>
      </c>
      <c r="N68" s="154"/>
      <c r="O68" s="154"/>
      <c r="P68" s="155"/>
    </row>
    <row r="69" spans="1:27">
      <c r="A69" s="146" t="s">
        <v>1036</v>
      </c>
    </row>
    <row r="70" spans="1:27" s="57" customFormat="1" ht="14.25" outlineLevel="1">
      <c r="A70" s="159" t="str">
        <f ca="1">OFFSET(A70,-1,0)</f>
        <v>et_List01_mo</v>
      </c>
      <c r="D70" s="62"/>
      <c r="E70" s="63"/>
      <c r="F70" s="63"/>
      <c r="G70" s="63"/>
      <c r="H70" s="63"/>
      <c r="I70" s="63"/>
      <c r="J70" s="63"/>
      <c r="K70" s="147" t="s">
        <v>283</v>
      </c>
      <c r="L70" s="64" t="s">
        <v>18</v>
      </c>
      <c r="M70" s="65"/>
      <c r="N70" s="65"/>
      <c r="O70" s="157"/>
      <c r="P70" s="182"/>
    </row>
    <row r="72" spans="1:27" s="143" customFormat="1" ht="30" customHeight="1">
      <c r="A72" s="142" t="s">
        <v>1040</v>
      </c>
      <c r="M72" s="144"/>
      <c r="N72" s="144"/>
      <c r="O72" s="144"/>
      <c r="P72" s="144"/>
      <c r="AA72" s="145"/>
    </row>
    <row r="73" spans="1:27">
      <c r="A73" s="146" t="s">
        <v>1041</v>
      </c>
    </row>
    <row r="74" spans="1:27" s="67" customFormat="1" ht="15" customHeight="1">
      <c r="A74" s="563" t="s">
        <v>18</v>
      </c>
      <c r="L74" s="162" t="str">
        <f>INDEX('Общие сведения'!$J$113:$J$146,MATCH($A74,'Общие сведения'!$D$113:$D$146,0))</f>
        <v>Тариф 1 (Водоснабжение) - тариф на техническую воду (нет)</v>
      </c>
      <c r="M74" s="158"/>
      <c r="N74" s="152"/>
      <c r="O74" s="152"/>
      <c r="P74" s="152"/>
      <c r="Q74" s="152"/>
      <c r="R74" s="152"/>
      <c r="S74" s="152"/>
    </row>
    <row r="75" spans="1:27" s="67" customFormat="1" ht="15" customHeight="1" outlineLevel="1">
      <c r="A75" s="564" t="str">
        <f t="shared" ref="A75:A81" si="2">A74</f>
        <v>1</v>
      </c>
      <c r="L75" s="163">
        <v>1</v>
      </c>
      <c r="M75" s="161" t="s">
        <v>288</v>
      </c>
      <c r="N75" s="68" t="s">
        <v>289</v>
      </c>
      <c r="O75" s="168"/>
      <c r="P75" s="167"/>
      <c r="Q75" s="167"/>
      <c r="R75" s="167"/>
      <c r="S75" s="170"/>
    </row>
    <row r="76" spans="1:27" s="67" customFormat="1" ht="15" customHeight="1" outlineLevel="1">
      <c r="A76" s="564" t="str">
        <f t="shared" si="2"/>
        <v>1</v>
      </c>
      <c r="L76" s="163">
        <v>2</v>
      </c>
      <c r="M76" s="161" t="s">
        <v>290</v>
      </c>
      <c r="N76" s="68" t="s">
        <v>289</v>
      </c>
      <c r="O76" s="168"/>
      <c r="P76" s="167"/>
      <c r="Q76" s="167"/>
      <c r="R76" s="167"/>
      <c r="S76" s="170"/>
    </row>
    <row r="77" spans="1:27" s="67" customFormat="1" ht="15" customHeight="1" outlineLevel="1">
      <c r="A77" s="564" t="str">
        <f t="shared" si="2"/>
        <v>1</v>
      </c>
      <c r="L77" s="163">
        <v>3</v>
      </c>
      <c r="M77" s="161" t="s">
        <v>291</v>
      </c>
      <c r="N77" s="68" t="s">
        <v>289</v>
      </c>
      <c r="O77" s="168"/>
      <c r="P77" s="167"/>
      <c r="Q77" s="167"/>
      <c r="R77" s="167"/>
      <c r="S77" s="170"/>
    </row>
    <row r="78" spans="1:27" s="67" customFormat="1" ht="15" customHeight="1" outlineLevel="1">
      <c r="A78" s="564" t="str">
        <f t="shared" si="2"/>
        <v>1</v>
      </c>
      <c r="L78" s="163">
        <v>4</v>
      </c>
      <c r="M78" s="161" t="s">
        <v>292</v>
      </c>
      <c r="N78" s="68" t="s">
        <v>289</v>
      </c>
      <c r="O78" s="168"/>
      <c r="P78" s="167"/>
      <c r="Q78" s="167"/>
      <c r="R78" s="167"/>
      <c r="S78" s="170"/>
    </row>
    <row r="79" spans="1:27" s="67" customFormat="1" ht="15" customHeight="1" outlineLevel="1">
      <c r="A79" s="564" t="str">
        <f t="shared" si="2"/>
        <v>1</v>
      </c>
      <c r="L79" s="163">
        <v>5</v>
      </c>
      <c r="M79" s="161" t="s">
        <v>293</v>
      </c>
      <c r="N79" s="68" t="s">
        <v>294</v>
      </c>
      <c r="O79" s="169"/>
      <c r="P79" s="165"/>
      <c r="Q79" s="165"/>
      <c r="R79" s="165"/>
      <c r="S79" s="170"/>
    </row>
    <row r="80" spans="1:27" s="67" customFormat="1" ht="15" customHeight="1" outlineLevel="1">
      <c r="A80" s="564" t="str">
        <f t="shared" si="2"/>
        <v>1</v>
      </c>
      <c r="L80" s="153"/>
      <c r="M80" s="466" t="s">
        <v>371</v>
      </c>
      <c r="N80" s="154"/>
      <c r="O80" s="154"/>
      <c r="P80" s="154"/>
      <c r="Q80" s="154"/>
      <c r="R80" s="154"/>
      <c r="S80" s="166"/>
    </row>
    <row r="81" spans="1:42" s="67" customFormat="1" ht="15" customHeight="1" outlineLevel="1">
      <c r="A81" s="564" t="str">
        <f t="shared" si="2"/>
        <v>1</v>
      </c>
      <c r="L81" s="163"/>
      <c r="M81" s="161" t="s">
        <v>1233</v>
      </c>
      <c r="N81" s="68"/>
      <c r="O81" s="634"/>
      <c r="P81" s="635"/>
      <c r="Q81" s="635"/>
      <c r="R81" s="635"/>
      <c r="S81" s="636"/>
    </row>
    <row r="82" spans="1:42">
      <c r="A82" s="146" t="s">
        <v>1042</v>
      </c>
    </row>
    <row r="83" spans="1:42" s="67" customFormat="1" ht="15" customHeight="1">
      <c r="A83" s="563" t="s">
        <v>18</v>
      </c>
      <c r="L83" s="162" t="str">
        <f>INDEX('Общие сведения'!$J$113:$J$146,MATCH($A83,'Общие сведения'!$D$113:$D$146,0))</f>
        <v>Тариф 1 (Водоснабжение) - тариф на техническую воду (нет)</v>
      </c>
      <c r="M83" s="158"/>
      <c r="N83" s="152"/>
      <c r="O83" s="152"/>
      <c r="P83" s="152"/>
      <c r="Q83" s="152"/>
      <c r="R83" s="152"/>
      <c r="S83" s="152"/>
    </row>
    <row r="84" spans="1:42" s="67" customFormat="1" ht="15" customHeight="1" outlineLevel="1">
      <c r="A84" s="564" t="str">
        <f>A83</f>
        <v>1</v>
      </c>
      <c r="L84" s="163">
        <v>1</v>
      </c>
      <c r="M84" s="161" t="s">
        <v>295</v>
      </c>
      <c r="N84" s="68" t="s">
        <v>289</v>
      </c>
      <c r="O84" s="168"/>
      <c r="P84" s="167"/>
      <c r="Q84" s="167"/>
      <c r="R84" s="167"/>
      <c r="S84" s="170"/>
    </row>
    <row r="85" spans="1:42" s="67" customFormat="1" ht="15" customHeight="1" outlineLevel="1">
      <c r="A85" s="564" t="str">
        <f>A84</f>
        <v>1</v>
      </c>
      <c r="L85" s="163">
        <v>2</v>
      </c>
      <c r="M85" s="161" t="s">
        <v>296</v>
      </c>
      <c r="N85" s="68" t="s">
        <v>289</v>
      </c>
      <c r="O85" s="168"/>
      <c r="P85" s="167"/>
      <c r="Q85" s="167"/>
      <c r="R85" s="167"/>
      <c r="S85" s="170"/>
    </row>
    <row r="86" spans="1:42" s="67" customFormat="1" ht="15" customHeight="1" outlineLevel="1">
      <c r="A86" s="564" t="str">
        <f>A85</f>
        <v>1</v>
      </c>
      <c r="L86" s="163">
        <v>3</v>
      </c>
      <c r="M86" s="161" t="s">
        <v>297</v>
      </c>
      <c r="N86" s="68" t="s">
        <v>294</v>
      </c>
      <c r="O86" s="169"/>
      <c r="P86" s="165"/>
      <c r="Q86" s="165"/>
      <c r="R86" s="165"/>
      <c r="S86" s="170"/>
    </row>
    <row r="87" spans="1:42" s="67" customFormat="1" ht="15" customHeight="1" outlineLevel="1">
      <c r="A87" s="564" t="str">
        <f>A86</f>
        <v>1</v>
      </c>
      <c r="L87" s="153"/>
      <c r="M87" s="466" t="s">
        <v>371</v>
      </c>
      <c r="N87" s="154"/>
      <c r="O87" s="154"/>
      <c r="P87" s="154"/>
      <c r="Q87" s="154"/>
      <c r="R87" s="154"/>
      <c r="S87" s="166"/>
    </row>
    <row r="88" spans="1:42" s="67" customFormat="1" ht="15" customHeight="1">
      <c r="A88" s="564" t="str">
        <f>A87</f>
        <v>1</v>
      </c>
      <c r="L88" s="163"/>
      <c r="M88" s="161" t="s">
        <v>1233</v>
      </c>
      <c r="N88" s="68"/>
      <c r="O88" s="634"/>
      <c r="P88" s="635"/>
      <c r="Q88" s="635"/>
      <c r="R88" s="635"/>
      <c r="S88" s="636"/>
    </row>
    <row r="89" spans="1:42">
      <c r="A89" s="146" t="s">
        <v>1044</v>
      </c>
    </row>
    <row r="90" spans="1:42" s="70" customFormat="1" ht="14.25">
      <c r="A90" s="565"/>
      <c r="K90" s="147" t="s">
        <v>283</v>
      </c>
      <c r="L90" s="164">
        <v>1</v>
      </c>
      <c r="M90" s="171"/>
      <c r="N90" s="172"/>
      <c r="O90" s="647"/>
      <c r="P90" s="647"/>
      <c r="Q90" s="647"/>
      <c r="R90" s="170"/>
      <c r="S90" s="170"/>
      <c r="T90" s="69"/>
    </row>
    <row r="91" spans="1:42">
      <c r="A91" s="146" t="s">
        <v>1236</v>
      </c>
    </row>
    <row r="92" spans="1:42" s="67" customFormat="1" ht="15" customHeight="1" outlineLevel="1">
      <c r="A92" s="563" t="str">
        <f ca="1">OFFSET(B92,-1,-1)</f>
        <v>et_List02_1</v>
      </c>
      <c r="K92" s="147" t="s">
        <v>283</v>
      </c>
      <c r="L92" s="163">
        <v>1</v>
      </c>
      <c r="M92" s="171"/>
      <c r="N92" s="171"/>
      <c r="O92" s="169"/>
      <c r="P92" s="165"/>
      <c r="Q92" s="165"/>
      <c r="R92" s="165"/>
      <c r="S92" s="170"/>
    </row>
    <row r="93" spans="1:42" s="199" customFormat="1" ht="14.25">
      <c r="A93" s="566"/>
      <c r="K93" s="200"/>
      <c r="L93" s="201"/>
      <c r="M93" s="202"/>
      <c r="N93" s="203"/>
      <c r="O93" s="204"/>
      <c r="P93" s="204"/>
      <c r="Q93" s="204"/>
      <c r="R93" s="202"/>
      <c r="S93" s="202"/>
      <c r="T93" s="205"/>
    </row>
    <row r="94" spans="1:42" s="143" customFormat="1" ht="30" customHeight="1">
      <c r="A94" s="142" t="s">
        <v>1109</v>
      </c>
      <c r="M94" s="144"/>
      <c r="N94" s="144"/>
      <c r="O94" s="144"/>
      <c r="P94" s="144"/>
      <c r="AA94" s="145"/>
    </row>
    <row r="95" spans="1:42">
      <c r="A95" s="146" t="s">
        <v>1147</v>
      </c>
    </row>
    <row r="96" spans="1:42" s="90" customFormat="1">
      <c r="A96" s="563" t="s">
        <v>18</v>
      </c>
      <c r="L96" s="162" t="str">
        <f>INDEX('Общие сведения'!$J$113:$J$146,MATCH($A96,'Общие сведения'!$D$113:$D$146,0))</f>
        <v>Тариф 1 (Водоснабжение) - тариф на техническую воду (нет)</v>
      </c>
      <c r="M96" s="158"/>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211"/>
      <c r="AN96" s="211"/>
      <c r="AO96" s="211"/>
      <c r="AP96" s="211"/>
    </row>
    <row r="97" spans="1:42" s="72" customFormat="1" outlineLevel="1">
      <c r="A97" s="567" t="str">
        <f>A96</f>
        <v>1</v>
      </c>
      <c r="B97" s="72" t="s">
        <v>1232</v>
      </c>
      <c r="L97" s="349"/>
      <c r="M97" s="350" t="s">
        <v>161</v>
      </c>
      <c r="N97" s="351"/>
      <c r="O97" s="351"/>
      <c r="P97" s="351"/>
      <c r="Q97" s="351"/>
      <c r="R97" s="351"/>
      <c r="S97" s="461">
        <f>(1-S98/100)*(1+S99/100)*(1+S101/100)</f>
        <v>1</v>
      </c>
      <c r="T97" s="461">
        <f>(1-T98/100)*(1+T99/100)*(1+T101/100)</f>
        <v>1</v>
      </c>
      <c r="U97" s="461">
        <f>(1-U98/100)*(1+U99/100)*(1+U101/100)</f>
        <v>1</v>
      </c>
      <c r="V97" s="351"/>
      <c r="W97" s="351"/>
      <c r="X97" s="351"/>
      <c r="Y97" s="461">
        <f>(1-Y98/100)*(1+Y99/100)*(1+Y101/100)</f>
        <v>1</v>
      </c>
      <c r="Z97" s="461">
        <f>(1-Z98/100)*(1+Z99/100)*(1+Z101/100)</f>
        <v>1</v>
      </c>
      <c r="AA97" s="461">
        <f>(1-AA98/100)*(1+AA99/100)*(1+AA101/100)</f>
        <v>1</v>
      </c>
      <c r="AB97" s="461">
        <f>(1-AB98/100)*(1+AB99/100)*(1+AB101/100)</f>
        <v>1</v>
      </c>
      <c r="AC97" s="461">
        <f>(1-AC98/100)*(1+AC99/100)*(1+AC101/100)</f>
        <v>1</v>
      </c>
      <c r="AD97" s="461">
        <f t="shared" ref="AD97:AP97" si="3">(1-AD98/100)*(1+AD99/100)*(1+AD101/100)</f>
        <v>1</v>
      </c>
      <c r="AE97" s="461">
        <f t="shared" si="3"/>
        <v>1</v>
      </c>
      <c r="AF97" s="461">
        <f t="shared" si="3"/>
        <v>1</v>
      </c>
      <c r="AG97" s="461">
        <f t="shared" si="3"/>
        <v>1</v>
      </c>
      <c r="AH97" s="461">
        <f t="shared" si="3"/>
        <v>1</v>
      </c>
      <c r="AI97" s="461">
        <f t="shared" si="3"/>
        <v>1</v>
      </c>
      <c r="AJ97" s="461">
        <f t="shared" si="3"/>
        <v>1</v>
      </c>
      <c r="AK97" s="461">
        <f t="shared" si="3"/>
        <v>1</v>
      </c>
      <c r="AL97" s="461">
        <f t="shared" si="3"/>
        <v>1</v>
      </c>
      <c r="AM97" s="461">
        <f t="shared" si="3"/>
        <v>1</v>
      </c>
      <c r="AN97" s="461">
        <f t="shared" si="3"/>
        <v>1</v>
      </c>
      <c r="AO97" s="461">
        <f t="shared" si="3"/>
        <v>1</v>
      </c>
      <c r="AP97" s="461">
        <f t="shared" si="3"/>
        <v>1</v>
      </c>
    </row>
    <row r="98" spans="1:42" s="72" customFormat="1" ht="22.5" customHeight="1" outlineLevel="1">
      <c r="A98" s="567" t="str">
        <f t="shared" ref="A98:A113" si="4">A97</f>
        <v>1</v>
      </c>
      <c r="B98" s="72" t="s">
        <v>1229</v>
      </c>
      <c r="L98" s="74">
        <v>1</v>
      </c>
      <c r="M98" s="75" t="s">
        <v>307</v>
      </c>
      <c r="N98" s="77" t="s">
        <v>145</v>
      </c>
      <c r="O98" s="362"/>
      <c r="P98" s="362"/>
      <c r="Q98" s="362"/>
      <c r="R98" s="378"/>
      <c r="S98" s="362"/>
      <c r="T98" s="362"/>
      <c r="U98" s="362"/>
      <c r="V98" s="371">
        <f>IF(S98&lt;&gt;0,U98/S98,0)</f>
        <v>0</v>
      </c>
      <c r="W98" s="367">
        <f>U98-T98</f>
        <v>0</v>
      </c>
      <c r="X98" s="378"/>
      <c r="Y98" s="362"/>
      <c r="Z98" s="362"/>
      <c r="AA98" s="362"/>
      <c r="AB98" s="362"/>
      <c r="AC98" s="362"/>
      <c r="AD98" s="362"/>
      <c r="AE98" s="362"/>
      <c r="AF98" s="362"/>
      <c r="AG98" s="362"/>
      <c r="AH98" s="362"/>
      <c r="AI98" s="362"/>
      <c r="AJ98" s="362"/>
      <c r="AK98" s="362"/>
      <c r="AL98" s="362"/>
      <c r="AM98" s="362"/>
      <c r="AN98" s="362"/>
      <c r="AO98" s="362"/>
      <c r="AP98" s="362"/>
    </row>
    <row r="99" spans="1:42" s="72" customFormat="1" outlineLevel="1">
      <c r="A99" s="567" t="str">
        <f t="shared" si="4"/>
        <v>1</v>
      </c>
      <c r="B99" s="72" t="s">
        <v>1230</v>
      </c>
      <c r="L99" s="74">
        <v>2</v>
      </c>
      <c r="M99" s="76" t="s">
        <v>162</v>
      </c>
      <c r="N99" s="77" t="s">
        <v>145</v>
      </c>
      <c r="O99" s="362"/>
      <c r="P99" s="362"/>
      <c r="Q99" s="362"/>
      <c r="R99" s="378"/>
      <c r="S99" s="362"/>
      <c r="T99" s="362"/>
      <c r="U99" s="362"/>
      <c r="V99" s="371">
        <f>IF(S99&lt;&gt;0,U99/S99,0)</f>
        <v>0</v>
      </c>
      <c r="W99" s="367">
        <f>U99-T99</f>
        <v>0</v>
      </c>
      <c r="X99" s="378"/>
      <c r="Y99" s="362"/>
      <c r="Z99" s="362"/>
      <c r="AA99" s="362"/>
      <c r="AB99" s="362"/>
      <c r="AC99" s="362"/>
      <c r="AD99" s="362"/>
      <c r="AE99" s="362"/>
      <c r="AF99" s="362"/>
      <c r="AG99" s="362"/>
      <c r="AH99" s="362"/>
      <c r="AI99" s="362"/>
      <c r="AJ99" s="362"/>
      <c r="AK99" s="362"/>
      <c r="AL99" s="362"/>
      <c r="AM99" s="362"/>
      <c r="AN99" s="362"/>
      <c r="AO99" s="362"/>
      <c r="AP99" s="362"/>
    </row>
    <row r="100" spans="1:42" s="72" customFormat="1" outlineLevel="1">
      <c r="A100" s="567" t="str">
        <f t="shared" si="4"/>
        <v>1</v>
      </c>
      <c r="L100" s="74">
        <v>3</v>
      </c>
      <c r="M100" s="78" t="s">
        <v>308</v>
      </c>
      <c r="N100" s="77" t="s">
        <v>145</v>
      </c>
      <c r="O100" s="362"/>
      <c r="P100" s="362"/>
      <c r="Q100" s="362"/>
      <c r="R100" s="378"/>
      <c r="S100" s="362"/>
      <c r="T100" s="362"/>
      <c r="U100" s="362"/>
      <c r="V100" s="371">
        <f>IF(S100&lt;&gt;0,U100/S100,0)</f>
        <v>0</v>
      </c>
      <c r="W100" s="367">
        <f>U100-T100</f>
        <v>0</v>
      </c>
      <c r="X100" s="378"/>
      <c r="Y100" s="362"/>
      <c r="Z100" s="362"/>
      <c r="AA100" s="362"/>
      <c r="AB100" s="362"/>
      <c r="AC100" s="362"/>
      <c r="AD100" s="362"/>
      <c r="AE100" s="362"/>
      <c r="AF100" s="362"/>
      <c r="AG100" s="362"/>
      <c r="AH100" s="362"/>
      <c r="AI100" s="362"/>
      <c r="AJ100" s="362"/>
      <c r="AK100" s="362"/>
      <c r="AL100" s="362"/>
      <c r="AM100" s="362"/>
      <c r="AN100" s="362"/>
      <c r="AO100" s="362"/>
      <c r="AP100" s="362"/>
    </row>
    <row r="101" spans="1:42" s="72" customFormat="1" outlineLevel="1">
      <c r="A101" s="567" t="str">
        <f t="shared" si="4"/>
        <v>1</v>
      </c>
      <c r="B101" s="72" t="s">
        <v>1231</v>
      </c>
      <c r="L101" s="74">
        <v>4</v>
      </c>
      <c r="M101" s="76" t="s">
        <v>309</v>
      </c>
      <c r="N101" s="77" t="s">
        <v>145</v>
      </c>
      <c r="O101" s="362"/>
      <c r="P101" s="364"/>
      <c r="Q101" s="369"/>
      <c r="R101" s="378"/>
      <c r="S101" s="362"/>
      <c r="T101" s="364"/>
      <c r="U101" s="364"/>
      <c r="V101" s="371">
        <f>IF(S101&lt;&gt;0,U101/S101,0)</f>
        <v>0</v>
      </c>
      <c r="W101" s="367">
        <f>U101-T101</f>
        <v>0</v>
      </c>
      <c r="X101" s="378"/>
      <c r="Y101" s="362"/>
      <c r="Z101" s="362"/>
      <c r="AA101" s="362"/>
      <c r="AB101" s="362"/>
      <c r="AC101" s="362"/>
      <c r="AD101" s="362"/>
      <c r="AE101" s="362"/>
      <c r="AF101" s="362"/>
      <c r="AG101" s="362"/>
      <c r="AH101" s="362"/>
      <c r="AI101" s="362"/>
      <c r="AJ101" s="362"/>
      <c r="AK101" s="362"/>
      <c r="AL101" s="362"/>
      <c r="AM101" s="362"/>
      <c r="AN101" s="362"/>
      <c r="AO101" s="362"/>
      <c r="AP101" s="362"/>
    </row>
    <row r="102" spans="1:42" s="72" customFormat="1" outlineLevel="1">
      <c r="A102" s="567" t="str">
        <f t="shared" si="4"/>
        <v>1</v>
      </c>
      <c r="L102" s="349"/>
      <c r="M102" s="350" t="s">
        <v>310</v>
      </c>
      <c r="N102" s="351"/>
      <c r="O102" s="363"/>
      <c r="P102" s="363"/>
      <c r="Q102" s="363"/>
      <c r="R102" s="352"/>
      <c r="S102" s="363"/>
      <c r="T102" s="363"/>
      <c r="U102" s="363"/>
      <c r="V102" s="372"/>
      <c r="W102" s="363"/>
      <c r="X102" s="352"/>
      <c r="Y102" s="363"/>
      <c r="Z102" s="363"/>
      <c r="AA102" s="363"/>
      <c r="AB102" s="363"/>
      <c r="AC102" s="363"/>
      <c r="AD102" s="363"/>
      <c r="AE102" s="363"/>
      <c r="AF102" s="363"/>
      <c r="AG102" s="363"/>
      <c r="AH102" s="363"/>
      <c r="AI102" s="363"/>
      <c r="AJ102" s="363"/>
      <c r="AK102" s="363"/>
      <c r="AL102" s="363"/>
      <c r="AM102" s="363"/>
      <c r="AN102" s="363"/>
      <c r="AO102" s="363"/>
      <c r="AP102" s="374"/>
    </row>
    <row r="103" spans="1:42" s="72" customFormat="1" outlineLevel="1">
      <c r="A103" s="567" t="str">
        <f t="shared" si="4"/>
        <v>1</v>
      </c>
      <c r="B103" s="72" t="s">
        <v>1234</v>
      </c>
      <c r="L103" s="74">
        <v>1</v>
      </c>
      <c r="M103" s="76" t="s">
        <v>311</v>
      </c>
      <c r="N103" s="77" t="s">
        <v>145</v>
      </c>
      <c r="O103" s="364"/>
      <c r="P103" s="362"/>
      <c r="Q103" s="362"/>
      <c r="R103" s="378"/>
      <c r="S103" s="364"/>
      <c r="T103" s="362"/>
      <c r="U103" s="362"/>
      <c r="V103" s="371">
        <f>IF(S103&lt;&gt;0,U103/S103,0)</f>
        <v>0</v>
      </c>
      <c r="W103" s="367">
        <f>U103-T103</f>
        <v>0</v>
      </c>
      <c r="X103" s="378"/>
      <c r="Y103" s="364"/>
      <c r="Z103" s="364"/>
      <c r="AA103" s="364"/>
      <c r="AB103" s="364"/>
      <c r="AC103" s="364"/>
      <c r="AD103" s="364"/>
      <c r="AE103" s="364"/>
      <c r="AF103" s="364"/>
      <c r="AG103" s="364"/>
      <c r="AH103" s="364"/>
      <c r="AI103" s="364"/>
      <c r="AJ103" s="364"/>
      <c r="AK103" s="364"/>
      <c r="AL103" s="364"/>
      <c r="AM103" s="364"/>
      <c r="AN103" s="364"/>
      <c r="AO103" s="364"/>
      <c r="AP103" s="364"/>
    </row>
    <row r="104" spans="1:42" s="72" customFormat="1" outlineLevel="1">
      <c r="A104" s="567" t="str">
        <f t="shared" si="4"/>
        <v>1</v>
      </c>
      <c r="L104" s="74">
        <v>2</v>
      </c>
      <c r="M104" s="76" t="s">
        <v>312</v>
      </c>
      <c r="N104" s="77" t="s">
        <v>145</v>
      </c>
      <c r="O104" s="364"/>
      <c r="P104" s="362"/>
      <c r="Q104" s="364"/>
      <c r="R104" s="378"/>
      <c r="S104" s="364"/>
      <c r="T104" s="364"/>
      <c r="U104" s="364"/>
      <c r="V104" s="371">
        <f t="shared" ref="V104:V113" si="5">IF(S104&lt;&gt;0,U104/S104,0)</f>
        <v>0</v>
      </c>
      <c r="W104" s="367">
        <f t="shared" ref="W104:W113" si="6">U104-T104</f>
        <v>0</v>
      </c>
      <c r="X104" s="378"/>
      <c r="Y104" s="364"/>
      <c r="Z104" s="364"/>
      <c r="AA104" s="364"/>
      <c r="AB104" s="364"/>
      <c r="AC104" s="364"/>
      <c r="AD104" s="364"/>
      <c r="AE104" s="364"/>
      <c r="AF104" s="364"/>
      <c r="AG104" s="364"/>
      <c r="AH104" s="364"/>
      <c r="AI104" s="364"/>
      <c r="AJ104" s="364"/>
      <c r="AK104" s="364"/>
      <c r="AL104" s="364"/>
      <c r="AM104" s="364"/>
      <c r="AN104" s="364"/>
      <c r="AO104" s="364"/>
      <c r="AP104" s="364"/>
    </row>
    <row r="105" spans="1:42" s="72" customFormat="1" outlineLevel="1">
      <c r="A105" s="567" t="str">
        <f t="shared" si="4"/>
        <v>1</v>
      </c>
      <c r="L105" s="175">
        <v>3</v>
      </c>
      <c r="M105" s="176" t="s">
        <v>313</v>
      </c>
      <c r="N105" s="80"/>
      <c r="O105" s="365"/>
      <c r="P105" s="368"/>
      <c r="Q105" s="370"/>
      <c r="R105" s="354"/>
      <c r="S105" s="365"/>
      <c r="T105" s="368"/>
      <c r="U105" s="368"/>
      <c r="V105" s="373"/>
      <c r="W105" s="368"/>
      <c r="X105" s="354"/>
      <c r="Y105" s="365"/>
      <c r="Z105" s="365"/>
      <c r="AA105" s="365"/>
      <c r="AB105" s="365"/>
      <c r="AC105" s="365"/>
      <c r="AD105" s="365"/>
      <c r="AE105" s="365"/>
      <c r="AF105" s="365"/>
      <c r="AG105" s="365"/>
      <c r="AH105" s="365"/>
      <c r="AI105" s="365"/>
      <c r="AJ105" s="365"/>
      <c r="AK105" s="365"/>
      <c r="AL105" s="365"/>
      <c r="AM105" s="365"/>
      <c r="AN105" s="365"/>
      <c r="AO105" s="365"/>
      <c r="AP105" s="365"/>
    </row>
    <row r="106" spans="1:42" s="72" customFormat="1" ht="22.5" customHeight="1" outlineLevel="1">
      <c r="A106" s="567" t="str">
        <f t="shared" si="4"/>
        <v>1</v>
      </c>
      <c r="L106" s="177" t="s">
        <v>1045</v>
      </c>
      <c r="M106" s="178" t="s">
        <v>314</v>
      </c>
      <c r="N106" s="80" t="s">
        <v>315</v>
      </c>
      <c r="O106" s="362"/>
      <c r="P106" s="364"/>
      <c r="Q106" s="369"/>
      <c r="R106" s="378"/>
      <c r="S106" s="362"/>
      <c r="T106" s="364"/>
      <c r="U106" s="364"/>
      <c r="V106" s="371">
        <f t="shared" si="5"/>
        <v>0</v>
      </c>
      <c r="W106" s="367">
        <f t="shared" si="6"/>
        <v>0</v>
      </c>
      <c r="X106" s="378"/>
      <c r="Y106" s="362"/>
      <c r="Z106" s="362"/>
      <c r="AA106" s="362"/>
      <c r="AB106" s="362"/>
      <c r="AC106" s="362"/>
      <c r="AD106" s="362"/>
      <c r="AE106" s="362"/>
      <c r="AF106" s="362"/>
      <c r="AG106" s="362"/>
      <c r="AH106" s="362"/>
      <c r="AI106" s="362"/>
      <c r="AJ106" s="362"/>
      <c r="AK106" s="362"/>
      <c r="AL106" s="362"/>
      <c r="AM106" s="362"/>
      <c r="AN106" s="362"/>
      <c r="AO106" s="362"/>
      <c r="AP106" s="362"/>
    </row>
    <row r="107" spans="1:42" s="72" customFormat="1" ht="22.5" customHeight="1" outlineLevel="1">
      <c r="A107" s="567" t="str">
        <f t="shared" si="4"/>
        <v>1</v>
      </c>
      <c r="L107" s="177" t="s">
        <v>1046</v>
      </c>
      <c r="M107" s="178" t="s">
        <v>316</v>
      </c>
      <c r="N107" s="80" t="s">
        <v>315</v>
      </c>
      <c r="O107" s="362"/>
      <c r="P107" s="364"/>
      <c r="Q107" s="369"/>
      <c r="R107" s="378"/>
      <c r="S107" s="362"/>
      <c r="T107" s="364"/>
      <c r="U107" s="364"/>
      <c r="V107" s="371">
        <f t="shared" si="5"/>
        <v>0</v>
      </c>
      <c r="W107" s="367">
        <f t="shared" si="6"/>
        <v>0</v>
      </c>
      <c r="X107" s="378"/>
      <c r="Y107" s="362"/>
      <c r="Z107" s="362"/>
      <c r="AA107" s="362"/>
      <c r="AB107" s="362"/>
      <c r="AC107" s="362"/>
      <c r="AD107" s="362"/>
      <c r="AE107" s="362"/>
      <c r="AF107" s="362"/>
      <c r="AG107" s="362"/>
      <c r="AH107" s="362"/>
      <c r="AI107" s="362"/>
      <c r="AJ107" s="362"/>
      <c r="AK107" s="362"/>
      <c r="AL107" s="362"/>
      <c r="AM107" s="362"/>
      <c r="AN107" s="362"/>
      <c r="AO107" s="362"/>
      <c r="AP107" s="362"/>
    </row>
    <row r="108" spans="1:42" s="72" customFormat="1" ht="22.5" customHeight="1" outlineLevel="1">
      <c r="A108" s="567" t="str">
        <f t="shared" si="4"/>
        <v>1</v>
      </c>
      <c r="L108" s="177" t="s">
        <v>1047</v>
      </c>
      <c r="M108" s="178" t="s">
        <v>317</v>
      </c>
      <c r="N108" s="80" t="s">
        <v>315</v>
      </c>
      <c r="O108" s="362"/>
      <c r="P108" s="364"/>
      <c r="Q108" s="369"/>
      <c r="R108" s="378"/>
      <c r="S108" s="362"/>
      <c r="T108" s="364"/>
      <c r="U108" s="364"/>
      <c r="V108" s="371">
        <f t="shared" si="5"/>
        <v>0</v>
      </c>
      <c r="W108" s="367">
        <f t="shared" si="6"/>
        <v>0</v>
      </c>
      <c r="X108" s="378"/>
      <c r="Y108" s="362"/>
      <c r="Z108" s="362"/>
      <c r="AA108" s="362"/>
      <c r="AB108" s="362"/>
      <c r="AC108" s="362"/>
      <c r="AD108" s="362"/>
      <c r="AE108" s="362"/>
      <c r="AF108" s="362"/>
      <c r="AG108" s="362"/>
      <c r="AH108" s="362"/>
      <c r="AI108" s="362"/>
      <c r="AJ108" s="362"/>
      <c r="AK108" s="362"/>
      <c r="AL108" s="362"/>
      <c r="AM108" s="362"/>
      <c r="AN108" s="362"/>
      <c r="AO108" s="362"/>
      <c r="AP108" s="362"/>
    </row>
    <row r="109" spans="1:42" s="72" customFormat="1" ht="22.5" customHeight="1" outlineLevel="1">
      <c r="A109" s="567" t="str">
        <f t="shared" si="4"/>
        <v>1</v>
      </c>
      <c r="L109" s="177" t="s">
        <v>1048</v>
      </c>
      <c r="M109" s="178" t="s">
        <v>318</v>
      </c>
      <c r="N109" s="80" t="s">
        <v>315</v>
      </c>
      <c r="O109" s="362"/>
      <c r="P109" s="364"/>
      <c r="Q109" s="369"/>
      <c r="R109" s="378"/>
      <c r="S109" s="362"/>
      <c r="T109" s="364"/>
      <c r="U109" s="364"/>
      <c r="V109" s="371">
        <f t="shared" si="5"/>
        <v>0</v>
      </c>
      <c r="W109" s="367">
        <f t="shared" si="6"/>
        <v>0</v>
      </c>
      <c r="X109" s="378"/>
      <c r="Y109" s="362"/>
      <c r="Z109" s="362"/>
      <c r="AA109" s="362"/>
      <c r="AB109" s="362"/>
      <c r="AC109" s="362"/>
      <c r="AD109" s="362"/>
      <c r="AE109" s="362"/>
      <c r="AF109" s="362"/>
      <c r="AG109" s="362"/>
      <c r="AH109" s="362"/>
      <c r="AI109" s="362"/>
      <c r="AJ109" s="362"/>
      <c r="AK109" s="362"/>
      <c r="AL109" s="362"/>
      <c r="AM109" s="362"/>
      <c r="AN109" s="362"/>
      <c r="AO109" s="362"/>
      <c r="AP109" s="362"/>
    </row>
    <row r="110" spans="1:42" s="72" customFormat="1" outlineLevel="1">
      <c r="A110" s="567" t="str">
        <f t="shared" si="4"/>
        <v>1</v>
      </c>
      <c r="L110" s="74">
        <v>4</v>
      </c>
      <c r="M110" s="81" t="s">
        <v>319</v>
      </c>
      <c r="N110" s="77" t="s">
        <v>145</v>
      </c>
      <c r="O110" s="362"/>
      <c r="P110" s="364"/>
      <c r="Q110" s="369"/>
      <c r="R110" s="378"/>
      <c r="S110" s="362"/>
      <c r="T110" s="364"/>
      <c r="U110" s="364"/>
      <c r="V110" s="371">
        <f t="shared" si="5"/>
        <v>0</v>
      </c>
      <c r="W110" s="367">
        <f t="shared" si="6"/>
        <v>0</v>
      </c>
      <c r="X110" s="378"/>
      <c r="Y110" s="362"/>
      <c r="Z110" s="362"/>
      <c r="AA110" s="362"/>
      <c r="AB110" s="362"/>
      <c r="AC110" s="362"/>
      <c r="AD110" s="362"/>
      <c r="AE110" s="362"/>
      <c r="AF110" s="362"/>
      <c r="AG110" s="362"/>
      <c r="AH110" s="362"/>
      <c r="AI110" s="362"/>
      <c r="AJ110" s="362"/>
      <c r="AK110" s="362"/>
      <c r="AL110" s="362"/>
      <c r="AM110" s="362"/>
      <c r="AN110" s="362"/>
      <c r="AO110" s="362"/>
      <c r="AP110" s="362"/>
    </row>
    <row r="111" spans="1:42" s="72" customFormat="1" outlineLevel="1">
      <c r="A111" s="567" t="str">
        <f t="shared" si="4"/>
        <v>1</v>
      </c>
      <c r="L111" s="74">
        <v>5</v>
      </c>
      <c r="M111" s="81" t="s">
        <v>320</v>
      </c>
      <c r="N111" s="77" t="s">
        <v>145</v>
      </c>
      <c r="O111" s="362"/>
      <c r="P111" s="364"/>
      <c r="Q111" s="369"/>
      <c r="R111" s="378"/>
      <c r="S111" s="362"/>
      <c r="T111" s="364"/>
      <c r="U111" s="364"/>
      <c r="V111" s="371">
        <f t="shared" si="5"/>
        <v>0</v>
      </c>
      <c r="W111" s="367">
        <f t="shared" si="6"/>
        <v>0</v>
      </c>
      <c r="X111" s="378"/>
      <c r="Y111" s="362"/>
      <c r="Z111" s="362"/>
      <c r="AA111" s="362"/>
      <c r="AB111" s="362"/>
      <c r="AC111" s="362"/>
      <c r="AD111" s="362"/>
      <c r="AE111" s="362"/>
      <c r="AF111" s="362"/>
      <c r="AG111" s="362"/>
      <c r="AH111" s="362"/>
      <c r="AI111" s="362"/>
      <c r="AJ111" s="362"/>
      <c r="AK111" s="362"/>
      <c r="AL111" s="362"/>
      <c r="AM111" s="362"/>
      <c r="AN111" s="362"/>
      <c r="AO111" s="362"/>
      <c r="AP111" s="362"/>
    </row>
    <row r="112" spans="1:42" s="82" customFormat="1" outlineLevel="1">
      <c r="A112" s="567" t="str">
        <f t="shared" si="4"/>
        <v>1</v>
      </c>
      <c r="L112" s="83" t="s">
        <v>124</v>
      </c>
      <c r="M112" s="79" t="s">
        <v>321</v>
      </c>
      <c r="N112" s="77"/>
      <c r="O112" s="366"/>
      <c r="P112" s="366"/>
      <c r="Q112" s="366"/>
      <c r="R112" s="379"/>
      <c r="S112" s="366"/>
      <c r="T112" s="366"/>
      <c r="U112" s="366"/>
      <c r="V112" s="371">
        <f t="shared" si="5"/>
        <v>0</v>
      </c>
      <c r="W112" s="367">
        <f t="shared" si="6"/>
        <v>0</v>
      </c>
      <c r="X112" s="379"/>
      <c r="Y112" s="366"/>
      <c r="Z112" s="366"/>
      <c r="AA112" s="366"/>
      <c r="AB112" s="366"/>
      <c r="AC112" s="366"/>
      <c r="AD112" s="366"/>
      <c r="AE112" s="366"/>
      <c r="AF112" s="366"/>
      <c r="AG112" s="366"/>
      <c r="AH112" s="366"/>
      <c r="AI112" s="366"/>
      <c r="AJ112" s="366"/>
      <c r="AK112" s="366"/>
      <c r="AL112" s="366"/>
      <c r="AM112" s="366"/>
      <c r="AN112" s="366"/>
      <c r="AO112" s="366"/>
      <c r="AP112" s="366"/>
    </row>
    <row r="113" spans="1:42" s="82" customFormat="1" outlineLevel="1">
      <c r="A113" s="567" t="str">
        <f t="shared" si="4"/>
        <v>1</v>
      </c>
      <c r="L113" s="83" t="s">
        <v>125</v>
      </c>
      <c r="M113" s="78" t="s">
        <v>322</v>
      </c>
      <c r="N113" s="77"/>
      <c r="O113" s="366"/>
      <c r="P113" s="366"/>
      <c r="Q113" s="366"/>
      <c r="R113" s="379"/>
      <c r="S113" s="366"/>
      <c r="T113" s="366"/>
      <c r="U113" s="366"/>
      <c r="V113" s="371">
        <f t="shared" si="5"/>
        <v>0</v>
      </c>
      <c r="W113" s="367">
        <f t="shared" si="6"/>
        <v>0</v>
      </c>
      <c r="X113" s="379"/>
      <c r="Y113" s="366"/>
      <c r="Z113" s="366"/>
      <c r="AA113" s="366"/>
      <c r="AB113" s="366"/>
      <c r="AC113" s="366"/>
      <c r="AD113" s="366"/>
      <c r="AE113" s="366"/>
      <c r="AF113" s="366"/>
      <c r="AG113" s="366"/>
      <c r="AH113" s="366"/>
      <c r="AI113" s="366"/>
      <c r="AJ113" s="366"/>
      <c r="AK113" s="366"/>
      <c r="AL113" s="366"/>
      <c r="AM113" s="366"/>
      <c r="AN113" s="366"/>
      <c r="AO113" s="366"/>
      <c r="AP113" s="366"/>
    </row>
    <row r="114" spans="1:42">
      <c r="A114" s="353"/>
    </row>
    <row r="115" spans="1:42" s="143" customFormat="1" ht="30" customHeight="1">
      <c r="A115" s="142" t="s">
        <v>1049</v>
      </c>
      <c r="M115" s="144"/>
      <c r="N115" s="144"/>
      <c r="O115" s="144"/>
      <c r="P115" s="144"/>
      <c r="AA115" s="145"/>
    </row>
    <row r="116" spans="1:42">
      <c r="A116" s="146" t="s">
        <v>1050</v>
      </c>
    </row>
    <row r="117" spans="1:42" s="88" customFormat="1">
      <c r="A117" s="183" t="s">
        <v>18</v>
      </c>
      <c r="L117" s="162" t="str">
        <f>INDEX('Общие сведения'!$J$113:$J$146,MATCH($A117,'Общие сведения'!$D$113:$D$146,0))</f>
        <v>Тариф 1 (Водоснабжение) - тариф на техническую воду (нет)</v>
      </c>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row>
    <row r="118" spans="1:42" s="88" customFormat="1" outlineLevel="1">
      <c r="A118" s="184" t="str">
        <f t="shared" ref="A118:A154" si="7">A117</f>
        <v>1</v>
      </c>
      <c r="L118" s="491" t="s">
        <v>18</v>
      </c>
      <c r="M118" s="493" t="s">
        <v>328</v>
      </c>
      <c r="N118" s="544"/>
      <c r="O118" s="545" t="str">
        <f>INDEX('Общие сведения'!$K$113:$K$146,MATCH($A118,'Общие сведения'!$D$113:$D$146,0))</f>
        <v>техническая вода</v>
      </c>
      <c r="P118" s="546"/>
      <c r="Q118" s="546"/>
      <c r="R118" s="546"/>
      <c r="S118" s="546"/>
      <c r="T118" s="546"/>
      <c r="U118" s="546"/>
      <c r="V118" s="546"/>
      <c r="W118" s="546"/>
      <c r="X118" s="546"/>
      <c r="Y118" s="546"/>
      <c r="Z118" s="546"/>
      <c r="AA118" s="546"/>
      <c r="AB118" s="546"/>
      <c r="AC118" s="546"/>
      <c r="AD118" s="546"/>
      <c r="AE118" s="546"/>
      <c r="AF118" s="546"/>
      <c r="AG118" s="546"/>
      <c r="AH118" s="546"/>
      <c r="AI118" s="546"/>
      <c r="AJ118" s="546"/>
      <c r="AK118" s="546"/>
      <c r="AL118" s="547"/>
      <c r="AM118" s="194"/>
    </row>
    <row r="119" spans="1:42" s="88" customFormat="1" outlineLevel="1">
      <c r="A119" s="184" t="str">
        <f t="shared" si="7"/>
        <v>1</v>
      </c>
      <c r="L119" s="491" t="s">
        <v>102</v>
      </c>
      <c r="M119" s="492" t="s">
        <v>325</v>
      </c>
      <c r="N119" s="150" t="s">
        <v>326</v>
      </c>
      <c r="O119" s="516"/>
      <c r="P119" s="516"/>
      <c r="Q119" s="516"/>
      <c r="R119" s="516"/>
      <c r="S119" s="516"/>
      <c r="T119" s="516"/>
      <c r="U119" s="516"/>
      <c r="V119" s="516"/>
      <c r="W119" s="516"/>
      <c r="X119" s="516"/>
      <c r="Y119" s="516"/>
      <c r="Z119" s="516"/>
      <c r="AA119" s="516"/>
      <c r="AB119" s="516"/>
      <c r="AC119" s="516"/>
      <c r="AD119" s="516"/>
      <c r="AE119" s="516"/>
      <c r="AF119" s="516"/>
      <c r="AG119" s="516"/>
      <c r="AH119" s="516"/>
      <c r="AI119" s="516"/>
      <c r="AJ119" s="516"/>
      <c r="AK119" s="516"/>
      <c r="AL119" s="516"/>
      <c r="AM119" s="194"/>
    </row>
    <row r="120" spans="1:42" s="88" customFormat="1" outlineLevel="1">
      <c r="A120" s="184" t="str">
        <f t="shared" si="7"/>
        <v>1</v>
      </c>
      <c r="L120" s="491" t="s">
        <v>103</v>
      </c>
      <c r="M120" s="492" t="s">
        <v>327</v>
      </c>
      <c r="N120" s="150" t="s">
        <v>326</v>
      </c>
      <c r="O120" s="516"/>
      <c r="P120" s="516"/>
      <c r="Q120" s="516"/>
      <c r="R120" s="516"/>
      <c r="S120" s="516"/>
      <c r="T120" s="516"/>
      <c r="U120" s="516"/>
      <c r="V120" s="516"/>
      <c r="W120" s="516"/>
      <c r="X120" s="516"/>
      <c r="Y120" s="516"/>
      <c r="Z120" s="516"/>
      <c r="AA120" s="516"/>
      <c r="AB120" s="516"/>
      <c r="AC120" s="516"/>
      <c r="AD120" s="516"/>
      <c r="AE120" s="516"/>
      <c r="AF120" s="516"/>
      <c r="AG120" s="516"/>
      <c r="AH120" s="516"/>
      <c r="AI120" s="516"/>
      <c r="AJ120" s="516"/>
      <c r="AK120" s="516"/>
      <c r="AL120" s="516"/>
      <c r="AM120" s="194"/>
    </row>
    <row r="121" spans="1:42" s="88" customFormat="1" outlineLevel="1">
      <c r="A121" s="184" t="str">
        <f t="shared" si="7"/>
        <v>1</v>
      </c>
      <c r="L121" s="491">
        <v>4</v>
      </c>
      <c r="M121" s="494" t="s">
        <v>1171</v>
      </c>
      <c r="N121" s="148" t="s">
        <v>329</v>
      </c>
      <c r="O121" s="517">
        <f t="shared" ref="O121:AL121" si="8">O130+O125-O128</f>
        <v>0</v>
      </c>
      <c r="P121" s="517">
        <f t="shared" si="8"/>
        <v>0</v>
      </c>
      <c r="Q121" s="517">
        <f>Q130+Q125-Q128</f>
        <v>0</v>
      </c>
      <c r="R121" s="517">
        <f t="shared" si="8"/>
        <v>0</v>
      </c>
      <c r="S121" s="517">
        <f t="shared" si="8"/>
        <v>0</v>
      </c>
      <c r="T121" s="517">
        <f t="shared" si="8"/>
        <v>0</v>
      </c>
      <c r="U121" s="517">
        <f t="shared" si="8"/>
        <v>0</v>
      </c>
      <c r="V121" s="517">
        <f t="shared" si="8"/>
        <v>0</v>
      </c>
      <c r="W121" s="517">
        <f t="shared" si="8"/>
        <v>0</v>
      </c>
      <c r="X121" s="517">
        <f t="shared" si="8"/>
        <v>0</v>
      </c>
      <c r="Y121" s="517">
        <f t="shared" si="8"/>
        <v>0</v>
      </c>
      <c r="Z121" s="517">
        <f t="shared" si="8"/>
        <v>0</v>
      </c>
      <c r="AA121" s="517">
        <f t="shared" si="8"/>
        <v>0</v>
      </c>
      <c r="AB121" s="517">
        <f t="shared" si="8"/>
        <v>0</v>
      </c>
      <c r="AC121" s="517">
        <f>AC130+AC125-AC128</f>
        <v>0</v>
      </c>
      <c r="AD121" s="517">
        <f t="shared" si="8"/>
        <v>0</v>
      </c>
      <c r="AE121" s="517">
        <f t="shared" si="8"/>
        <v>0</v>
      </c>
      <c r="AF121" s="517">
        <f t="shared" si="8"/>
        <v>0</v>
      </c>
      <c r="AG121" s="517">
        <f t="shared" si="8"/>
        <v>0</v>
      </c>
      <c r="AH121" s="517">
        <f t="shared" si="8"/>
        <v>0</v>
      </c>
      <c r="AI121" s="517">
        <f t="shared" si="8"/>
        <v>0</v>
      </c>
      <c r="AJ121" s="517">
        <f t="shared" si="8"/>
        <v>0</v>
      </c>
      <c r="AK121" s="517">
        <f t="shared" si="8"/>
        <v>0</v>
      </c>
      <c r="AL121" s="517">
        <f t="shared" si="8"/>
        <v>0</v>
      </c>
      <c r="AM121" s="194"/>
    </row>
    <row r="122" spans="1:42" s="88" customFormat="1" outlineLevel="1">
      <c r="A122" s="184" t="str">
        <f t="shared" si="7"/>
        <v>1</v>
      </c>
      <c r="L122" s="491" t="s">
        <v>148</v>
      </c>
      <c r="M122" s="178" t="s">
        <v>330</v>
      </c>
      <c r="N122" s="148" t="s">
        <v>329</v>
      </c>
      <c r="O122" s="366"/>
      <c r="P122" s="366"/>
      <c r="Q122" s="366"/>
      <c r="R122" s="366"/>
      <c r="S122" s="366"/>
      <c r="T122" s="366"/>
      <c r="U122" s="366"/>
      <c r="V122" s="366"/>
      <c r="W122" s="366"/>
      <c r="X122" s="366"/>
      <c r="Y122" s="366"/>
      <c r="Z122" s="366"/>
      <c r="AA122" s="366"/>
      <c r="AB122" s="366"/>
      <c r="AC122" s="366"/>
      <c r="AD122" s="366"/>
      <c r="AE122" s="366"/>
      <c r="AF122" s="366"/>
      <c r="AG122" s="366"/>
      <c r="AH122" s="366"/>
      <c r="AI122" s="366"/>
      <c r="AJ122" s="366"/>
      <c r="AK122" s="366"/>
      <c r="AL122" s="366"/>
      <c r="AM122" s="379"/>
    </row>
    <row r="123" spans="1:42" s="88" customFormat="1" outlineLevel="1">
      <c r="A123" s="184" t="str">
        <f t="shared" si="7"/>
        <v>1</v>
      </c>
      <c r="L123" s="491" t="s">
        <v>391</v>
      </c>
      <c r="M123" s="178" t="s">
        <v>331</v>
      </c>
      <c r="N123" s="148" t="s">
        <v>329</v>
      </c>
      <c r="O123" s="366"/>
      <c r="P123" s="366"/>
      <c r="Q123" s="366"/>
      <c r="R123" s="366"/>
      <c r="S123" s="366"/>
      <c r="T123" s="366"/>
      <c r="U123" s="366"/>
      <c r="V123" s="366"/>
      <c r="W123" s="366"/>
      <c r="X123" s="366"/>
      <c r="Y123" s="366"/>
      <c r="Z123" s="366"/>
      <c r="AA123" s="366"/>
      <c r="AB123" s="366"/>
      <c r="AC123" s="366"/>
      <c r="AD123" s="366"/>
      <c r="AE123" s="366"/>
      <c r="AF123" s="366"/>
      <c r="AG123" s="366"/>
      <c r="AH123" s="366"/>
      <c r="AI123" s="366"/>
      <c r="AJ123" s="366"/>
      <c r="AK123" s="366"/>
      <c r="AL123" s="366"/>
      <c r="AM123" s="379"/>
    </row>
    <row r="124" spans="1:42" s="88" customFormat="1" ht="22.5" outlineLevel="1">
      <c r="A124" s="184" t="str">
        <f t="shared" si="7"/>
        <v>1</v>
      </c>
      <c r="L124" s="491" t="s">
        <v>392</v>
      </c>
      <c r="M124" s="494" t="s">
        <v>1167</v>
      </c>
      <c r="N124" s="148" t="s">
        <v>329</v>
      </c>
      <c r="O124" s="366"/>
      <c r="P124" s="366"/>
      <c r="Q124" s="366"/>
      <c r="R124" s="366"/>
      <c r="S124" s="366"/>
      <c r="T124" s="366"/>
      <c r="U124" s="366"/>
      <c r="V124" s="366"/>
      <c r="W124" s="366"/>
      <c r="X124" s="366"/>
      <c r="Y124" s="366"/>
      <c r="Z124" s="366"/>
      <c r="AA124" s="366"/>
      <c r="AB124" s="366"/>
      <c r="AC124" s="366"/>
      <c r="AD124" s="366"/>
      <c r="AE124" s="366"/>
      <c r="AF124" s="366"/>
      <c r="AG124" s="366"/>
      <c r="AH124" s="366"/>
      <c r="AI124" s="366"/>
      <c r="AJ124" s="366"/>
      <c r="AK124" s="366"/>
      <c r="AL124" s="366"/>
      <c r="AM124" s="379"/>
    </row>
    <row r="125" spans="1:42" s="88" customFormat="1" outlineLevel="1">
      <c r="A125" s="184" t="str">
        <f t="shared" si="7"/>
        <v>1</v>
      </c>
      <c r="L125" s="491" t="s">
        <v>120</v>
      </c>
      <c r="M125" s="494" t="s">
        <v>332</v>
      </c>
      <c r="N125" s="148" t="s">
        <v>329</v>
      </c>
      <c r="O125" s="517">
        <f t="shared" ref="O125:AL125" si="9">SUM(O126:O127)</f>
        <v>0</v>
      </c>
      <c r="P125" s="517">
        <f t="shared" si="9"/>
        <v>0</v>
      </c>
      <c r="Q125" s="517">
        <f t="shared" si="9"/>
        <v>0</v>
      </c>
      <c r="R125" s="517">
        <f t="shared" si="9"/>
        <v>0</v>
      </c>
      <c r="S125" s="517">
        <f t="shared" si="9"/>
        <v>0</v>
      </c>
      <c r="T125" s="517">
        <f t="shared" si="9"/>
        <v>0</v>
      </c>
      <c r="U125" s="517">
        <f t="shared" si="9"/>
        <v>0</v>
      </c>
      <c r="V125" s="517">
        <f t="shared" si="9"/>
        <v>0</v>
      </c>
      <c r="W125" s="517">
        <f t="shared" si="9"/>
        <v>0</v>
      </c>
      <c r="X125" s="517">
        <f t="shared" si="9"/>
        <v>0</v>
      </c>
      <c r="Y125" s="517">
        <f t="shared" si="9"/>
        <v>0</v>
      </c>
      <c r="Z125" s="517">
        <f t="shared" si="9"/>
        <v>0</v>
      </c>
      <c r="AA125" s="517">
        <f t="shared" si="9"/>
        <v>0</v>
      </c>
      <c r="AB125" s="517">
        <f t="shared" si="9"/>
        <v>0</v>
      </c>
      <c r="AC125" s="517">
        <f t="shared" si="9"/>
        <v>0</v>
      </c>
      <c r="AD125" s="517">
        <f t="shared" si="9"/>
        <v>0</v>
      </c>
      <c r="AE125" s="517">
        <f t="shared" si="9"/>
        <v>0</v>
      </c>
      <c r="AF125" s="517">
        <f t="shared" si="9"/>
        <v>0</v>
      </c>
      <c r="AG125" s="517">
        <f t="shared" si="9"/>
        <v>0</v>
      </c>
      <c r="AH125" s="517">
        <f t="shared" si="9"/>
        <v>0</v>
      </c>
      <c r="AI125" s="517">
        <f t="shared" si="9"/>
        <v>0</v>
      </c>
      <c r="AJ125" s="517">
        <f t="shared" si="9"/>
        <v>0</v>
      </c>
      <c r="AK125" s="517">
        <f t="shared" si="9"/>
        <v>0</v>
      </c>
      <c r="AL125" s="517">
        <f t="shared" si="9"/>
        <v>0</v>
      </c>
      <c r="AM125" s="379"/>
    </row>
    <row r="126" spans="1:42" s="88" customFormat="1" outlineLevel="1">
      <c r="A126" s="184" t="str">
        <f t="shared" si="7"/>
        <v>1</v>
      </c>
      <c r="L126" s="491" t="s">
        <v>122</v>
      </c>
      <c r="M126" s="178" t="s">
        <v>1123</v>
      </c>
      <c r="N126" s="148" t="s">
        <v>329</v>
      </c>
      <c r="O126" s="366"/>
      <c r="P126" s="366"/>
      <c r="Q126" s="366"/>
      <c r="R126" s="366"/>
      <c r="S126" s="366"/>
      <c r="T126" s="366"/>
      <c r="U126" s="366"/>
      <c r="V126" s="366"/>
      <c r="W126" s="366"/>
      <c r="X126" s="366"/>
      <c r="Y126" s="366"/>
      <c r="Z126" s="366"/>
      <c r="AA126" s="366"/>
      <c r="AB126" s="366"/>
      <c r="AC126" s="366"/>
      <c r="AD126" s="366"/>
      <c r="AE126" s="366"/>
      <c r="AF126" s="366"/>
      <c r="AG126" s="366"/>
      <c r="AH126" s="366"/>
      <c r="AI126" s="366"/>
      <c r="AJ126" s="366"/>
      <c r="AK126" s="366"/>
      <c r="AL126" s="366"/>
      <c r="AM126" s="379"/>
    </row>
    <row r="127" spans="1:42" s="88" customFormat="1" outlineLevel="1">
      <c r="A127" s="184" t="str">
        <f t="shared" si="7"/>
        <v>1</v>
      </c>
      <c r="L127" s="491" t="s">
        <v>123</v>
      </c>
      <c r="M127" s="178" t="s">
        <v>333</v>
      </c>
      <c r="N127" s="148" t="s">
        <v>329</v>
      </c>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79"/>
    </row>
    <row r="128" spans="1:42" s="88" customFormat="1" outlineLevel="1">
      <c r="A128" s="184" t="str">
        <f t="shared" si="7"/>
        <v>1</v>
      </c>
      <c r="L128" s="491" t="s">
        <v>124</v>
      </c>
      <c r="M128" s="493" t="s">
        <v>334</v>
      </c>
      <c r="N128" s="148" t="s">
        <v>329</v>
      </c>
      <c r="O128" s="516"/>
      <c r="P128" s="516"/>
      <c r="Q128" s="516"/>
      <c r="R128" s="516"/>
      <c r="S128" s="516"/>
      <c r="T128" s="516"/>
      <c r="U128" s="516"/>
      <c r="V128" s="516"/>
      <c r="W128" s="516"/>
      <c r="X128" s="516"/>
      <c r="Y128" s="516"/>
      <c r="Z128" s="516"/>
      <c r="AA128" s="516"/>
      <c r="AB128" s="516"/>
      <c r="AC128" s="516"/>
      <c r="AD128" s="516"/>
      <c r="AE128" s="516"/>
      <c r="AF128" s="516"/>
      <c r="AG128" s="516"/>
      <c r="AH128" s="516"/>
      <c r="AI128" s="516"/>
      <c r="AJ128" s="516"/>
      <c r="AK128" s="516"/>
      <c r="AL128" s="516"/>
      <c r="AM128" s="379"/>
    </row>
    <row r="129" spans="1:39" s="88" customFormat="1" outlineLevel="1">
      <c r="A129" s="184" t="str">
        <f t="shared" si="7"/>
        <v>1</v>
      </c>
      <c r="L129" s="491" t="s">
        <v>125</v>
      </c>
      <c r="M129" s="493" t="s">
        <v>335</v>
      </c>
      <c r="N129" s="148" t="s">
        <v>329</v>
      </c>
      <c r="O129" s="366"/>
      <c r="P129" s="366"/>
      <c r="Q129" s="366"/>
      <c r="R129" s="366"/>
      <c r="S129" s="366"/>
      <c r="T129" s="366"/>
      <c r="U129" s="366"/>
      <c r="V129" s="366"/>
      <c r="W129" s="366"/>
      <c r="X129" s="366"/>
      <c r="Y129" s="366"/>
      <c r="Z129" s="366"/>
      <c r="AA129" s="366"/>
      <c r="AB129" s="366"/>
      <c r="AC129" s="366"/>
      <c r="AD129" s="366"/>
      <c r="AE129" s="366"/>
      <c r="AF129" s="366"/>
      <c r="AG129" s="366"/>
      <c r="AH129" s="366"/>
      <c r="AI129" s="366"/>
      <c r="AJ129" s="366"/>
      <c r="AK129" s="366"/>
      <c r="AL129" s="366"/>
      <c r="AM129" s="379"/>
    </row>
    <row r="130" spans="1:39" s="88" customFormat="1" outlineLevel="1">
      <c r="A130" s="184" t="str">
        <f t="shared" si="7"/>
        <v>1</v>
      </c>
      <c r="L130" s="491" t="s">
        <v>126</v>
      </c>
      <c r="M130" s="494" t="s">
        <v>336</v>
      </c>
      <c r="N130" s="148" t="s">
        <v>329</v>
      </c>
      <c r="O130" s="517">
        <f t="shared" ref="O130:AL130" si="10">O136+O134</f>
        <v>0</v>
      </c>
      <c r="P130" s="517">
        <f t="shared" si="10"/>
        <v>0</v>
      </c>
      <c r="Q130" s="517">
        <f t="shared" si="10"/>
        <v>0</v>
      </c>
      <c r="R130" s="517">
        <f t="shared" si="10"/>
        <v>0</v>
      </c>
      <c r="S130" s="517">
        <f t="shared" si="10"/>
        <v>0</v>
      </c>
      <c r="T130" s="517">
        <f t="shared" si="10"/>
        <v>0</v>
      </c>
      <c r="U130" s="517">
        <f t="shared" si="10"/>
        <v>0</v>
      </c>
      <c r="V130" s="517">
        <f t="shared" si="10"/>
        <v>0</v>
      </c>
      <c r="W130" s="517">
        <f t="shared" si="10"/>
        <v>0</v>
      </c>
      <c r="X130" s="517">
        <f t="shared" si="10"/>
        <v>0</v>
      </c>
      <c r="Y130" s="517">
        <f t="shared" si="10"/>
        <v>0</v>
      </c>
      <c r="Z130" s="517">
        <f t="shared" si="10"/>
        <v>0</v>
      </c>
      <c r="AA130" s="517">
        <f t="shared" si="10"/>
        <v>0</v>
      </c>
      <c r="AB130" s="517">
        <f t="shared" si="10"/>
        <v>0</v>
      </c>
      <c r="AC130" s="517">
        <f t="shared" si="10"/>
        <v>0</v>
      </c>
      <c r="AD130" s="517">
        <f t="shared" si="10"/>
        <v>0</v>
      </c>
      <c r="AE130" s="517">
        <f t="shared" si="10"/>
        <v>0</v>
      </c>
      <c r="AF130" s="517">
        <f t="shared" si="10"/>
        <v>0</v>
      </c>
      <c r="AG130" s="517">
        <f t="shared" si="10"/>
        <v>0</v>
      </c>
      <c r="AH130" s="517">
        <f t="shared" si="10"/>
        <v>0</v>
      </c>
      <c r="AI130" s="517">
        <f t="shared" si="10"/>
        <v>0</v>
      </c>
      <c r="AJ130" s="517">
        <f t="shared" si="10"/>
        <v>0</v>
      </c>
      <c r="AK130" s="517">
        <f t="shared" si="10"/>
        <v>0</v>
      </c>
      <c r="AL130" s="517">
        <f t="shared" si="10"/>
        <v>0</v>
      </c>
      <c r="AM130" s="379"/>
    </row>
    <row r="131" spans="1:39" s="88" customFormat="1" outlineLevel="1">
      <c r="A131" s="184" t="str">
        <f t="shared" si="7"/>
        <v>1</v>
      </c>
      <c r="L131" s="491" t="s">
        <v>149</v>
      </c>
      <c r="M131" s="178" t="s">
        <v>337</v>
      </c>
      <c r="N131" s="148" t="s">
        <v>329</v>
      </c>
      <c r="O131" s="366"/>
      <c r="P131" s="366"/>
      <c r="Q131" s="366"/>
      <c r="R131" s="366"/>
      <c r="S131" s="366"/>
      <c r="T131" s="366"/>
      <c r="U131" s="366"/>
      <c r="V131" s="366"/>
      <c r="W131" s="366"/>
      <c r="X131" s="366"/>
      <c r="Y131" s="366"/>
      <c r="Z131" s="366"/>
      <c r="AA131" s="366"/>
      <c r="AB131" s="366"/>
      <c r="AC131" s="366"/>
      <c r="AD131" s="366"/>
      <c r="AE131" s="366"/>
      <c r="AF131" s="366"/>
      <c r="AG131" s="366"/>
      <c r="AH131" s="366"/>
      <c r="AI131" s="366"/>
      <c r="AJ131" s="366"/>
      <c r="AK131" s="366"/>
      <c r="AL131" s="366"/>
      <c r="AM131" s="379"/>
    </row>
    <row r="132" spans="1:39" s="88" customFormat="1" outlineLevel="1">
      <c r="A132" s="184" t="str">
        <f t="shared" si="7"/>
        <v>1</v>
      </c>
      <c r="L132" s="491" t="s">
        <v>199</v>
      </c>
      <c r="M132" s="178" t="s">
        <v>338</v>
      </c>
      <c r="N132" s="148" t="s">
        <v>329</v>
      </c>
      <c r="O132" s="366"/>
      <c r="P132" s="366"/>
      <c r="Q132" s="366"/>
      <c r="R132" s="366"/>
      <c r="S132" s="366"/>
      <c r="T132" s="366"/>
      <c r="U132" s="366"/>
      <c r="V132" s="366"/>
      <c r="W132" s="366"/>
      <c r="X132" s="366"/>
      <c r="Y132" s="366"/>
      <c r="Z132" s="366"/>
      <c r="AA132" s="366"/>
      <c r="AB132" s="366"/>
      <c r="AC132" s="366"/>
      <c r="AD132" s="366"/>
      <c r="AE132" s="366"/>
      <c r="AF132" s="366"/>
      <c r="AG132" s="366"/>
      <c r="AH132" s="366"/>
      <c r="AI132" s="366"/>
      <c r="AJ132" s="366"/>
      <c r="AK132" s="366"/>
      <c r="AL132" s="366"/>
      <c r="AM132" s="379"/>
    </row>
    <row r="133" spans="1:39" s="88" customFormat="1" ht="22.5" outlineLevel="1">
      <c r="A133" s="184" t="str">
        <f t="shared" si="7"/>
        <v>1</v>
      </c>
      <c r="L133" s="491" t="s">
        <v>408</v>
      </c>
      <c r="M133" s="178" t="s">
        <v>1168</v>
      </c>
      <c r="N133" s="148" t="s">
        <v>329</v>
      </c>
      <c r="O133" s="366"/>
      <c r="P133" s="366"/>
      <c r="Q133" s="366"/>
      <c r="R133" s="366"/>
      <c r="S133" s="366"/>
      <c r="T133" s="366"/>
      <c r="U133" s="366"/>
      <c r="V133" s="366"/>
      <c r="W133" s="366"/>
      <c r="X133" s="366"/>
      <c r="Y133" s="366"/>
      <c r="Z133" s="366"/>
      <c r="AA133" s="366"/>
      <c r="AB133" s="366"/>
      <c r="AC133" s="366"/>
      <c r="AD133" s="366"/>
      <c r="AE133" s="366"/>
      <c r="AF133" s="366"/>
      <c r="AG133" s="366"/>
      <c r="AH133" s="366"/>
      <c r="AI133" s="366"/>
      <c r="AJ133" s="366"/>
      <c r="AK133" s="366"/>
      <c r="AL133" s="366"/>
      <c r="AM133" s="379"/>
    </row>
    <row r="134" spans="1:39" s="88" customFormat="1" outlineLevel="1">
      <c r="A134" s="184" t="str">
        <f t="shared" si="7"/>
        <v>1</v>
      </c>
      <c r="L134" s="491" t="s">
        <v>127</v>
      </c>
      <c r="M134" s="493" t="s">
        <v>1188</v>
      </c>
      <c r="N134" s="148" t="s">
        <v>329</v>
      </c>
      <c r="O134" s="366"/>
      <c r="P134" s="366"/>
      <c r="Q134" s="366"/>
      <c r="R134" s="366"/>
      <c r="S134" s="366"/>
      <c r="T134" s="366"/>
      <c r="U134" s="366"/>
      <c r="V134" s="366"/>
      <c r="W134" s="366"/>
      <c r="X134" s="366"/>
      <c r="Y134" s="366"/>
      <c r="Z134" s="366"/>
      <c r="AA134" s="366"/>
      <c r="AB134" s="366"/>
      <c r="AC134" s="366"/>
      <c r="AD134" s="366"/>
      <c r="AE134" s="366"/>
      <c r="AF134" s="366"/>
      <c r="AG134" s="366"/>
      <c r="AH134" s="366"/>
      <c r="AI134" s="366"/>
      <c r="AJ134" s="366"/>
      <c r="AK134" s="366"/>
      <c r="AL134" s="366"/>
      <c r="AM134" s="379"/>
    </row>
    <row r="135" spans="1:39" s="88" customFormat="1" outlineLevel="1">
      <c r="A135" s="184" t="str">
        <f t="shared" si="7"/>
        <v>1</v>
      </c>
      <c r="L135" s="491" t="s">
        <v>1300</v>
      </c>
      <c r="M135" s="495" t="s">
        <v>340</v>
      </c>
      <c r="N135" s="185" t="s">
        <v>145</v>
      </c>
      <c r="O135" s="518">
        <f t="shared" ref="O135:AL135" si="11">IF(O130=0,0,O134/O130*100)</f>
        <v>0</v>
      </c>
      <c r="P135" s="518">
        <f t="shared" si="11"/>
        <v>0</v>
      </c>
      <c r="Q135" s="518">
        <f t="shared" si="11"/>
        <v>0</v>
      </c>
      <c r="R135" s="518">
        <f t="shared" si="11"/>
        <v>0</v>
      </c>
      <c r="S135" s="518">
        <f t="shared" si="11"/>
        <v>0</v>
      </c>
      <c r="T135" s="518">
        <f t="shared" si="11"/>
        <v>0</v>
      </c>
      <c r="U135" s="518">
        <f t="shared" si="11"/>
        <v>0</v>
      </c>
      <c r="V135" s="518">
        <f t="shared" si="11"/>
        <v>0</v>
      </c>
      <c r="W135" s="518">
        <f t="shared" si="11"/>
        <v>0</v>
      </c>
      <c r="X135" s="518">
        <f t="shared" si="11"/>
        <v>0</v>
      </c>
      <c r="Y135" s="518">
        <f t="shared" si="11"/>
        <v>0</v>
      </c>
      <c r="Z135" s="518">
        <f t="shared" si="11"/>
        <v>0</v>
      </c>
      <c r="AA135" s="518">
        <f t="shared" si="11"/>
        <v>0</v>
      </c>
      <c r="AB135" s="518">
        <f t="shared" si="11"/>
        <v>0</v>
      </c>
      <c r="AC135" s="518">
        <f t="shared" si="11"/>
        <v>0</v>
      </c>
      <c r="AD135" s="518">
        <f t="shared" si="11"/>
        <v>0</v>
      </c>
      <c r="AE135" s="518">
        <f t="shared" si="11"/>
        <v>0</v>
      </c>
      <c r="AF135" s="518">
        <f t="shared" si="11"/>
        <v>0</v>
      </c>
      <c r="AG135" s="518">
        <f t="shared" si="11"/>
        <v>0</v>
      </c>
      <c r="AH135" s="518">
        <f t="shared" si="11"/>
        <v>0</v>
      </c>
      <c r="AI135" s="518">
        <f t="shared" si="11"/>
        <v>0</v>
      </c>
      <c r="AJ135" s="518">
        <f t="shared" si="11"/>
        <v>0</v>
      </c>
      <c r="AK135" s="518">
        <f t="shared" si="11"/>
        <v>0</v>
      </c>
      <c r="AL135" s="518">
        <f t="shared" si="11"/>
        <v>0</v>
      </c>
      <c r="AM135" s="379"/>
    </row>
    <row r="136" spans="1:39" s="88" customFormat="1" outlineLevel="1">
      <c r="A136" s="184" t="str">
        <f t="shared" si="7"/>
        <v>1</v>
      </c>
      <c r="L136" s="491" t="s">
        <v>128</v>
      </c>
      <c r="M136" s="493" t="s">
        <v>341</v>
      </c>
      <c r="N136" s="148" t="s">
        <v>329</v>
      </c>
      <c r="O136" s="517">
        <f t="shared" ref="O136:AL136" si="12">O137+O141+O144+O154</f>
        <v>0</v>
      </c>
      <c r="P136" s="517">
        <f t="shared" si="12"/>
        <v>0</v>
      </c>
      <c r="Q136" s="517">
        <f t="shared" si="12"/>
        <v>0</v>
      </c>
      <c r="R136" s="517">
        <f t="shared" si="12"/>
        <v>0</v>
      </c>
      <c r="S136" s="517">
        <f t="shared" si="12"/>
        <v>0</v>
      </c>
      <c r="T136" s="517">
        <f t="shared" si="12"/>
        <v>0</v>
      </c>
      <c r="U136" s="517">
        <f t="shared" si="12"/>
        <v>0</v>
      </c>
      <c r="V136" s="517">
        <f t="shared" si="12"/>
        <v>0</v>
      </c>
      <c r="W136" s="517">
        <f t="shared" si="12"/>
        <v>0</v>
      </c>
      <c r="X136" s="517">
        <f t="shared" si="12"/>
        <v>0</v>
      </c>
      <c r="Y136" s="517">
        <f t="shared" si="12"/>
        <v>0</v>
      </c>
      <c r="Z136" s="517">
        <f t="shared" si="12"/>
        <v>0</v>
      </c>
      <c r="AA136" s="517">
        <f t="shared" si="12"/>
        <v>0</v>
      </c>
      <c r="AB136" s="517">
        <f t="shared" si="12"/>
        <v>0</v>
      </c>
      <c r="AC136" s="517">
        <f t="shared" si="12"/>
        <v>0</v>
      </c>
      <c r="AD136" s="517">
        <f t="shared" si="12"/>
        <v>0</v>
      </c>
      <c r="AE136" s="517">
        <f t="shared" si="12"/>
        <v>0</v>
      </c>
      <c r="AF136" s="517">
        <f t="shared" si="12"/>
        <v>0</v>
      </c>
      <c r="AG136" s="517">
        <f t="shared" si="12"/>
        <v>0</v>
      </c>
      <c r="AH136" s="517">
        <f t="shared" si="12"/>
        <v>0</v>
      </c>
      <c r="AI136" s="517">
        <f t="shared" si="12"/>
        <v>0</v>
      </c>
      <c r="AJ136" s="517">
        <f t="shared" si="12"/>
        <v>0</v>
      </c>
      <c r="AK136" s="517">
        <f t="shared" si="12"/>
        <v>0</v>
      </c>
      <c r="AL136" s="517">
        <f t="shared" si="12"/>
        <v>0</v>
      </c>
      <c r="AM136" s="379"/>
    </row>
    <row r="137" spans="1:39" s="88" customFormat="1" outlineLevel="1">
      <c r="A137" s="184" t="str">
        <f t="shared" si="7"/>
        <v>1</v>
      </c>
      <c r="L137" s="491" t="s">
        <v>1237</v>
      </c>
      <c r="M137" s="178" t="s">
        <v>342</v>
      </c>
      <c r="N137" s="148" t="s">
        <v>329</v>
      </c>
      <c r="O137" s="517">
        <f t="shared" ref="O137:AL137" si="13">SUM(O138:O140)</f>
        <v>0</v>
      </c>
      <c r="P137" s="517">
        <f t="shared" si="13"/>
        <v>0</v>
      </c>
      <c r="Q137" s="517">
        <f t="shared" si="13"/>
        <v>0</v>
      </c>
      <c r="R137" s="517">
        <f t="shared" si="13"/>
        <v>0</v>
      </c>
      <c r="S137" s="517">
        <f t="shared" si="13"/>
        <v>0</v>
      </c>
      <c r="T137" s="517">
        <f t="shared" si="13"/>
        <v>0</v>
      </c>
      <c r="U137" s="517">
        <f t="shared" si="13"/>
        <v>0</v>
      </c>
      <c r="V137" s="517">
        <f t="shared" si="13"/>
        <v>0</v>
      </c>
      <c r="W137" s="517">
        <f t="shared" si="13"/>
        <v>0</v>
      </c>
      <c r="X137" s="517">
        <f t="shared" si="13"/>
        <v>0</v>
      </c>
      <c r="Y137" s="517">
        <f t="shared" si="13"/>
        <v>0</v>
      </c>
      <c r="Z137" s="517">
        <f t="shared" si="13"/>
        <v>0</v>
      </c>
      <c r="AA137" s="517">
        <f t="shared" si="13"/>
        <v>0</v>
      </c>
      <c r="AB137" s="517">
        <f t="shared" si="13"/>
        <v>0</v>
      </c>
      <c r="AC137" s="517">
        <f t="shared" si="13"/>
        <v>0</v>
      </c>
      <c r="AD137" s="517">
        <f t="shared" si="13"/>
        <v>0</v>
      </c>
      <c r="AE137" s="517">
        <f t="shared" si="13"/>
        <v>0</v>
      </c>
      <c r="AF137" s="517">
        <f t="shared" si="13"/>
        <v>0</v>
      </c>
      <c r="AG137" s="517">
        <f t="shared" si="13"/>
        <v>0</v>
      </c>
      <c r="AH137" s="517">
        <f t="shared" si="13"/>
        <v>0</v>
      </c>
      <c r="AI137" s="517">
        <f t="shared" si="13"/>
        <v>0</v>
      </c>
      <c r="AJ137" s="517">
        <f t="shared" si="13"/>
        <v>0</v>
      </c>
      <c r="AK137" s="517">
        <f t="shared" si="13"/>
        <v>0</v>
      </c>
      <c r="AL137" s="517">
        <f t="shared" si="13"/>
        <v>0</v>
      </c>
      <c r="AM137" s="379"/>
    </row>
    <row r="138" spans="1:39" s="88" customFormat="1" outlineLevel="1">
      <c r="A138" s="184" t="str">
        <f t="shared" si="7"/>
        <v>1</v>
      </c>
      <c r="L138" s="491" t="s">
        <v>1301</v>
      </c>
      <c r="M138" s="496" t="s">
        <v>343</v>
      </c>
      <c r="N138" s="148" t="s">
        <v>329</v>
      </c>
      <c r="O138" s="366"/>
      <c r="P138" s="366"/>
      <c r="Q138" s="366"/>
      <c r="R138" s="366"/>
      <c r="S138" s="366"/>
      <c r="T138" s="366"/>
      <c r="U138" s="366"/>
      <c r="V138" s="366"/>
      <c r="W138" s="366"/>
      <c r="X138" s="366"/>
      <c r="Y138" s="366"/>
      <c r="Z138" s="366"/>
      <c r="AA138" s="366"/>
      <c r="AB138" s="366"/>
      <c r="AC138" s="366"/>
      <c r="AD138" s="366"/>
      <c r="AE138" s="366"/>
      <c r="AF138" s="366"/>
      <c r="AG138" s="366"/>
      <c r="AH138" s="366"/>
      <c r="AI138" s="366"/>
      <c r="AJ138" s="366"/>
      <c r="AK138" s="366"/>
      <c r="AL138" s="366"/>
      <c r="AM138" s="379"/>
    </row>
    <row r="139" spans="1:39" s="88" customFormat="1" outlineLevel="1">
      <c r="A139" s="184" t="str">
        <f t="shared" si="7"/>
        <v>1</v>
      </c>
      <c r="L139" s="491" t="s">
        <v>1302</v>
      </c>
      <c r="M139" s="496" t="s">
        <v>344</v>
      </c>
      <c r="N139" s="148" t="s">
        <v>329</v>
      </c>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366"/>
      <c r="AM139" s="379"/>
    </row>
    <row r="140" spans="1:39" s="88" customFormat="1" outlineLevel="1">
      <c r="A140" s="184" t="str">
        <f t="shared" si="7"/>
        <v>1</v>
      </c>
      <c r="L140" s="491" t="s">
        <v>1303</v>
      </c>
      <c r="M140" s="496" t="s">
        <v>345</v>
      </c>
      <c r="N140" s="148" t="s">
        <v>329</v>
      </c>
      <c r="O140" s="366"/>
      <c r="P140" s="366"/>
      <c r="Q140" s="366"/>
      <c r="R140" s="366"/>
      <c r="S140" s="366"/>
      <c r="T140" s="366"/>
      <c r="U140" s="366"/>
      <c r="V140" s="366"/>
      <c r="W140" s="366"/>
      <c r="X140" s="366"/>
      <c r="Y140" s="366"/>
      <c r="Z140" s="366"/>
      <c r="AA140" s="366"/>
      <c r="AB140" s="366"/>
      <c r="AC140" s="366"/>
      <c r="AD140" s="366"/>
      <c r="AE140" s="366"/>
      <c r="AF140" s="366"/>
      <c r="AG140" s="366"/>
      <c r="AH140" s="366"/>
      <c r="AI140" s="366"/>
      <c r="AJ140" s="366"/>
      <c r="AK140" s="366"/>
      <c r="AL140" s="366"/>
      <c r="AM140" s="379"/>
    </row>
    <row r="141" spans="1:39" s="88" customFormat="1" outlineLevel="1">
      <c r="A141" s="184" t="str">
        <f t="shared" si="7"/>
        <v>1</v>
      </c>
      <c r="B141" s="88" t="s">
        <v>1165</v>
      </c>
      <c r="L141" s="491" t="s">
        <v>1304</v>
      </c>
      <c r="M141" s="178" t="s">
        <v>346</v>
      </c>
      <c r="N141" s="148" t="s">
        <v>329</v>
      </c>
      <c r="O141" s="517">
        <f t="shared" ref="O141:AL141" si="14">SUM(O142:O143)</f>
        <v>0</v>
      </c>
      <c r="P141" s="517">
        <f t="shared" si="14"/>
        <v>0</v>
      </c>
      <c r="Q141" s="517">
        <f t="shared" si="14"/>
        <v>0</v>
      </c>
      <c r="R141" s="517">
        <f t="shared" si="14"/>
        <v>0</v>
      </c>
      <c r="S141" s="517">
        <f t="shared" si="14"/>
        <v>0</v>
      </c>
      <c r="T141" s="517">
        <f t="shared" si="14"/>
        <v>0</v>
      </c>
      <c r="U141" s="517">
        <f t="shared" si="14"/>
        <v>0</v>
      </c>
      <c r="V141" s="517">
        <f t="shared" si="14"/>
        <v>0</v>
      </c>
      <c r="W141" s="517">
        <f t="shared" si="14"/>
        <v>0</v>
      </c>
      <c r="X141" s="517">
        <f t="shared" si="14"/>
        <v>0</v>
      </c>
      <c r="Y141" s="517">
        <f t="shared" si="14"/>
        <v>0</v>
      </c>
      <c r="Z141" s="517">
        <f t="shared" si="14"/>
        <v>0</v>
      </c>
      <c r="AA141" s="517">
        <f t="shared" si="14"/>
        <v>0</v>
      </c>
      <c r="AB141" s="517">
        <f t="shared" si="14"/>
        <v>0</v>
      </c>
      <c r="AC141" s="517">
        <f t="shared" si="14"/>
        <v>0</v>
      </c>
      <c r="AD141" s="517">
        <f t="shared" si="14"/>
        <v>0</v>
      </c>
      <c r="AE141" s="517">
        <f t="shared" si="14"/>
        <v>0</v>
      </c>
      <c r="AF141" s="517">
        <f t="shared" si="14"/>
        <v>0</v>
      </c>
      <c r="AG141" s="517">
        <f t="shared" si="14"/>
        <v>0</v>
      </c>
      <c r="AH141" s="517">
        <f t="shared" si="14"/>
        <v>0</v>
      </c>
      <c r="AI141" s="517">
        <f t="shared" si="14"/>
        <v>0</v>
      </c>
      <c r="AJ141" s="517">
        <f t="shared" si="14"/>
        <v>0</v>
      </c>
      <c r="AK141" s="517">
        <f t="shared" si="14"/>
        <v>0</v>
      </c>
      <c r="AL141" s="517">
        <f t="shared" si="14"/>
        <v>0</v>
      </c>
      <c r="AM141" s="379"/>
    </row>
    <row r="142" spans="1:39" s="88" customFormat="1" outlineLevel="1">
      <c r="A142" s="184" t="str">
        <f t="shared" si="7"/>
        <v>1</v>
      </c>
      <c r="L142" s="491" t="s">
        <v>1305</v>
      </c>
      <c r="M142" s="496" t="s">
        <v>347</v>
      </c>
      <c r="N142" s="148" t="s">
        <v>329</v>
      </c>
      <c r="O142" s="366"/>
      <c r="P142" s="366"/>
      <c r="Q142" s="366"/>
      <c r="R142" s="366"/>
      <c r="S142" s="366"/>
      <c r="T142" s="366"/>
      <c r="U142" s="366"/>
      <c r="V142" s="366"/>
      <c r="W142" s="366"/>
      <c r="X142" s="366"/>
      <c r="Y142" s="366"/>
      <c r="Z142" s="366"/>
      <c r="AA142" s="366"/>
      <c r="AB142" s="366"/>
      <c r="AC142" s="366"/>
      <c r="AD142" s="366"/>
      <c r="AE142" s="366"/>
      <c r="AF142" s="366"/>
      <c r="AG142" s="366"/>
      <c r="AH142" s="366"/>
      <c r="AI142" s="366"/>
      <c r="AJ142" s="366"/>
      <c r="AK142" s="366"/>
      <c r="AL142" s="366"/>
      <c r="AM142" s="379"/>
    </row>
    <row r="143" spans="1:39" s="88" customFormat="1" outlineLevel="1">
      <c r="A143" s="184" t="str">
        <f t="shared" si="7"/>
        <v>1</v>
      </c>
      <c r="L143" s="491" t="s">
        <v>1306</v>
      </c>
      <c r="M143" s="496" t="s">
        <v>348</v>
      </c>
      <c r="N143" s="148" t="s">
        <v>329</v>
      </c>
      <c r="O143" s="366"/>
      <c r="P143" s="366"/>
      <c r="Q143" s="366"/>
      <c r="R143" s="366"/>
      <c r="S143" s="366"/>
      <c r="T143" s="366"/>
      <c r="U143" s="366"/>
      <c r="V143" s="366"/>
      <c r="W143" s="366"/>
      <c r="X143" s="366"/>
      <c r="Y143" s="366"/>
      <c r="Z143" s="366"/>
      <c r="AA143" s="366"/>
      <c r="AB143" s="366"/>
      <c r="AC143" s="366"/>
      <c r="AD143" s="366"/>
      <c r="AE143" s="366"/>
      <c r="AF143" s="366"/>
      <c r="AG143" s="366"/>
      <c r="AH143" s="366"/>
      <c r="AI143" s="366"/>
      <c r="AJ143" s="366"/>
      <c r="AK143" s="366"/>
      <c r="AL143" s="366"/>
      <c r="AM143" s="379"/>
    </row>
    <row r="144" spans="1:39" s="88" customFormat="1" outlineLevel="1">
      <c r="A144" s="184" t="str">
        <f t="shared" si="7"/>
        <v>1</v>
      </c>
      <c r="B144" s="88" t="s">
        <v>1165</v>
      </c>
      <c r="L144" s="491" t="s">
        <v>1307</v>
      </c>
      <c r="M144" s="178" t="s">
        <v>1189</v>
      </c>
      <c r="N144" s="148" t="s">
        <v>329</v>
      </c>
      <c r="O144" s="517">
        <f t="shared" ref="O144:AL144" si="15">O145+O148+O151</f>
        <v>0</v>
      </c>
      <c r="P144" s="517">
        <f t="shared" si="15"/>
        <v>0</v>
      </c>
      <c r="Q144" s="517">
        <f t="shared" si="15"/>
        <v>0</v>
      </c>
      <c r="R144" s="517">
        <f t="shared" si="15"/>
        <v>0</v>
      </c>
      <c r="S144" s="517">
        <f t="shared" si="15"/>
        <v>0</v>
      </c>
      <c r="T144" s="517">
        <f t="shared" si="15"/>
        <v>0</v>
      </c>
      <c r="U144" s="517">
        <f t="shared" si="15"/>
        <v>0</v>
      </c>
      <c r="V144" s="517">
        <f t="shared" si="15"/>
        <v>0</v>
      </c>
      <c r="W144" s="517">
        <f t="shared" si="15"/>
        <v>0</v>
      </c>
      <c r="X144" s="517">
        <f t="shared" si="15"/>
        <v>0</v>
      </c>
      <c r="Y144" s="517">
        <f t="shared" si="15"/>
        <v>0</v>
      </c>
      <c r="Z144" s="517">
        <f t="shared" si="15"/>
        <v>0</v>
      </c>
      <c r="AA144" s="517">
        <f t="shared" si="15"/>
        <v>0</v>
      </c>
      <c r="AB144" s="517">
        <f t="shared" si="15"/>
        <v>0</v>
      </c>
      <c r="AC144" s="517">
        <f t="shared" si="15"/>
        <v>0</v>
      </c>
      <c r="AD144" s="517">
        <f t="shared" si="15"/>
        <v>0</v>
      </c>
      <c r="AE144" s="517">
        <f t="shared" si="15"/>
        <v>0</v>
      </c>
      <c r="AF144" s="517">
        <f t="shared" si="15"/>
        <v>0</v>
      </c>
      <c r="AG144" s="517">
        <f t="shared" si="15"/>
        <v>0</v>
      </c>
      <c r="AH144" s="517">
        <f t="shared" si="15"/>
        <v>0</v>
      </c>
      <c r="AI144" s="517">
        <f t="shared" si="15"/>
        <v>0</v>
      </c>
      <c r="AJ144" s="517">
        <f t="shared" si="15"/>
        <v>0</v>
      </c>
      <c r="AK144" s="517">
        <f t="shared" si="15"/>
        <v>0</v>
      </c>
      <c r="AL144" s="517">
        <f t="shared" si="15"/>
        <v>0</v>
      </c>
      <c r="AM144" s="379"/>
    </row>
    <row r="145" spans="1:39" s="88" customFormat="1" outlineLevel="1">
      <c r="A145" s="184" t="str">
        <f t="shared" si="7"/>
        <v>1</v>
      </c>
      <c r="L145" s="491" t="s">
        <v>1308</v>
      </c>
      <c r="M145" s="496" t="s">
        <v>349</v>
      </c>
      <c r="N145" s="148" t="s">
        <v>329</v>
      </c>
      <c r="O145" s="517">
        <f t="shared" ref="O145:AL145" si="16">SUM(O146:O147)</f>
        <v>0</v>
      </c>
      <c r="P145" s="517">
        <f t="shared" si="16"/>
        <v>0</v>
      </c>
      <c r="Q145" s="517">
        <f t="shared" si="16"/>
        <v>0</v>
      </c>
      <c r="R145" s="517">
        <f t="shared" si="16"/>
        <v>0</v>
      </c>
      <c r="S145" s="517">
        <f t="shared" si="16"/>
        <v>0</v>
      </c>
      <c r="T145" s="517">
        <f t="shared" si="16"/>
        <v>0</v>
      </c>
      <c r="U145" s="517">
        <f t="shared" si="16"/>
        <v>0</v>
      </c>
      <c r="V145" s="517">
        <f t="shared" si="16"/>
        <v>0</v>
      </c>
      <c r="W145" s="517">
        <f t="shared" si="16"/>
        <v>0</v>
      </c>
      <c r="X145" s="517">
        <f t="shared" si="16"/>
        <v>0</v>
      </c>
      <c r="Y145" s="517">
        <f t="shared" si="16"/>
        <v>0</v>
      </c>
      <c r="Z145" s="517">
        <f t="shared" si="16"/>
        <v>0</v>
      </c>
      <c r="AA145" s="517">
        <f t="shared" si="16"/>
        <v>0</v>
      </c>
      <c r="AB145" s="517">
        <f t="shared" si="16"/>
        <v>0</v>
      </c>
      <c r="AC145" s="517">
        <f t="shared" si="16"/>
        <v>0</v>
      </c>
      <c r="AD145" s="517">
        <f t="shared" si="16"/>
        <v>0</v>
      </c>
      <c r="AE145" s="517">
        <f t="shared" si="16"/>
        <v>0</v>
      </c>
      <c r="AF145" s="517">
        <f t="shared" si="16"/>
        <v>0</v>
      </c>
      <c r="AG145" s="517">
        <f t="shared" si="16"/>
        <v>0</v>
      </c>
      <c r="AH145" s="517">
        <f t="shared" si="16"/>
        <v>0</v>
      </c>
      <c r="AI145" s="517">
        <f t="shared" si="16"/>
        <v>0</v>
      </c>
      <c r="AJ145" s="517">
        <f t="shared" si="16"/>
        <v>0</v>
      </c>
      <c r="AK145" s="517">
        <f t="shared" si="16"/>
        <v>0</v>
      </c>
      <c r="AL145" s="517">
        <f t="shared" si="16"/>
        <v>0</v>
      </c>
      <c r="AM145" s="379"/>
    </row>
    <row r="146" spans="1:39" s="88" customFormat="1" outlineLevel="1">
      <c r="A146" s="184" t="str">
        <f t="shared" si="7"/>
        <v>1</v>
      </c>
      <c r="L146" s="491" t="s">
        <v>1309</v>
      </c>
      <c r="M146" s="497" t="s">
        <v>347</v>
      </c>
      <c r="N146" s="148" t="s">
        <v>329</v>
      </c>
      <c r="O146" s="366"/>
      <c r="P146" s="366"/>
      <c r="Q146" s="366"/>
      <c r="R146" s="366"/>
      <c r="S146" s="366"/>
      <c r="T146" s="366"/>
      <c r="U146" s="366"/>
      <c r="V146" s="366"/>
      <c r="W146" s="366"/>
      <c r="X146" s="366"/>
      <c r="Y146" s="366"/>
      <c r="Z146" s="366"/>
      <c r="AA146" s="366"/>
      <c r="AB146" s="366"/>
      <c r="AC146" s="366"/>
      <c r="AD146" s="366"/>
      <c r="AE146" s="366"/>
      <c r="AF146" s="366"/>
      <c r="AG146" s="366"/>
      <c r="AH146" s="366"/>
      <c r="AI146" s="366"/>
      <c r="AJ146" s="366"/>
      <c r="AK146" s="366"/>
      <c r="AL146" s="366"/>
      <c r="AM146" s="379"/>
    </row>
    <row r="147" spans="1:39" s="88" customFormat="1" outlineLevel="1">
      <c r="A147" s="184" t="str">
        <f t="shared" si="7"/>
        <v>1</v>
      </c>
      <c r="L147" s="491" t="s">
        <v>1310</v>
      </c>
      <c r="M147" s="497" t="s">
        <v>348</v>
      </c>
      <c r="N147" s="148" t="s">
        <v>329</v>
      </c>
      <c r="O147" s="366"/>
      <c r="P147" s="366"/>
      <c r="Q147" s="366"/>
      <c r="R147" s="366"/>
      <c r="S147" s="366"/>
      <c r="T147" s="366"/>
      <c r="U147" s="366"/>
      <c r="V147" s="366"/>
      <c r="W147" s="366"/>
      <c r="X147" s="366"/>
      <c r="Y147" s="366"/>
      <c r="Z147" s="366"/>
      <c r="AA147" s="366"/>
      <c r="AB147" s="366"/>
      <c r="AC147" s="366"/>
      <c r="AD147" s="366"/>
      <c r="AE147" s="366"/>
      <c r="AF147" s="366"/>
      <c r="AG147" s="366"/>
      <c r="AH147" s="366"/>
      <c r="AI147" s="366"/>
      <c r="AJ147" s="366"/>
      <c r="AK147" s="366"/>
      <c r="AL147" s="366"/>
      <c r="AM147" s="379"/>
    </row>
    <row r="148" spans="1:39" s="88" customFormat="1" outlineLevel="1">
      <c r="A148" s="184" t="str">
        <f t="shared" si="7"/>
        <v>1</v>
      </c>
      <c r="B148" s="88" t="s">
        <v>1166</v>
      </c>
      <c r="L148" s="491" t="s">
        <v>1311</v>
      </c>
      <c r="M148" s="496" t="s">
        <v>350</v>
      </c>
      <c r="N148" s="148" t="s">
        <v>329</v>
      </c>
      <c r="O148" s="517">
        <f t="shared" ref="O148:AL148" si="17">SUM(O149:O150)</f>
        <v>0</v>
      </c>
      <c r="P148" s="517">
        <f t="shared" si="17"/>
        <v>0</v>
      </c>
      <c r="Q148" s="517">
        <f t="shared" si="17"/>
        <v>0</v>
      </c>
      <c r="R148" s="517">
        <f t="shared" si="17"/>
        <v>0</v>
      </c>
      <c r="S148" s="517">
        <f t="shared" si="17"/>
        <v>0</v>
      </c>
      <c r="T148" s="517">
        <f t="shared" si="17"/>
        <v>0</v>
      </c>
      <c r="U148" s="517">
        <f t="shared" si="17"/>
        <v>0</v>
      </c>
      <c r="V148" s="517">
        <f t="shared" si="17"/>
        <v>0</v>
      </c>
      <c r="W148" s="517">
        <f t="shared" si="17"/>
        <v>0</v>
      </c>
      <c r="X148" s="517">
        <f t="shared" si="17"/>
        <v>0</v>
      </c>
      <c r="Y148" s="517">
        <f t="shared" si="17"/>
        <v>0</v>
      </c>
      <c r="Z148" s="517">
        <f t="shared" si="17"/>
        <v>0</v>
      </c>
      <c r="AA148" s="517">
        <f t="shared" si="17"/>
        <v>0</v>
      </c>
      <c r="AB148" s="517">
        <f t="shared" si="17"/>
        <v>0</v>
      </c>
      <c r="AC148" s="517">
        <f t="shared" si="17"/>
        <v>0</v>
      </c>
      <c r="AD148" s="517">
        <f t="shared" si="17"/>
        <v>0</v>
      </c>
      <c r="AE148" s="517">
        <f t="shared" si="17"/>
        <v>0</v>
      </c>
      <c r="AF148" s="517">
        <f t="shared" si="17"/>
        <v>0</v>
      </c>
      <c r="AG148" s="517">
        <f t="shared" si="17"/>
        <v>0</v>
      </c>
      <c r="AH148" s="517">
        <f t="shared" si="17"/>
        <v>0</v>
      </c>
      <c r="AI148" s="517">
        <f t="shared" si="17"/>
        <v>0</v>
      </c>
      <c r="AJ148" s="517">
        <f t="shared" si="17"/>
        <v>0</v>
      </c>
      <c r="AK148" s="517">
        <f t="shared" si="17"/>
        <v>0</v>
      </c>
      <c r="AL148" s="517">
        <f t="shared" si="17"/>
        <v>0</v>
      </c>
      <c r="AM148" s="379"/>
    </row>
    <row r="149" spans="1:39" s="88" customFormat="1" outlineLevel="1">
      <c r="A149" s="184" t="str">
        <f t="shared" si="7"/>
        <v>1</v>
      </c>
      <c r="L149" s="491" t="s">
        <v>1312</v>
      </c>
      <c r="M149" s="497" t="s">
        <v>347</v>
      </c>
      <c r="N149" s="148" t="s">
        <v>329</v>
      </c>
      <c r="O149" s="366"/>
      <c r="P149" s="366"/>
      <c r="Q149" s="366"/>
      <c r="R149" s="366"/>
      <c r="S149" s="366"/>
      <c r="T149" s="366"/>
      <c r="U149" s="366"/>
      <c r="V149" s="366"/>
      <c r="W149" s="366"/>
      <c r="X149" s="366"/>
      <c r="Y149" s="366"/>
      <c r="Z149" s="366"/>
      <c r="AA149" s="366"/>
      <c r="AB149" s="366"/>
      <c r="AC149" s="366"/>
      <c r="AD149" s="366"/>
      <c r="AE149" s="366"/>
      <c r="AF149" s="366"/>
      <c r="AG149" s="366"/>
      <c r="AH149" s="366"/>
      <c r="AI149" s="366"/>
      <c r="AJ149" s="366"/>
      <c r="AK149" s="366"/>
      <c r="AL149" s="366"/>
      <c r="AM149" s="379"/>
    </row>
    <row r="150" spans="1:39" s="88" customFormat="1" outlineLevel="1">
      <c r="A150" s="184" t="str">
        <f t="shared" si="7"/>
        <v>1</v>
      </c>
      <c r="L150" s="491" t="s">
        <v>1313</v>
      </c>
      <c r="M150" s="497" t="s">
        <v>348</v>
      </c>
      <c r="N150" s="148" t="s">
        <v>329</v>
      </c>
      <c r="O150" s="366"/>
      <c r="P150" s="366"/>
      <c r="Q150" s="366"/>
      <c r="R150" s="366"/>
      <c r="S150" s="366"/>
      <c r="T150" s="366"/>
      <c r="U150" s="366"/>
      <c r="V150" s="366"/>
      <c r="W150" s="366"/>
      <c r="X150" s="366"/>
      <c r="Y150" s="366"/>
      <c r="Z150" s="366"/>
      <c r="AA150" s="366"/>
      <c r="AB150" s="366"/>
      <c r="AC150" s="366"/>
      <c r="AD150" s="366"/>
      <c r="AE150" s="366"/>
      <c r="AF150" s="366"/>
      <c r="AG150" s="366"/>
      <c r="AH150" s="366"/>
      <c r="AI150" s="366"/>
      <c r="AJ150" s="366"/>
      <c r="AK150" s="366"/>
      <c r="AL150" s="366"/>
      <c r="AM150" s="379"/>
    </row>
    <row r="151" spans="1:39" s="88" customFormat="1" outlineLevel="1">
      <c r="A151" s="184" t="str">
        <f t="shared" si="7"/>
        <v>1</v>
      </c>
      <c r="L151" s="491" t="s">
        <v>1314</v>
      </c>
      <c r="M151" s="496" t="s">
        <v>351</v>
      </c>
      <c r="N151" s="148" t="s">
        <v>329</v>
      </c>
      <c r="O151" s="517">
        <f t="shared" ref="O151:AL151" si="18">SUM(O152:O153)</f>
        <v>0</v>
      </c>
      <c r="P151" s="517">
        <f t="shared" si="18"/>
        <v>0</v>
      </c>
      <c r="Q151" s="517">
        <f t="shared" si="18"/>
        <v>0</v>
      </c>
      <c r="R151" s="517">
        <f t="shared" si="18"/>
        <v>0</v>
      </c>
      <c r="S151" s="517">
        <f t="shared" si="18"/>
        <v>0</v>
      </c>
      <c r="T151" s="517">
        <f t="shared" si="18"/>
        <v>0</v>
      </c>
      <c r="U151" s="517">
        <f t="shared" si="18"/>
        <v>0</v>
      </c>
      <c r="V151" s="517">
        <f t="shared" si="18"/>
        <v>0</v>
      </c>
      <c r="W151" s="517">
        <f t="shared" si="18"/>
        <v>0</v>
      </c>
      <c r="X151" s="517">
        <f t="shared" si="18"/>
        <v>0</v>
      </c>
      <c r="Y151" s="517">
        <f t="shared" si="18"/>
        <v>0</v>
      </c>
      <c r="Z151" s="517">
        <f t="shared" si="18"/>
        <v>0</v>
      </c>
      <c r="AA151" s="517">
        <f t="shared" si="18"/>
        <v>0</v>
      </c>
      <c r="AB151" s="517">
        <f t="shared" si="18"/>
        <v>0</v>
      </c>
      <c r="AC151" s="517">
        <f t="shared" si="18"/>
        <v>0</v>
      </c>
      <c r="AD151" s="517">
        <f t="shared" si="18"/>
        <v>0</v>
      </c>
      <c r="AE151" s="517">
        <f t="shared" si="18"/>
        <v>0</v>
      </c>
      <c r="AF151" s="517">
        <f t="shared" si="18"/>
        <v>0</v>
      </c>
      <c r="AG151" s="517">
        <f t="shared" si="18"/>
        <v>0</v>
      </c>
      <c r="AH151" s="517">
        <f t="shared" si="18"/>
        <v>0</v>
      </c>
      <c r="AI151" s="517">
        <f t="shared" si="18"/>
        <v>0</v>
      </c>
      <c r="AJ151" s="517">
        <f t="shared" si="18"/>
        <v>0</v>
      </c>
      <c r="AK151" s="517">
        <f t="shared" si="18"/>
        <v>0</v>
      </c>
      <c r="AL151" s="517">
        <f t="shared" si="18"/>
        <v>0</v>
      </c>
      <c r="AM151" s="379"/>
    </row>
    <row r="152" spans="1:39" s="88" customFormat="1" outlineLevel="1">
      <c r="A152" s="184" t="str">
        <f t="shared" si="7"/>
        <v>1</v>
      </c>
      <c r="L152" s="491" t="s">
        <v>1315</v>
      </c>
      <c r="M152" s="497" t="s">
        <v>347</v>
      </c>
      <c r="N152" s="148" t="s">
        <v>329</v>
      </c>
      <c r="O152" s="366"/>
      <c r="P152" s="366"/>
      <c r="Q152" s="366"/>
      <c r="R152" s="366"/>
      <c r="S152" s="366"/>
      <c r="T152" s="366"/>
      <c r="U152" s="366"/>
      <c r="V152" s="366"/>
      <c r="W152" s="366"/>
      <c r="X152" s="366"/>
      <c r="Y152" s="366"/>
      <c r="Z152" s="366"/>
      <c r="AA152" s="366"/>
      <c r="AB152" s="366"/>
      <c r="AC152" s="366"/>
      <c r="AD152" s="366"/>
      <c r="AE152" s="366"/>
      <c r="AF152" s="366"/>
      <c r="AG152" s="366"/>
      <c r="AH152" s="366"/>
      <c r="AI152" s="366"/>
      <c r="AJ152" s="366"/>
      <c r="AK152" s="366"/>
      <c r="AL152" s="366"/>
      <c r="AM152" s="379"/>
    </row>
    <row r="153" spans="1:39" s="88" customFormat="1" outlineLevel="1">
      <c r="A153" s="184" t="str">
        <f t="shared" si="7"/>
        <v>1</v>
      </c>
      <c r="L153" s="491" t="s">
        <v>1316</v>
      </c>
      <c r="M153" s="497" t="s">
        <v>348</v>
      </c>
      <c r="N153" s="148" t="s">
        <v>329</v>
      </c>
      <c r="O153" s="366"/>
      <c r="P153" s="366"/>
      <c r="Q153" s="366"/>
      <c r="R153" s="366"/>
      <c r="S153" s="366"/>
      <c r="T153" s="366"/>
      <c r="U153" s="366"/>
      <c r="V153" s="366"/>
      <c r="W153" s="366"/>
      <c r="X153" s="366"/>
      <c r="Y153" s="366"/>
      <c r="Z153" s="366"/>
      <c r="AA153" s="366"/>
      <c r="AB153" s="366"/>
      <c r="AC153" s="366"/>
      <c r="AD153" s="366"/>
      <c r="AE153" s="366"/>
      <c r="AF153" s="366"/>
      <c r="AG153" s="366"/>
      <c r="AH153" s="366"/>
      <c r="AI153" s="366"/>
      <c r="AJ153" s="366"/>
      <c r="AK153" s="366"/>
      <c r="AL153" s="366"/>
      <c r="AM153" s="194"/>
    </row>
    <row r="154" spans="1:39" s="88" customFormat="1" ht="22.5" outlineLevel="1">
      <c r="A154" s="184" t="str">
        <f t="shared" si="7"/>
        <v>1</v>
      </c>
      <c r="L154" s="491" t="s">
        <v>1317</v>
      </c>
      <c r="M154" s="498" t="s">
        <v>1150</v>
      </c>
      <c r="N154" s="453" t="s">
        <v>329</v>
      </c>
      <c r="O154" s="516"/>
      <c r="P154" s="516"/>
      <c r="Q154" s="516"/>
      <c r="R154" s="516"/>
      <c r="S154" s="516"/>
      <c r="T154" s="516"/>
      <c r="U154" s="516"/>
      <c r="V154" s="516"/>
      <c r="W154" s="516"/>
      <c r="X154" s="516"/>
      <c r="Y154" s="516"/>
      <c r="Z154" s="516"/>
      <c r="AA154" s="516"/>
      <c r="AB154" s="516"/>
      <c r="AC154" s="516"/>
      <c r="AD154" s="516"/>
      <c r="AE154" s="516"/>
      <c r="AF154" s="516"/>
      <c r="AG154" s="516"/>
      <c r="AH154" s="516"/>
      <c r="AI154" s="516"/>
      <c r="AJ154" s="516"/>
      <c r="AK154" s="516"/>
      <c r="AL154" s="516"/>
      <c r="AM154" s="194"/>
    </row>
    <row r="155" spans="1:39" s="188" customFormat="1">
      <c r="A155" s="187" t="s">
        <v>1051</v>
      </c>
      <c r="M155" s="3"/>
      <c r="N155" s="3"/>
      <c r="O155" s="519"/>
      <c r="P155" s="519"/>
      <c r="Q155" s="519"/>
      <c r="R155" s="519"/>
      <c r="S155" s="519"/>
      <c r="T155" s="520"/>
      <c r="U155" s="519"/>
      <c r="V155" s="519"/>
      <c r="W155" s="519"/>
      <c r="X155" s="519"/>
      <c r="Y155" s="519"/>
      <c r="Z155" s="519"/>
      <c r="AA155" s="519"/>
      <c r="AB155" s="519"/>
      <c r="AC155" s="519"/>
      <c r="AD155" s="519"/>
      <c r="AE155" s="519"/>
      <c r="AF155" s="519"/>
      <c r="AG155" s="519"/>
      <c r="AH155" s="519"/>
      <c r="AI155" s="519"/>
      <c r="AJ155" s="519"/>
      <c r="AK155" s="519"/>
      <c r="AL155" s="519"/>
    </row>
    <row r="156" spans="1:39" s="88" customFormat="1">
      <c r="A156" s="183" t="s">
        <v>18</v>
      </c>
      <c r="L156" s="162" t="str">
        <f>INDEX('Общие сведения'!$J$113:$J$146,MATCH($A156,'Общие сведения'!$D$113:$D$146,0))</f>
        <v>Тариф 1 (Водоснабжение) - тариф на техническую воду (нет)</v>
      </c>
      <c r="M156" s="158"/>
      <c r="N156" s="158"/>
      <c r="O156" s="521"/>
      <c r="P156" s="521"/>
      <c r="Q156" s="521"/>
      <c r="R156" s="521"/>
      <c r="S156" s="521"/>
      <c r="T156" s="521"/>
      <c r="U156" s="521"/>
      <c r="V156" s="521"/>
      <c r="W156" s="521"/>
      <c r="X156" s="521"/>
      <c r="Y156" s="521"/>
      <c r="Z156" s="521"/>
      <c r="AA156" s="521"/>
      <c r="AB156" s="521"/>
      <c r="AC156" s="521"/>
      <c r="AD156" s="521"/>
      <c r="AE156" s="521"/>
      <c r="AF156" s="521"/>
      <c r="AG156" s="521"/>
      <c r="AH156" s="521"/>
      <c r="AI156" s="521"/>
      <c r="AJ156" s="521"/>
      <c r="AK156" s="521"/>
      <c r="AL156" s="521"/>
      <c r="AM156" s="158"/>
    </row>
    <row r="157" spans="1:39" s="88" customFormat="1" outlineLevel="1">
      <c r="A157" s="184" t="str">
        <f t="shared" ref="A157:A172" si="19">A156</f>
        <v>1</v>
      </c>
      <c r="L157" s="499" t="s">
        <v>18</v>
      </c>
      <c r="M157" s="500" t="s">
        <v>328</v>
      </c>
      <c r="N157" s="189"/>
      <c r="O157" s="545" t="str">
        <f>INDEX('Общие сведения'!$K$113:$K$146,MATCH($A157,'Общие сведения'!$D$113:$D$146,0))</f>
        <v>техническая вода</v>
      </c>
      <c r="P157" s="546"/>
      <c r="Q157" s="546"/>
      <c r="R157" s="546"/>
      <c r="S157" s="546"/>
      <c r="T157" s="546"/>
      <c r="U157" s="546"/>
      <c r="V157" s="546"/>
      <c r="W157" s="546"/>
      <c r="X157" s="546"/>
      <c r="Y157" s="546"/>
      <c r="Z157" s="546"/>
      <c r="AA157" s="546"/>
      <c r="AB157" s="546"/>
      <c r="AC157" s="546"/>
      <c r="AD157" s="546"/>
      <c r="AE157" s="546"/>
      <c r="AF157" s="546"/>
      <c r="AG157" s="546"/>
      <c r="AH157" s="546"/>
      <c r="AI157" s="546"/>
      <c r="AJ157" s="546"/>
      <c r="AK157" s="546"/>
      <c r="AL157" s="547"/>
      <c r="AM157" s="194"/>
    </row>
    <row r="158" spans="1:39" s="88" customFormat="1" outlineLevel="1">
      <c r="A158" s="184" t="str">
        <f t="shared" si="19"/>
        <v>1</v>
      </c>
      <c r="L158" s="499" t="s">
        <v>102</v>
      </c>
      <c r="M158" s="500" t="s">
        <v>325</v>
      </c>
      <c r="N158" s="150" t="s">
        <v>326</v>
      </c>
      <c r="O158" s="516"/>
      <c r="P158" s="516"/>
      <c r="Q158" s="516"/>
      <c r="R158" s="516"/>
      <c r="S158" s="516"/>
      <c r="T158" s="516"/>
      <c r="U158" s="516"/>
      <c r="V158" s="516"/>
      <c r="W158" s="516"/>
      <c r="X158" s="516"/>
      <c r="Y158" s="516"/>
      <c r="Z158" s="516"/>
      <c r="AA158" s="516"/>
      <c r="AB158" s="516"/>
      <c r="AC158" s="516"/>
      <c r="AD158" s="516"/>
      <c r="AE158" s="516"/>
      <c r="AF158" s="516"/>
      <c r="AG158" s="516"/>
      <c r="AH158" s="516"/>
      <c r="AI158" s="516"/>
      <c r="AJ158" s="516"/>
      <c r="AK158" s="516"/>
      <c r="AL158" s="516"/>
      <c r="AM158" s="194"/>
    </row>
    <row r="159" spans="1:39" s="88" customFormat="1" outlineLevel="1">
      <c r="A159" s="184" t="str">
        <f t="shared" si="19"/>
        <v>1</v>
      </c>
      <c r="L159" s="499" t="s">
        <v>103</v>
      </c>
      <c r="M159" s="500" t="s">
        <v>327</v>
      </c>
      <c r="N159" s="150" t="s">
        <v>326</v>
      </c>
      <c r="O159" s="516"/>
      <c r="P159" s="516"/>
      <c r="Q159" s="516"/>
      <c r="R159" s="516"/>
      <c r="S159" s="516"/>
      <c r="T159" s="516"/>
      <c r="U159" s="516"/>
      <c r="V159" s="516"/>
      <c r="W159" s="516"/>
      <c r="X159" s="516"/>
      <c r="Y159" s="516"/>
      <c r="Z159" s="516"/>
      <c r="AA159" s="516"/>
      <c r="AB159" s="516"/>
      <c r="AC159" s="516"/>
      <c r="AD159" s="516"/>
      <c r="AE159" s="516"/>
      <c r="AF159" s="516"/>
      <c r="AG159" s="516"/>
      <c r="AH159" s="516"/>
      <c r="AI159" s="516"/>
      <c r="AJ159" s="516"/>
      <c r="AK159" s="516"/>
      <c r="AL159" s="516"/>
      <c r="AM159" s="194"/>
    </row>
    <row r="160" spans="1:39" s="88" customFormat="1" outlineLevel="1">
      <c r="A160" s="184" t="str">
        <f t="shared" si="19"/>
        <v>1</v>
      </c>
      <c r="B160" s="88" t="s">
        <v>1165</v>
      </c>
      <c r="L160" s="499">
        <v>4</v>
      </c>
      <c r="M160" s="501" t="s">
        <v>354</v>
      </c>
      <c r="N160" s="148" t="s">
        <v>329</v>
      </c>
      <c r="O160" s="522">
        <f t="shared" ref="O160:AL160" si="20">O164+O166+O169+O172</f>
        <v>0</v>
      </c>
      <c r="P160" s="522">
        <f t="shared" si="20"/>
        <v>0</v>
      </c>
      <c r="Q160" s="522">
        <f t="shared" si="20"/>
        <v>0</v>
      </c>
      <c r="R160" s="522">
        <f t="shared" si="20"/>
        <v>0</v>
      </c>
      <c r="S160" s="522">
        <f t="shared" si="20"/>
        <v>0</v>
      </c>
      <c r="T160" s="522">
        <f t="shared" si="20"/>
        <v>0</v>
      </c>
      <c r="U160" s="522">
        <f t="shared" si="20"/>
        <v>0</v>
      </c>
      <c r="V160" s="522">
        <f t="shared" si="20"/>
        <v>0</v>
      </c>
      <c r="W160" s="522">
        <f t="shared" si="20"/>
        <v>0</v>
      </c>
      <c r="X160" s="522">
        <f t="shared" si="20"/>
        <v>0</v>
      </c>
      <c r="Y160" s="522">
        <f t="shared" si="20"/>
        <v>0</v>
      </c>
      <c r="Z160" s="522">
        <f t="shared" si="20"/>
        <v>0</v>
      </c>
      <c r="AA160" s="522">
        <f t="shared" si="20"/>
        <v>0</v>
      </c>
      <c r="AB160" s="522">
        <f t="shared" si="20"/>
        <v>0</v>
      </c>
      <c r="AC160" s="522">
        <f t="shared" si="20"/>
        <v>0</v>
      </c>
      <c r="AD160" s="522">
        <f t="shared" si="20"/>
        <v>0</v>
      </c>
      <c r="AE160" s="522">
        <f t="shared" si="20"/>
        <v>0</v>
      </c>
      <c r="AF160" s="522">
        <f t="shared" si="20"/>
        <v>0</v>
      </c>
      <c r="AG160" s="522">
        <f t="shared" si="20"/>
        <v>0</v>
      </c>
      <c r="AH160" s="522">
        <f t="shared" si="20"/>
        <v>0</v>
      </c>
      <c r="AI160" s="522">
        <f t="shared" si="20"/>
        <v>0</v>
      </c>
      <c r="AJ160" s="522">
        <f t="shared" si="20"/>
        <v>0</v>
      </c>
      <c r="AK160" s="522">
        <f t="shared" si="20"/>
        <v>0</v>
      </c>
      <c r="AL160" s="522">
        <f t="shared" si="20"/>
        <v>0</v>
      </c>
      <c r="AM160" s="194"/>
    </row>
    <row r="161" spans="1:39" s="88" customFormat="1" outlineLevel="1">
      <c r="A161" s="184" t="str">
        <f t="shared" si="19"/>
        <v>1</v>
      </c>
      <c r="L161" s="499" t="s">
        <v>148</v>
      </c>
      <c r="M161" s="502" t="s">
        <v>352</v>
      </c>
      <c r="N161" s="148" t="s">
        <v>329</v>
      </c>
      <c r="O161" s="516"/>
      <c r="P161" s="516"/>
      <c r="Q161" s="516"/>
      <c r="R161" s="516"/>
      <c r="S161" s="516"/>
      <c r="T161" s="516"/>
      <c r="U161" s="516"/>
      <c r="V161" s="516"/>
      <c r="W161" s="516"/>
      <c r="X161" s="516"/>
      <c r="Y161" s="516"/>
      <c r="Z161" s="516"/>
      <c r="AA161" s="516"/>
      <c r="AB161" s="516"/>
      <c r="AC161" s="516"/>
      <c r="AD161" s="516"/>
      <c r="AE161" s="516"/>
      <c r="AF161" s="516"/>
      <c r="AG161" s="516"/>
      <c r="AH161" s="516"/>
      <c r="AI161" s="516"/>
      <c r="AJ161" s="516"/>
      <c r="AK161" s="516"/>
      <c r="AL161" s="516"/>
      <c r="AM161" s="194"/>
    </row>
    <row r="162" spans="1:39" s="88" customFormat="1" outlineLevel="1">
      <c r="A162" s="184" t="str">
        <f t="shared" si="19"/>
        <v>1</v>
      </c>
      <c r="L162" s="499" t="s">
        <v>391</v>
      </c>
      <c r="M162" s="502" t="s">
        <v>353</v>
      </c>
      <c r="N162" s="148" t="s">
        <v>329</v>
      </c>
      <c r="O162" s="516"/>
      <c r="P162" s="516"/>
      <c r="Q162" s="516"/>
      <c r="R162" s="516"/>
      <c r="S162" s="516"/>
      <c r="T162" s="516"/>
      <c r="U162" s="516"/>
      <c r="V162" s="516"/>
      <c r="W162" s="516"/>
      <c r="X162" s="516"/>
      <c r="Y162" s="516"/>
      <c r="Z162" s="516"/>
      <c r="AA162" s="516"/>
      <c r="AB162" s="516"/>
      <c r="AC162" s="516"/>
      <c r="AD162" s="516"/>
      <c r="AE162" s="516"/>
      <c r="AF162" s="516"/>
      <c r="AG162" s="516"/>
      <c r="AH162" s="516"/>
      <c r="AI162" s="516"/>
      <c r="AJ162" s="516"/>
      <c r="AK162" s="516"/>
      <c r="AL162" s="516"/>
      <c r="AM162" s="194"/>
    </row>
    <row r="163" spans="1:39" s="88" customFormat="1" ht="22.5" outlineLevel="1">
      <c r="A163" s="184" t="str">
        <f t="shared" si="19"/>
        <v>1</v>
      </c>
      <c r="L163" s="499" t="s">
        <v>392</v>
      </c>
      <c r="M163" s="502" t="s">
        <v>339</v>
      </c>
      <c r="N163" s="148" t="s">
        <v>329</v>
      </c>
      <c r="O163" s="516"/>
      <c r="P163" s="516"/>
      <c r="Q163" s="516"/>
      <c r="R163" s="516"/>
      <c r="S163" s="516"/>
      <c r="T163" s="516"/>
      <c r="U163" s="516"/>
      <c r="V163" s="516"/>
      <c r="W163" s="516"/>
      <c r="X163" s="516"/>
      <c r="Y163" s="516"/>
      <c r="Z163" s="516"/>
      <c r="AA163" s="516"/>
      <c r="AB163" s="516"/>
      <c r="AC163" s="516"/>
      <c r="AD163" s="516"/>
      <c r="AE163" s="516"/>
      <c r="AF163" s="516"/>
      <c r="AG163" s="516"/>
      <c r="AH163" s="516"/>
      <c r="AI163" s="516"/>
      <c r="AJ163" s="516"/>
      <c r="AK163" s="516"/>
      <c r="AL163" s="516"/>
      <c r="AM163" s="194"/>
    </row>
    <row r="164" spans="1:39" s="88" customFormat="1" outlineLevel="1">
      <c r="A164" s="184" t="str">
        <f t="shared" si="19"/>
        <v>1</v>
      </c>
      <c r="L164" s="499" t="s">
        <v>120</v>
      </c>
      <c r="M164" s="500" t="s">
        <v>1188</v>
      </c>
      <c r="N164" s="148" t="s">
        <v>329</v>
      </c>
      <c r="O164" s="516"/>
      <c r="P164" s="516"/>
      <c r="Q164" s="516"/>
      <c r="R164" s="516"/>
      <c r="S164" s="516"/>
      <c r="T164" s="516"/>
      <c r="U164" s="516"/>
      <c r="V164" s="516"/>
      <c r="W164" s="516"/>
      <c r="X164" s="516"/>
      <c r="Y164" s="516"/>
      <c r="Z164" s="516"/>
      <c r="AA164" s="516"/>
      <c r="AB164" s="516"/>
      <c r="AC164" s="516"/>
      <c r="AD164" s="516"/>
      <c r="AE164" s="516"/>
      <c r="AF164" s="516"/>
      <c r="AG164" s="516"/>
      <c r="AH164" s="516"/>
      <c r="AI164" s="516"/>
      <c r="AJ164" s="516"/>
      <c r="AK164" s="516"/>
      <c r="AL164" s="516"/>
      <c r="AM164" s="194"/>
    </row>
    <row r="165" spans="1:39" s="88" customFormat="1" outlineLevel="1">
      <c r="A165" s="184" t="str">
        <f t="shared" si="19"/>
        <v>1</v>
      </c>
      <c r="L165" s="491" t="s">
        <v>122</v>
      </c>
      <c r="M165" s="495" t="s">
        <v>340</v>
      </c>
      <c r="N165" s="185" t="s">
        <v>145</v>
      </c>
      <c r="O165" s="518">
        <f t="shared" ref="O165:AL165" si="21">IF(O160=0,0,O164/O160*100)</f>
        <v>0</v>
      </c>
      <c r="P165" s="518">
        <f t="shared" si="21"/>
        <v>0</v>
      </c>
      <c r="Q165" s="518">
        <f t="shared" si="21"/>
        <v>0</v>
      </c>
      <c r="R165" s="518">
        <f t="shared" si="21"/>
        <v>0</v>
      </c>
      <c r="S165" s="518">
        <f t="shared" si="21"/>
        <v>0</v>
      </c>
      <c r="T165" s="518">
        <f t="shared" si="21"/>
        <v>0</v>
      </c>
      <c r="U165" s="518">
        <f t="shared" si="21"/>
        <v>0</v>
      </c>
      <c r="V165" s="518">
        <f t="shared" si="21"/>
        <v>0</v>
      </c>
      <c r="W165" s="518">
        <f t="shared" si="21"/>
        <v>0</v>
      </c>
      <c r="X165" s="518">
        <f t="shared" si="21"/>
        <v>0</v>
      </c>
      <c r="Y165" s="518">
        <f t="shared" si="21"/>
        <v>0</v>
      </c>
      <c r="Z165" s="518">
        <f t="shared" si="21"/>
        <v>0</v>
      </c>
      <c r="AA165" s="518">
        <f t="shared" si="21"/>
        <v>0</v>
      </c>
      <c r="AB165" s="518">
        <f t="shared" si="21"/>
        <v>0</v>
      </c>
      <c r="AC165" s="518">
        <f t="shared" si="21"/>
        <v>0</v>
      </c>
      <c r="AD165" s="518">
        <f t="shared" si="21"/>
        <v>0</v>
      </c>
      <c r="AE165" s="518">
        <f t="shared" si="21"/>
        <v>0</v>
      </c>
      <c r="AF165" s="518">
        <f t="shared" si="21"/>
        <v>0</v>
      </c>
      <c r="AG165" s="518">
        <f t="shared" si="21"/>
        <v>0</v>
      </c>
      <c r="AH165" s="518">
        <f t="shared" si="21"/>
        <v>0</v>
      </c>
      <c r="AI165" s="518">
        <f t="shared" si="21"/>
        <v>0</v>
      </c>
      <c r="AJ165" s="518">
        <f t="shared" si="21"/>
        <v>0</v>
      </c>
      <c r="AK165" s="518">
        <f t="shared" si="21"/>
        <v>0</v>
      </c>
      <c r="AL165" s="518">
        <f t="shared" si="21"/>
        <v>0</v>
      </c>
      <c r="AM165" s="379"/>
    </row>
    <row r="166" spans="1:39" s="88" customFormat="1" outlineLevel="1">
      <c r="A166" s="184" t="str">
        <f>A164</f>
        <v>1</v>
      </c>
      <c r="L166" s="499" t="s">
        <v>124</v>
      </c>
      <c r="M166" s="501" t="s">
        <v>342</v>
      </c>
      <c r="N166" s="148" t="s">
        <v>329</v>
      </c>
      <c r="O166" s="522">
        <f t="shared" ref="O166:AL166" si="22">O167+O168</f>
        <v>0</v>
      </c>
      <c r="P166" s="522">
        <f t="shared" si="22"/>
        <v>0</v>
      </c>
      <c r="Q166" s="522">
        <f t="shared" si="22"/>
        <v>0</v>
      </c>
      <c r="R166" s="522">
        <f t="shared" si="22"/>
        <v>0</v>
      </c>
      <c r="S166" s="522">
        <f t="shared" si="22"/>
        <v>0</v>
      </c>
      <c r="T166" s="522">
        <f t="shared" si="22"/>
        <v>0</v>
      </c>
      <c r="U166" s="522">
        <f t="shared" si="22"/>
        <v>0</v>
      </c>
      <c r="V166" s="522">
        <f t="shared" si="22"/>
        <v>0</v>
      </c>
      <c r="W166" s="522">
        <f t="shared" si="22"/>
        <v>0</v>
      </c>
      <c r="X166" s="522">
        <f t="shared" si="22"/>
        <v>0</v>
      </c>
      <c r="Y166" s="522">
        <f t="shared" si="22"/>
        <v>0</v>
      </c>
      <c r="Z166" s="522">
        <f t="shared" si="22"/>
        <v>0</v>
      </c>
      <c r="AA166" s="522">
        <f t="shared" si="22"/>
        <v>0</v>
      </c>
      <c r="AB166" s="522">
        <f t="shared" si="22"/>
        <v>0</v>
      </c>
      <c r="AC166" s="522">
        <f t="shared" si="22"/>
        <v>0</v>
      </c>
      <c r="AD166" s="522">
        <f t="shared" si="22"/>
        <v>0</v>
      </c>
      <c r="AE166" s="522">
        <f t="shared" si="22"/>
        <v>0</v>
      </c>
      <c r="AF166" s="522">
        <f t="shared" si="22"/>
        <v>0</v>
      </c>
      <c r="AG166" s="522">
        <f t="shared" si="22"/>
        <v>0</v>
      </c>
      <c r="AH166" s="522">
        <f t="shared" si="22"/>
        <v>0</v>
      </c>
      <c r="AI166" s="522">
        <f t="shared" si="22"/>
        <v>0</v>
      </c>
      <c r="AJ166" s="522">
        <f t="shared" si="22"/>
        <v>0</v>
      </c>
      <c r="AK166" s="522">
        <f t="shared" si="22"/>
        <v>0</v>
      </c>
      <c r="AL166" s="522">
        <f t="shared" si="22"/>
        <v>0</v>
      </c>
      <c r="AM166" s="194"/>
    </row>
    <row r="167" spans="1:39" s="88" customFormat="1" outlineLevel="1">
      <c r="A167" s="184" t="str">
        <f t="shared" si="19"/>
        <v>1</v>
      </c>
      <c r="L167" s="499" t="s">
        <v>195</v>
      </c>
      <c r="M167" s="502" t="s">
        <v>343</v>
      </c>
      <c r="N167" s="148" t="s">
        <v>329</v>
      </c>
      <c r="O167" s="516"/>
      <c r="P167" s="516"/>
      <c r="Q167" s="516"/>
      <c r="R167" s="516"/>
      <c r="S167" s="516"/>
      <c r="T167" s="516"/>
      <c r="U167" s="516"/>
      <c r="V167" s="516"/>
      <c r="W167" s="516"/>
      <c r="X167" s="516"/>
      <c r="Y167" s="516"/>
      <c r="Z167" s="516"/>
      <c r="AA167" s="516"/>
      <c r="AB167" s="516"/>
      <c r="AC167" s="516"/>
      <c r="AD167" s="516"/>
      <c r="AE167" s="516"/>
      <c r="AF167" s="516"/>
      <c r="AG167" s="516"/>
      <c r="AH167" s="516"/>
      <c r="AI167" s="516"/>
      <c r="AJ167" s="516"/>
      <c r="AK167" s="516"/>
      <c r="AL167" s="516"/>
      <c r="AM167" s="194"/>
    </row>
    <row r="168" spans="1:39" s="88" customFormat="1" outlineLevel="1">
      <c r="A168" s="184" t="str">
        <f t="shared" si="19"/>
        <v>1</v>
      </c>
      <c r="L168" s="499" t="s">
        <v>196</v>
      </c>
      <c r="M168" s="502" t="s">
        <v>344</v>
      </c>
      <c r="N168" s="148" t="s">
        <v>329</v>
      </c>
      <c r="O168" s="516"/>
      <c r="P168" s="516"/>
      <c r="Q168" s="516"/>
      <c r="R168" s="516"/>
      <c r="S168" s="516"/>
      <c r="T168" s="516"/>
      <c r="U168" s="516"/>
      <c r="V168" s="516"/>
      <c r="W168" s="516"/>
      <c r="X168" s="516"/>
      <c r="Y168" s="516"/>
      <c r="Z168" s="516"/>
      <c r="AA168" s="516"/>
      <c r="AB168" s="516"/>
      <c r="AC168" s="516"/>
      <c r="AD168" s="516"/>
      <c r="AE168" s="516"/>
      <c r="AF168" s="516"/>
      <c r="AG168" s="516"/>
      <c r="AH168" s="516"/>
      <c r="AI168" s="516"/>
      <c r="AJ168" s="516"/>
      <c r="AK168" s="516"/>
      <c r="AL168" s="516"/>
      <c r="AM168" s="194"/>
    </row>
    <row r="169" spans="1:39" s="88" customFormat="1" outlineLevel="1">
      <c r="A169" s="184" t="str">
        <f t="shared" si="19"/>
        <v>1</v>
      </c>
      <c r="L169" s="499" t="s">
        <v>125</v>
      </c>
      <c r="M169" s="501" t="s">
        <v>346</v>
      </c>
      <c r="N169" s="148" t="s">
        <v>329</v>
      </c>
      <c r="O169" s="522">
        <f t="shared" ref="O169:AL169" si="23">O170+O171</f>
        <v>0</v>
      </c>
      <c r="P169" s="522">
        <f t="shared" si="23"/>
        <v>0</v>
      </c>
      <c r="Q169" s="522">
        <f t="shared" si="23"/>
        <v>0</v>
      </c>
      <c r="R169" s="522">
        <f t="shared" si="23"/>
        <v>0</v>
      </c>
      <c r="S169" s="522">
        <f t="shared" si="23"/>
        <v>0</v>
      </c>
      <c r="T169" s="522">
        <f t="shared" si="23"/>
        <v>0</v>
      </c>
      <c r="U169" s="522">
        <f t="shared" si="23"/>
        <v>0</v>
      </c>
      <c r="V169" s="522">
        <f t="shared" si="23"/>
        <v>0</v>
      </c>
      <c r="W169" s="522">
        <f t="shared" si="23"/>
        <v>0</v>
      </c>
      <c r="X169" s="522">
        <f t="shared" si="23"/>
        <v>0</v>
      </c>
      <c r="Y169" s="522">
        <f t="shared" si="23"/>
        <v>0</v>
      </c>
      <c r="Z169" s="522">
        <f t="shared" si="23"/>
        <v>0</v>
      </c>
      <c r="AA169" s="522">
        <f t="shared" si="23"/>
        <v>0</v>
      </c>
      <c r="AB169" s="522">
        <f t="shared" si="23"/>
        <v>0</v>
      </c>
      <c r="AC169" s="522">
        <f t="shared" si="23"/>
        <v>0</v>
      </c>
      <c r="AD169" s="522">
        <f t="shared" si="23"/>
        <v>0</v>
      </c>
      <c r="AE169" s="522">
        <f t="shared" si="23"/>
        <v>0</v>
      </c>
      <c r="AF169" s="522">
        <f t="shared" si="23"/>
        <v>0</v>
      </c>
      <c r="AG169" s="522">
        <f t="shared" si="23"/>
        <v>0</v>
      </c>
      <c r="AH169" s="522">
        <f t="shared" si="23"/>
        <v>0</v>
      </c>
      <c r="AI169" s="522">
        <f t="shared" si="23"/>
        <v>0</v>
      </c>
      <c r="AJ169" s="522">
        <f t="shared" si="23"/>
        <v>0</v>
      </c>
      <c r="AK169" s="522">
        <f t="shared" si="23"/>
        <v>0</v>
      </c>
      <c r="AL169" s="522">
        <f t="shared" si="23"/>
        <v>0</v>
      </c>
      <c r="AM169" s="194"/>
    </row>
    <row r="170" spans="1:39" s="88" customFormat="1" outlineLevel="1">
      <c r="A170" s="184" t="str">
        <f t="shared" si="19"/>
        <v>1</v>
      </c>
      <c r="L170" s="499" t="s">
        <v>197</v>
      </c>
      <c r="M170" s="502" t="s">
        <v>347</v>
      </c>
      <c r="N170" s="148" t="s">
        <v>329</v>
      </c>
      <c r="O170" s="516"/>
      <c r="P170" s="516"/>
      <c r="Q170" s="516"/>
      <c r="R170" s="516"/>
      <c r="S170" s="516"/>
      <c r="T170" s="516"/>
      <c r="U170" s="516"/>
      <c r="V170" s="516"/>
      <c r="W170" s="516"/>
      <c r="X170" s="516"/>
      <c r="Y170" s="516"/>
      <c r="Z170" s="516"/>
      <c r="AA170" s="516"/>
      <c r="AB170" s="516"/>
      <c r="AC170" s="516"/>
      <c r="AD170" s="516"/>
      <c r="AE170" s="516"/>
      <c r="AF170" s="516"/>
      <c r="AG170" s="516"/>
      <c r="AH170" s="516"/>
      <c r="AI170" s="516"/>
      <c r="AJ170" s="516"/>
      <c r="AK170" s="516"/>
      <c r="AL170" s="516"/>
      <c r="AM170" s="194"/>
    </row>
    <row r="171" spans="1:39" s="88" customFormat="1" outlineLevel="1">
      <c r="A171" s="184" t="str">
        <f t="shared" si="19"/>
        <v>1</v>
      </c>
      <c r="L171" s="499" t="s">
        <v>198</v>
      </c>
      <c r="M171" s="502" t="s">
        <v>348</v>
      </c>
      <c r="N171" s="148" t="s">
        <v>329</v>
      </c>
      <c r="O171" s="516"/>
      <c r="P171" s="516"/>
      <c r="Q171" s="516"/>
      <c r="R171" s="516"/>
      <c r="S171" s="516"/>
      <c r="T171" s="516"/>
      <c r="U171" s="516"/>
      <c r="V171" s="516"/>
      <c r="W171" s="516"/>
      <c r="X171" s="516"/>
      <c r="Y171" s="516"/>
      <c r="Z171" s="516"/>
      <c r="AA171" s="516"/>
      <c r="AB171" s="516"/>
      <c r="AC171" s="516"/>
      <c r="AD171" s="516"/>
      <c r="AE171" s="516"/>
      <c r="AF171" s="516"/>
      <c r="AG171" s="516"/>
      <c r="AH171" s="516"/>
      <c r="AI171" s="516"/>
      <c r="AJ171" s="516"/>
      <c r="AK171" s="516"/>
      <c r="AL171" s="516"/>
      <c r="AM171" s="194"/>
    </row>
    <row r="172" spans="1:39" s="88" customFormat="1" outlineLevel="1">
      <c r="A172" s="184" t="str">
        <f t="shared" si="19"/>
        <v>1</v>
      </c>
      <c r="L172" s="499" t="s">
        <v>126</v>
      </c>
      <c r="M172" s="503" t="s">
        <v>1150</v>
      </c>
      <c r="N172" s="148" t="s">
        <v>329</v>
      </c>
      <c r="O172" s="516"/>
      <c r="P172" s="516"/>
      <c r="Q172" s="516"/>
      <c r="R172" s="516"/>
      <c r="S172" s="516"/>
      <c r="T172" s="516"/>
      <c r="U172" s="516"/>
      <c r="V172" s="516"/>
      <c r="W172" s="516"/>
      <c r="X172" s="516"/>
      <c r="Y172" s="516"/>
      <c r="Z172" s="516"/>
      <c r="AA172" s="516"/>
      <c r="AB172" s="516"/>
      <c r="AC172" s="516"/>
      <c r="AD172" s="516"/>
      <c r="AE172" s="516"/>
      <c r="AF172" s="516"/>
      <c r="AG172" s="516"/>
      <c r="AH172" s="516"/>
      <c r="AI172" s="516"/>
      <c r="AJ172" s="516"/>
      <c r="AK172" s="516"/>
      <c r="AL172" s="516"/>
      <c r="AM172" s="194"/>
    </row>
    <row r="173" spans="1:39" s="188" customFormat="1">
      <c r="A173" s="187" t="s">
        <v>1052</v>
      </c>
      <c r="M173" s="3"/>
      <c r="N173" s="3"/>
      <c r="O173" s="519"/>
      <c r="P173" s="519"/>
      <c r="Q173" s="519"/>
      <c r="R173" s="519"/>
      <c r="S173" s="519"/>
      <c r="T173" s="520"/>
      <c r="U173" s="519"/>
      <c r="V173" s="519"/>
      <c r="W173" s="519"/>
      <c r="X173" s="519"/>
      <c r="Y173" s="519"/>
      <c r="Z173" s="519"/>
      <c r="AA173" s="519"/>
      <c r="AB173" s="519"/>
      <c r="AC173" s="519"/>
      <c r="AD173" s="519"/>
      <c r="AE173" s="519"/>
      <c r="AF173" s="519"/>
      <c r="AG173" s="519"/>
      <c r="AH173" s="519"/>
      <c r="AI173" s="519"/>
      <c r="AJ173" s="519"/>
      <c r="AK173" s="519"/>
      <c r="AL173" s="519"/>
    </row>
    <row r="174" spans="1:39" s="88" customFormat="1">
      <c r="A174" s="183" t="s">
        <v>18</v>
      </c>
      <c r="L174" s="162" t="str">
        <f>INDEX('Общие сведения'!$J$113:$J$146,MATCH($A174,'Общие сведения'!$D$113:$D$146,0))</f>
        <v>Тариф 1 (Водоснабжение) - тариф на техническую воду (нет)</v>
      </c>
      <c r="M174" s="158"/>
      <c r="N174" s="158"/>
      <c r="O174" s="521"/>
      <c r="P174" s="521"/>
      <c r="Q174" s="521"/>
      <c r="R174" s="521"/>
      <c r="S174" s="521"/>
      <c r="T174" s="521"/>
      <c r="U174" s="521"/>
      <c r="V174" s="521"/>
      <c r="W174" s="521"/>
      <c r="X174" s="521"/>
      <c r="Y174" s="521"/>
      <c r="Z174" s="521"/>
      <c r="AA174" s="521"/>
      <c r="AB174" s="521"/>
      <c r="AC174" s="521"/>
      <c r="AD174" s="521"/>
      <c r="AE174" s="521"/>
      <c r="AF174" s="521"/>
      <c r="AG174" s="521"/>
      <c r="AH174" s="521"/>
      <c r="AI174" s="521"/>
      <c r="AJ174" s="521"/>
      <c r="AK174" s="521"/>
      <c r="AL174" s="521"/>
      <c r="AM174" s="158"/>
    </row>
    <row r="175" spans="1:39" s="88" customFormat="1" outlineLevel="1">
      <c r="A175" s="184" t="str">
        <f t="shared" ref="A175:A199" si="24">A174</f>
        <v>1</v>
      </c>
      <c r="L175" s="499" t="s">
        <v>18</v>
      </c>
      <c r="M175" s="505" t="s">
        <v>355</v>
      </c>
      <c r="N175" s="186"/>
      <c r="O175" s="545" t="str">
        <f>INDEX('Общие сведения'!$K$113:$K$146,MATCH($A175,'Общие сведения'!$D$113:$D$146,0))</f>
        <v>техническая вода</v>
      </c>
      <c r="P175" s="546"/>
      <c r="Q175" s="546"/>
      <c r="R175" s="546"/>
      <c r="S175" s="546"/>
      <c r="T175" s="546"/>
      <c r="U175" s="546"/>
      <c r="V175" s="546"/>
      <c r="W175" s="546"/>
      <c r="X175" s="546"/>
      <c r="Y175" s="546"/>
      <c r="Z175" s="546"/>
      <c r="AA175" s="546"/>
      <c r="AB175" s="546"/>
      <c r="AC175" s="546"/>
      <c r="AD175" s="546"/>
      <c r="AE175" s="546"/>
      <c r="AF175" s="546"/>
      <c r="AG175" s="546"/>
      <c r="AH175" s="546"/>
      <c r="AI175" s="546"/>
      <c r="AJ175" s="546"/>
      <c r="AK175" s="546"/>
      <c r="AL175" s="547"/>
      <c r="AM175" s="194"/>
    </row>
    <row r="176" spans="1:39" s="88" customFormat="1" outlineLevel="1">
      <c r="A176" s="184" t="str">
        <f t="shared" si="24"/>
        <v>1</v>
      </c>
      <c r="L176" s="499" t="s">
        <v>102</v>
      </c>
      <c r="M176" s="504" t="s">
        <v>325</v>
      </c>
      <c r="N176" s="150" t="s">
        <v>326</v>
      </c>
      <c r="O176" s="516"/>
      <c r="P176" s="516"/>
      <c r="Q176" s="516"/>
      <c r="R176" s="516"/>
      <c r="S176" s="516"/>
      <c r="T176" s="516"/>
      <c r="U176" s="516"/>
      <c r="V176" s="516"/>
      <c r="W176" s="516"/>
      <c r="X176" s="516"/>
      <c r="Y176" s="516"/>
      <c r="Z176" s="516"/>
      <c r="AA176" s="516"/>
      <c r="AB176" s="516"/>
      <c r="AC176" s="516"/>
      <c r="AD176" s="516"/>
      <c r="AE176" s="516"/>
      <c r="AF176" s="516"/>
      <c r="AG176" s="516"/>
      <c r="AH176" s="516"/>
      <c r="AI176" s="516"/>
      <c r="AJ176" s="516"/>
      <c r="AK176" s="516"/>
      <c r="AL176" s="516"/>
      <c r="AM176" s="194"/>
    </row>
    <row r="177" spans="1:39" s="88" customFormat="1" outlineLevel="1">
      <c r="A177" s="184" t="str">
        <f t="shared" si="24"/>
        <v>1</v>
      </c>
      <c r="L177" s="499" t="s">
        <v>103</v>
      </c>
      <c r="M177" s="504" t="s">
        <v>327</v>
      </c>
      <c r="N177" s="150" t="s">
        <v>326</v>
      </c>
      <c r="O177" s="516"/>
      <c r="P177" s="516"/>
      <c r="Q177" s="516"/>
      <c r="R177" s="516"/>
      <c r="S177" s="516"/>
      <c r="T177" s="516"/>
      <c r="U177" s="516"/>
      <c r="V177" s="516"/>
      <c r="W177" s="516"/>
      <c r="X177" s="516"/>
      <c r="Y177" s="516"/>
      <c r="Z177" s="516"/>
      <c r="AA177" s="516"/>
      <c r="AB177" s="516"/>
      <c r="AC177" s="516"/>
      <c r="AD177" s="516"/>
      <c r="AE177" s="516"/>
      <c r="AF177" s="516"/>
      <c r="AG177" s="516"/>
      <c r="AH177" s="516"/>
      <c r="AI177" s="516"/>
      <c r="AJ177" s="516"/>
      <c r="AK177" s="516"/>
      <c r="AL177" s="516"/>
      <c r="AM177" s="194"/>
    </row>
    <row r="178" spans="1:39" s="88" customFormat="1" outlineLevel="1">
      <c r="A178" s="184" t="str">
        <f t="shared" si="24"/>
        <v>1</v>
      </c>
      <c r="L178" s="499" t="s">
        <v>104</v>
      </c>
      <c r="M178" s="505" t="s">
        <v>356</v>
      </c>
      <c r="N178" s="148" t="s">
        <v>329</v>
      </c>
      <c r="O178" s="523">
        <f>O179+O180+O193</f>
        <v>0</v>
      </c>
      <c r="P178" s="523">
        <f t="shared" ref="P178:AL178" si="25">P179+P180+P193</f>
        <v>0</v>
      </c>
      <c r="Q178" s="523">
        <f t="shared" si="25"/>
        <v>0</v>
      </c>
      <c r="R178" s="523">
        <f t="shared" si="25"/>
        <v>0</v>
      </c>
      <c r="S178" s="523">
        <f t="shared" si="25"/>
        <v>0</v>
      </c>
      <c r="T178" s="523">
        <f t="shared" si="25"/>
        <v>0</v>
      </c>
      <c r="U178" s="523">
        <f t="shared" si="25"/>
        <v>0</v>
      </c>
      <c r="V178" s="523">
        <f t="shared" si="25"/>
        <v>0</v>
      </c>
      <c r="W178" s="523">
        <f t="shared" si="25"/>
        <v>0</v>
      </c>
      <c r="X178" s="523">
        <f t="shared" si="25"/>
        <v>0</v>
      </c>
      <c r="Y178" s="523">
        <f t="shared" si="25"/>
        <v>0</v>
      </c>
      <c r="Z178" s="523">
        <f t="shared" si="25"/>
        <v>0</v>
      </c>
      <c r="AA178" s="523">
        <f t="shared" si="25"/>
        <v>0</v>
      </c>
      <c r="AB178" s="523">
        <f t="shared" si="25"/>
        <v>0</v>
      </c>
      <c r="AC178" s="523">
        <f t="shared" si="25"/>
        <v>0</v>
      </c>
      <c r="AD178" s="523">
        <f t="shared" si="25"/>
        <v>0</v>
      </c>
      <c r="AE178" s="523">
        <f t="shared" si="25"/>
        <v>0</v>
      </c>
      <c r="AF178" s="523">
        <f t="shared" si="25"/>
        <v>0</v>
      </c>
      <c r="AG178" s="523">
        <f t="shared" si="25"/>
        <v>0</v>
      </c>
      <c r="AH178" s="523">
        <f t="shared" si="25"/>
        <v>0</v>
      </c>
      <c r="AI178" s="523">
        <f t="shared" si="25"/>
        <v>0</v>
      </c>
      <c r="AJ178" s="523">
        <f t="shared" si="25"/>
        <v>0</v>
      </c>
      <c r="AK178" s="523">
        <f t="shared" si="25"/>
        <v>0</v>
      </c>
      <c r="AL178" s="523">
        <f t="shared" si="25"/>
        <v>0</v>
      </c>
      <c r="AM178" s="194"/>
    </row>
    <row r="179" spans="1:39" s="88" customFormat="1" outlineLevel="1">
      <c r="A179" s="184" t="str">
        <f t="shared" si="24"/>
        <v>1</v>
      </c>
      <c r="L179" s="499" t="s">
        <v>120</v>
      </c>
      <c r="M179" s="505" t="s">
        <v>357</v>
      </c>
      <c r="N179" s="148" t="s">
        <v>329</v>
      </c>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194"/>
    </row>
    <row r="180" spans="1:39" s="88" customFormat="1" outlineLevel="1">
      <c r="A180" s="184" t="str">
        <f t="shared" si="24"/>
        <v>1</v>
      </c>
      <c r="B180" s="88" t="s">
        <v>1165</v>
      </c>
      <c r="L180" s="499" t="s">
        <v>124</v>
      </c>
      <c r="M180" s="79" t="s">
        <v>358</v>
      </c>
      <c r="N180" s="148" t="s">
        <v>329</v>
      </c>
      <c r="O180" s="522">
        <f>O181+O184+O187+O190</f>
        <v>0</v>
      </c>
      <c r="P180" s="522">
        <f t="shared" ref="P180:AL180" si="26">P181+P184+P187+P190</f>
        <v>0</v>
      </c>
      <c r="Q180" s="522">
        <f t="shared" si="26"/>
        <v>0</v>
      </c>
      <c r="R180" s="522">
        <f t="shared" si="26"/>
        <v>0</v>
      </c>
      <c r="S180" s="522">
        <f t="shared" si="26"/>
        <v>0</v>
      </c>
      <c r="T180" s="522">
        <f t="shared" si="26"/>
        <v>0</v>
      </c>
      <c r="U180" s="522">
        <f t="shared" si="26"/>
        <v>0</v>
      </c>
      <c r="V180" s="522">
        <f t="shared" si="26"/>
        <v>0</v>
      </c>
      <c r="W180" s="522">
        <f t="shared" si="26"/>
        <v>0</v>
      </c>
      <c r="X180" s="522">
        <f t="shared" si="26"/>
        <v>0</v>
      </c>
      <c r="Y180" s="522">
        <f t="shared" si="26"/>
        <v>0</v>
      </c>
      <c r="Z180" s="522">
        <f t="shared" si="26"/>
        <v>0</v>
      </c>
      <c r="AA180" s="522">
        <f t="shared" si="26"/>
        <v>0</v>
      </c>
      <c r="AB180" s="522">
        <f t="shared" si="26"/>
        <v>0</v>
      </c>
      <c r="AC180" s="522">
        <f t="shared" si="26"/>
        <v>0</v>
      </c>
      <c r="AD180" s="522">
        <f t="shared" si="26"/>
        <v>0</v>
      </c>
      <c r="AE180" s="522">
        <f t="shared" si="26"/>
        <v>0</v>
      </c>
      <c r="AF180" s="522">
        <f t="shared" si="26"/>
        <v>0</v>
      </c>
      <c r="AG180" s="522">
        <f t="shared" si="26"/>
        <v>0</v>
      </c>
      <c r="AH180" s="522">
        <f t="shared" si="26"/>
        <v>0</v>
      </c>
      <c r="AI180" s="522">
        <f t="shared" si="26"/>
        <v>0</v>
      </c>
      <c r="AJ180" s="522">
        <f t="shared" si="26"/>
        <v>0</v>
      </c>
      <c r="AK180" s="522">
        <f t="shared" si="26"/>
        <v>0</v>
      </c>
      <c r="AL180" s="522">
        <f t="shared" si="26"/>
        <v>0</v>
      </c>
      <c r="AM180" s="194"/>
    </row>
    <row r="181" spans="1:39" s="88" customFormat="1" outlineLevel="1">
      <c r="A181" s="184" t="str">
        <f t="shared" si="24"/>
        <v>1</v>
      </c>
      <c r="L181" s="499" t="s">
        <v>195</v>
      </c>
      <c r="M181" s="178" t="s">
        <v>349</v>
      </c>
      <c r="N181" s="148" t="s">
        <v>329</v>
      </c>
      <c r="O181" s="522">
        <f t="shared" ref="O181:AL181" si="27">O182+O183</f>
        <v>0</v>
      </c>
      <c r="P181" s="522">
        <f t="shared" si="27"/>
        <v>0</v>
      </c>
      <c r="Q181" s="522">
        <f t="shared" si="27"/>
        <v>0</v>
      </c>
      <c r="R181" s="522">
        <f t="shared" si="27"/>
        <v>0</v>
      </c>
      <c r="S181" s="522">
        <f t="shared" si="27"/>
        <v>0</v>
      </c>
      <c r="T181" s="522">
        <f t="shared" si="27"/>
        <v>0</v>
      </c>
      <c r="U181" s="522">
        <f t="shared" si="27"/>
        <v>0</v>
      </c>
      <c r="V181" s="522">
        <f t="shared" si="27"/>
        <v>0</v>
      </c>
      <c r="W181" s="522">
        <f t="shared" si="27"/>
        <v>0</v>
      </c>
      <c r="X181" s="522">
        <f t="shared" si="27"/>
        <v>0</v>
      </c>
      <c r="Y181" s="522">
        <f t="shared" si="27"/>
        <v>0</v>
      </c>
      <c r="Z181" s="522">
        <f t="shared" si="27"/>
        <v>0</v>
      </c>
      <c r="AA181" s="522">
        <f t="shared" si="27"/>
        <v>0</v>
      </c>
      <c r="AB181" s="522">
        <f t="shared" si="27"/>
        <v>0</v>
      </c>
      <c r="AC181" s="522">
        <f t="shared" si="27"/>
        <v>0</v>
      </c>
      <c r="AD181" s="522">
        <f t="shared" si="27"/>
        <v>0</v>
      </c>
      <c r="AE181" s="522">
        <f t="shared" si="27"/>
        <v>0</v>
      </c>
      <c r="AF181" s="522">
        <f t="shared" si="27"/>
        <v>0</v>
      </c>
      <c r="AG181" s="522">
        <f t="shared" si="27"/>
        <v>0</v>
      </c>
      <c r="AH181" s="522">
        <f t="shared" si="27"/>
        <v>0</v>
      </c>
      <c r="AI181" s="522">
        <f t="shared" si="27"/>
        <v>0</v>
      </c>
      <c r="AJ181" s="522">
        <f t="shared" si="27"/>
        <v>0</v>
      </c>
      <c r="AK181" s="522">
        <f t="shared" si="27"/>
        <v>0</v>
      </c>
      <c r="AL181" s="522">
        <f t="shared" si="27"/>
        <v>0</v>
      </c>
      <c r="AM181" s="194"/>
    </row>
    <row r="182" spans="1:39" s="88" customFormat="1" outlineLevel="1">
      <c r="A182" s="184" t="str">
        <f t="shared" si="24"/>
        <v>1</v>
      </c>
      <c r="L182" s="499" t="s">
        <v>1318</v>
      </c>
      <c r="M182" s="506" t="s">
        <v>347</v>
      </c>
      <c r="N182" s="148" t="s">
        <v>329</v>
      </c>
      <c r="O182" s="516"/>
      <c r="P182" s="516"/>
      <c r="Q182" s="516"/>
      <c r="R182" s="516"/>
      <c r="S182" s="516"/>
      <c r="T182" s="516"/>
      <c r="U182" s="516"/>
      <c r="V182" s="516"/>
      <c r="W182" s="516"/>
      <c r="X182" s="516"/>
      <c r="Y182" s="516"/>
      <c r="Z182" s="516"/>
      <c r="AA182" s="516"/>
      <c r="AB182" s="516"/>
      <c r="AC182" s="516"/>
      <c r="AD182" s="516"/>
      <c r="AE182" s="516"/>
      <c r="AF182" s="516"/>
      <c r="AG182" s="516"/>
      <c r="AH182" s="516"/>
      <c r="AI182" s="516"/>
      <c r="AJ182" s="516"/>
      <c r="AK182" s="516"/>
      <c r="AL182" s="516"/>
      <c r="AM182" s="194"/>
    </row>
    <row r="183" spans="1:39" s="88" customFormat="1" outlineLevel="1">
      <c r="A183" s="184" t="str">
        <f t="shared" si="24"/>
        <v>1</v>
      </c>
      <c r="L183" s="499" t="s">
        <v>1319</v>
      </c>
      <c r="M183" s="506" t="s">
        <v>348</v>
      </c>
      <c r="N183" s="148" t="s">
        <v>329</v>
      </c>
      <c r="O183" s="516"/>
      <c r="P183" s="516"/>
      <c r="Q183" s="516"/>
      <c r="R183" s="516"/>
      <c r="S183" s="516"/>
      <c r="T183" s="516"/>
      <c r="U183" s="516"/>
      <c r="V183" s="516"/>
      <c r="W183" s="516"/>
      <c r="X183" s="516"/>
      <c r="Y183" s="516"/>
      <c r="Z183" s="516"/>
      <c r="AA183" s="516"/>
      <c r="AB183" s="516"/>
      <c r="AC183" s="516"/>
      <c r="AD183" s="516"/>
      <c r="AE183" s="516"/>
      <c r="AF183" s="516"/>
      <c r="AG183" s="516"/>
      <c r="AH183" s="516"/>
      <c r="AI183" s="516"/>
      <c r="AJ183" s="516"/>
      <c r="AK183" s="516"/>
      <c r="AL183" s="516"/>
      <c r="AM183" s="194"/>
    </row>
    <row r="184" spans="1:39" s="88" customFormat="1" outlineLevel="1">
      <c r="A184" s="184" t="str">
        <f t="shared" si="24"/>
        <v>1</v>
      </c>
      <c r="B184" s="88" t="s">
        <v>1166</v>
      </c>
      <c r="L184" s="499" t="s">
        <v>196</v>
      </c>
      <c r="M184" s="178" t="s">
        <v>350</v>
      </c>
      <c r="N184" s="148" t="s">
        <v>329</v>
      </c>
      <c r="O184" s="522">
        <f t="shared" ref="O184:AL184" si="28">O185+O186</f>
        <v>0</v>
      </c>
      <c r="P184" s="522">
        <f t="shared" si="28"/>
        <v>0</v>
      </c>
      <c r="Q184" s="522">
        <f t="shared" si="28"/>
        <v>0</v>
      </c>
      <c r="R184" s="522">
        <f t="shared" si="28"/>
        <v>0</v>
      </c>
      <c r="S184" s="522">
        <f t="shared" si="28"/>
        <v>0</v>
      </c>
      <c r="T184" s="522">
        <f t="shared" si="28"/>
        <v>0</v>
      </c>
      <c r="U184" s="522">
        <f t="shared" si="28"/>
        <v>0</v>
      </c>
      <c r="V184" s="522">
        <f t="shared" si="28"/>
        <v>0</v>
      </c>
      <c r="W184" s="522">
        <f t="shared" si="28"/>
        <v>0</v>
      </c>
      <c r="X184" s="522">
        <f t="shared" si="28"/>
        <v>0</v>
      </c>
      <c r="Y184" s="522">
        <f t="shared" si="28"/>
        <v>0</v>
      </c>
      <c r="Z184" s="522">
        <f t="shared" si="28"/>
        <v>0</v>
      </c>
      <c r="AA184" s="522">
        <f t="shared" si="28"/>
        <v>0</v>
      </c>
      <c r="AB184" s="522">
        <f t="shared" si="28"/>
        <v>0</v>
      </c>
      <c r="AC184" s="522">
        <f t="shared" si="28"/>
        <v>0</v>
      </c>
      <c r="AD184" s="522">
        <f t="shared" si="28"/>
        <v>0</v>
      </c>
      <c r="AE184" s="522">
        <f t="shared" si="28"/>
        <v>0</v>
      </c>
      <c r="AF184" s="522">
        <f t="shared" si="28"/>
        <v>0</v>
      </c>
      <c r="AG184" s="522">
        <f t="shared" si="28"/>
        <v>0</v>
      </c>
      <c r="AH184" s="522">
        <f t="shared" si="28"/>
        <v>0</v>
      </c>
      <c r="AI184" s="522">
        <f t="shared" si="28"/>
        <v>0</v>
      </c>
      <c r="AJ184" s="522">
        <f t="shared" si="28"/>
        <v>0</v>
      </c>
      <c r="AK184" s="522">
        <f t="shared" si="28"/>
        <v>0</v>
      </c>
      <c r="AL184" s="522">
        <f t="shared" si="28"/>
        <v>0</v>
      </c>
      <c r="AM184" s="194"/>
    </row>
    <row r="185" spans="1:39" s="88" customFormat="1" outlineLevel="1">
      <c r="A185" s="184" t="str">
        <f t="shared" si="24"/>
        <v>1</v>
      </c>
      <c r="L185" s="499" t="s">
        <v>1320</v>
      </c>
      <c r="M185" s="506" t="s">
        <v>347</v>
      </c>
      <c r="N185" s="148" t="s">
        <v>329</v>
      </c>
      <c r="O185" s="516"/>
      <c r="P185" s="516"/>
      <c r="Q185" s="516"/>
      <c r="R185" s="516"/>
      <c r="S185" s="516"/>
      <c r="T185" s="516"/>
      <c r="U185" s="516"/>
      <c r="V185" s="516"/>
      <c r="W185" s="516"/>
      <c r="X185" s="516"/>
      <c r="Y185" s="516"/>
      <c r="Z185" s="516"/>
      <c r="AA185" s="516"/>
      <c r="AB185" s="516"/>
      <c r="AC185" s="516"/>
      <c r="AD185" s="516"/>
      <c r="AE185" s="516"/>
      <c r="AF185" s="516"/>
      <c r="AG185" s="516"/>
      <c r="AH185" s="516"/>
      <c r="AI185" s="516"/>
      <c r="AJ185" s="516"/>
      <c r="AK185" s="516"/>
      <c r="AL185" s="516"/>
      <c r="AM185" s="194"/>
    </row>
    <row r="186" spans="1:39" s="88" customFormat="1" outlineLevel="1">
      <c r="A186" s="184" t="str">
        <f t="shared" si="24"/>
        <v>1</v>
      </c>
      <c r="L186" s="499" t="s">
        <v>1321</v>
      </c>
      <c r="M186" s="506" t="s">
        <v>348</v>
      </c>
      <c r="N186" s="148" t="s">
        <v>329</v>
      </c>
      <c r="O186" s="516"/>
      <c r="P186" s="516"/>
      <c r="Q186" s="516"/>
      <c r="R186" s="516"/>
      <c r="S186" s="516"/>
      <c r="T186" s="516"/>
      <c r="U186" s="516"/>
      <c r="V186" s="516"/>
      <c r="W186" s="516"/>
      <c r="X186" s="516"/>
      <c r="Y186" s="516"/>
      <c r="Z186" s="516"/>
      <c r="AA186" s="516"/>
      <c r="AB186" s="516"/>
      <c r="AC186" s="516"/>
      <c r="AD186" s="516"/>
      <c r="AE186" s="516"/>
      <c r="AF186" s="516"/>
      <c r="AG186" s="516"/>
      <c r="AH186" s="516"/>
      <c r="AI186" s="516"/>
      <c r="AJ186" s="516"/>
      <c r="AK186" s="516"/>
      <c r="AL186" s="516"/>
      <c r="AM186" s="194"/>
    </row>
    <row r="187" spans="1:39" s="88" customFormat="1" outlineLevel="1">
      <c r="A187" s="184" t="str">
        <f t="shared" si="24"/>
        <v>1</v>
      </c>
      <c r="L187" s="499" t="s">
        <v>400</v>
      </c>
      <c r="M187" s="178" t="s">
        <v>351</v>
      </c>
      <c r="N187" s="148" t="s">
        <v>329</v>
      </c>
      <c r="O187" s="522">
        <f t="shared" ref="O187:AL187" si="29">O188+O189</f>
        <v>0</v>
      </c>
      <c r="P187" s="522">
        <f t="shared" si="29"/>
        <v>0</v>
      </c>
      <c r="Q187" s="522">
        <f t="shared" si="29"/>
        <v>0</v>
      </c>
      <c r="R187" s="522">
        <f t="shared" si="29"/>
        <v>0</v>
      </c>
      <c r="S187" s="522">
        <f t="shared" si="29"/>
        <v>0</v>
      </c>
      <c r="T187" s="522">
        <f t="shared" si="29"/>
        <v>0</v>
      </c>
      <c r="U187" s="522">
        <f t="shared" si="29"/>
        <v>0</v>
      </c>
      <c r="V187" s="522">
        <f t="shared" si="29"/>
        <v>0</v>
      </c>
      <c r="W187" s="522">
        <f t="shared" si="29"/>
        <v>0</v>
      </c>
      <c r="X187" s="522">
        <f t="shared" si="29"/>
        <v>0</v>
      </c>
      <c r="Y187" s="522">
        <f t="shared" si="29"/>
        <v>0</v>
      </c>
      <c r="Z187" s="522">
        <f t="shared" si="29"/>
        <v>0</v>
      </c>
      <c r="AA187" s="522">
        <f t="shared" si="29"/>
        <v>0</v>
      </c>
      <c r="AB187" s="522">
        <f t="shared" si="29"/>
        <v>0</v>
      </c>
      <c r="AC187" s="522">
        <f t="shared" si="29"/>
        <v>0</v>
      </c>
      <c r="AD187" s="522">
        <f t="shared" si="29"/>
        <v>0</v>
      </c>
      <c r="AE187" s="522">
        <f t="shared" si="29"/>
        <v>0</v>
      </c>
      <c r="AF187" s="522">
        <f t="shared" si="29"/>
        <v>0</v>
      </c>
      <c r="AG187" s="522">
        <f t="shared" si="29"/>
        <v>0</v>
      </c>
      <c r="AH187" s="522">
        <f t="shared" si="29"/>
        <v>0</v>
      </c>
      <c r="AI187" s="522">
        <f t="shared" si="29"/>
        <v>0</v>
      </c>
      <c r="AJ187" s="522">
        <f t="shared" si="29"/>
        <v>0</v>
      </c>
      <c r="AK187" s="522">
        <f t="shared" si="29"/>
        <v>0</v>
      </c>
      <c r="AL187" s="522">
        <f t="shared" si="29"/>
        <v>0</v>
      </c>
      <c r="AM187" s="194"/>
    </row>
    <row r="188" spans="1:39" s="88" customFormat="1" outlineLevel="1">
      <c r="A188" s="184" t="str">
        <f t="shared" si="24"/>
        <v>1</v>
      </c>
      <c r="L188" s="499" t="s">
        <v>1322</v>
      </c>
      <c r="M188" s="506" t="s">
        <v>347</v>
      </c>
      <c r="N188" s="148" t="s">
        <v>329</v>
      </c>
      <c r="O188" s="516"/>
      <c r="P188" s="516"/>
      <c r="Q188" s="516"/>
      <c r="R188" s="516"/>
      <c r="S188" s="516"/>
      <c r="T188" s="516"/>
      <c r="U188" s="516"/>
      <c r="V188" s="516"/>
      <c r="W188" s="516"/>
      <c r="X188" s="516"/>
      <c r="Y188" s="516"/>
      <c r="Z188" s="516"/>
      <c r="AA188" s="516"/>
      <c r="AB188" s="516"/>
      <c r="AC188" s="516"/>
      <c r="AD188" s="516"/>
      <c r="AE188" s="516"/>
      <c r="AF188" s="516"/>
      <c r="AG188" s="516"/>
      <c r="AH188" s="516"/>
      <c r="AI188" s="516"/>
      <c r="AJ188" s="516"/>
      <c r="AK188" s="516"/>
      <c r="AL188" s="516"/>
      <c r="AM188" s="194"/>
    </row>
    <row r="189" spans="1:39" s="88" customFormat="1" outlineLevel="1">
      <c r="A189" s="184" t="str">
        <f t="shared" si="24"/>
        <v>1</v>
      </c>
      <c r="L189" s="499" t="s">
        <v>1323</v>
      </c>
      <c r="M189" s="506" t="s">
        <v>348</v>
      </c>
      <c r="N189" s="148" t="s">
        <v>329</v>
      </c>
      <c r="O189" s="516"/>
      <c r="P189" s="516"/>
      <c r="Q189" s="516"/>
      <c r="R189" s="516"/>
      <c r="S189" s="516"/>
      <c r="T189" s="516"/>
      <c r="U189" s="516"/>
      <c r="V189" s="516"/>
      <c r="W189" s="516"/>
      <c r="X189" s="516"/>
      <c r="Y189" s="516"/>
      <c r="Z189" s="516"/>
      <c r="AA189" s="516"/>
      <c r="AB189" s="516"/>
      <c r="AC189" s="516"/>
      <c r="AD189" s="516"/>
      <c r="AE189" s="516"/>
      <c r="AF189" s="516"/>
      <c r="AG189" s="516"/>
      <c r="AH189" s="516"/>
      <c r="AI189" s="516"/>
      <c r="AJ189" s="516"/>
      <c r="AK189" s="516"/>
      <c r="AL189" s="516"/>
      <c r="AM189" s="194"/>
    </row>
    <row r="190" spans="1:39" s="88" customFormat="1" outlineLevel="1">
      <c r="A190" s="184" t="str">
        <f t="shared" si="24"/>
        <v>1</v>
      </c>
      <c r="L190" s="499" t="s">
        <v>401</v>
      </c>
      <c r="M190" s="178" t="s">
        <v>359</v>
      </c>
      <c r="N190" s="148" t="s">
        <v>329</v>
      </c>
      <c r="O190" s="522">
        <f t="shared" ref="O190:AL190" si="30">O191+O192</f>
        <v>0</v>
      </c>
      <c r="P190" s="522">
        <f t="shared" si="30"/>
        <v>0</v>
      </c>
      <c r="Q190" s="522">
        <f t="shared" si="30"/>
        <v>0</v>
      </c>
      <c r="R190" s="522">
        <f t="shared" si="30"/>
        <v>0</v>
      </c>
      <c r="S190" s="522">
        <f t="shared" si="30"/>
        <v>0</v>
      </c>
      <c r="T190" s="522">
        <f t="shared" si="30"/>
        <v>0</v>
      </c>
      <c r="U190" s="522">
        <f t="shared" si="30"/>
        <v>0</v>
      </c>
      <c r="V190" s="522">
        <f t="shared" si="30"/>
        <v>0</v>
      </c>
      <c r="W190" s="522">
        <f t="shared" si="30"/>
        <v>0</v>
      </c>
      <c r="X190" s="522">
        <f t="shared" si="30"/>
        <v>0</v>
      </c>
      <c r="Y190" s="522">
        <f t="shared" si="30"/>
        <v>0</v>
      </c>
      <c r="Z190" s="522">
        <f t="shared" si="30"/>
        <v>0</v>
      </c>
      <c r="AA190" s="522">
        <f t="shared" si="30"/>
        <v>0</v>
      </c>
      <c r="AB190" s="522">
        <f t="shared" si="30"/>
        <v>0</v>
      </c>
      <c r="AC190" s="522">
        <f t="shared" si="30"/>
        <v>0</v>
      </c>
      <c r="AD190" s="522">
        <f t="shared" si="30"/>
        <v>0</v>
      </c>
      <c r="AE190" s="522">
        <f t="shared" si="30"/>
        <v>0</v>
      </c>
      <c r="AF190" s="522">
        <f t="shared" si="30"/>
        <v>0</v>
      </c>
      <c r="AG190" s="522">
        <f t="shared" si="30"/>
        <v>0</v>
      </c>
      <c r="AH190" s="522">
        <f t="shared" si="30"/>
        <v>0</v>
      </c>
      <c r="AI190" s="522">
        <f t="shared" si="30"/>
        <v>0</v>
      </c>
      <c r="AJ190" s="522">
        <f t="shared" si="30"/>
        <v>0</v>
      </c>
      <c r="AK190" s="522">
        <f t="shared" si="30"/>
        <v>0</v>
      </c>
      <c r="AL190" s="522">
        <f t="shared" si="30"/>
        <v>0</v>
      </c>
      <c r="AM190" s="194"/>
    </row>
    <row r="191" spans="1:39" s="88" customFormat="1" outlineLevel="1">
      <c r="A191" s="184" t="str">
        <f t="shared" si="24"/>
        <v>1</v>
      </c>
      <c r="L191" s="499" t="s">
        <v>1324</v>
      </c>
      <c r="M191" s="496" t="s">
        <v>347</v>
      </c>
      <c r="N191" s="148" t="s">
        <v>329</v>
      </c>
      <c r="O191" s="516"/>
      <c r="P191" s="516"/>
      <c r="Q191" s="516"/>
      <c r="R191" s="516"/>
      <c r="S191" s="516"/>
      <c r="T191" s="516"/>
      <c r="U191" s="516"/>
      <c r="V191" s="516"/>
      <c r="W191" s="516"/>
      <c r="X191" s="516"/>
      <c r="Y191" s="516"/>
      <c r="Z191" s="516"/>
      <c r="AA191" s="516"/>
      <c r="AB191" s="516"/>
      <c r="AC191" s="516"/>
      <c r="AD191" s="516"/>
      <c r="AE191" s="516"/>
      <c r="AF191" s="516"/>
      <c r="AG191" s="516"/>
      <c r="AH191" s="516"/>
      <c r="AI191" s="516"/>
      <c r="AJ191" s="516"/>
      <c r="AK191" s="516"/>
      <c r="AL191" s="516"/>
      <c r="AM191" s="194"/>
    </row>
    <row r="192" spans="1:39" s="88" customFormat="1" outlineLevel="1">
      <c r="A192" s="184" t="str">
        <f t="shared" si="24"/>
        <v>1</v>
      </c>
      <c r="L192" s="499" t="s">
        <v>1325</v>
      </c>
      <c r="M192" s="496" t="s">
        <v>348</v>
      </c>
      <c r="N192" s="148" t="s">
        <v>329</v>
      </c>
      <c r="O192" s="516"/>
      <c r="P192" s="516"/>
      <c r="Q192" s="516"/>
      <c r="R192" s="516"/>
      <c r="S192" s="516"/>
      <c r="T192" s="516"/>
      <c r="U192" s="516"/>
      <c r="V192" s="516"/>
      <c r="W192" s="516"/>
      <c r="X192" s="516"/>
      <c r="Y192" s="516"/>
      <c r="Z192" s="516"/>
      <c r="AA192" s="516"/>
      <c r="AB192" s="516"/>
      <c r="AC192" s="516"/>
      <c r="AD192" s="516"/>
      <c r="AE192" s="516"/>
      <c r="AF192" s="516"/>
      <c r="AG192" s="516"/>
      <c r="AH192" s="516"/>
      <c r="AI192" s="516"/>
      <c r="AJ192" s="516"/>
      <c r="AK192" s="516"/>
      <c r="AL192" s="516"/>
      <c r="AM192" s="194"/>
    </row>
    <row r="193" spans="1:39" s="88" customFormat="1" ht="22.5" outlineLevel="1">
      <c r="A193" s="184" t="str">
        <f>A191</f>
        <v>1</v>
      </c>
      <c r="L193" s="499" t="s">
        <v>402</v>
      </c>
      <c r="M193" s="507" t="s">
        <v>1168</v>
      </c>
      <c r="N193" s="453" t="s">
        <v>329</v>
      </c>
      <c r="O193" s="516"/>
      <c r="P193" s="516"/>
      <c r="Q193" s="516"/>
      <c r="R193" s="516"/>
      <c r="S193" s="516"/>
      <c r="T193" s="516"/>
      <c r="U193" s="516"/>
      <c r="V193" s="516"/>
      <c r="W193" s="516"/>
      <c r="X193" s="516"/>
      <c r="Y193" s="516"/>
      <c r="Z193" s="516"/>
      <c r="AA193" s="516"/>
      <c r="AB193" s="516"/>
      <c r="AC193" s="516"/>
      <c r="AD193" s="516"/>
      <c r="AE193" s="516"/>
      <c r="AF193" s="516"/>
      <c r="AG193" s="516"/>
      <c r="AH193" s="516"/>
      <c r="AI193" s="516"/>
      <c r="AJ193" s="516"/>
      <c r="AK193" s="516"/>
      <c r="AL193" s="516"/>
      <c r="AM193" s="194"/>
    </row>
    <row r="194" spans="1:39" s="88" customFormat="1" outlineLevel="1">
      <c r="A194" s="184" t="str">
        <f>A192</f>
        <v>1</v>
      </c>
      <c r="L194" s="499" t="s">
        <v>125</v>
      </c>
      <c r="M194" s="505" t="s">
        <v>360</v>
      </c>
      <c r="N194" s="148" t="s">
        <v>329</v>
      </c>
      <c r="O194" s="516"/>
      <c r="P194" s="516"/>
      <c r="Q194" s="516"/>
      <c r="R194" s="516"/>
      <c r="S194" s="516"/>
      <c r="T194" s="516"/>
      <c r="U194" s="516"/>
      <c r="V194" s="516"/>
      <c r="W194" s="516"/>
      <c r="X194" s="516"/>
      <c r="Y194" s="516"/>
      <c r="Z194" s="516"/>
      <c r="AA194" s="516"/>
      <c r="AB194" s="516"/>
      <c r="AC194" s="516"/>
      <c r="AD194" s="516"/>
      <c r="AE194" s="516"/>
      <c r="AF194" s="516"/>
      <c r="AG194" s="516"/>
      <c r="AH194" s="516"/>
      <c r="AI194" s="516"/>
      <c r="AJ194" s="516"/>
      <c r="AK194" s="516"/>
      <c r="AL194" s="516"/>
      <c r="AM194" s="194"/>
    </row>
    <row r="195" spans="1:39" s="88" customFormat="1" outlineLevel="1">
      <c r="A195" s="184" t="str">
        <f t="shared" si="24"/>
        <v>1</v>
      </c>
      <c r="L195" s="499" t="s">
        <v>126</v>
      </c>
      <c r="M195" s="505" t="s">
        <v>361</v>
      </c>
      <c r="N195" s="148" t="s">
        <v>329</v>
      </c>
      <c r="O195" s="516"/>
      <c r="P195" s="516"/>
      <c r="Q195" s="516"/>
      <c r="R195" s="516"/>
      <c r="S195" s="516"/>
      <c r="T195" s="516"/>
      <c r="U195" s="516"/>
      <c r="V195" s="516"/>
      <c r="W195" s="516"/>
      <c r="X195" s="516"/>
      <c r="Y195" s="516"/>
      <c r="Z195" s="516"/>
      <c r="AA195" s="516"/>
      <c r="AB195" s="516"/>
      <c r="AC195" s="516"/>
      <c r="AD195" s="516"/>
      <c r="AE195" s="516"/>
      <c r="AF195" s="516"/>
      <c r="AG195" s="516"/>
      <c r="AH195" s="516"/>
      <c r="AI195" s="516"/>
      <c r="AJ195" s="516"/>
      <c r="AK195" s="516"/>
      <c r="AL195" s="516"/>
      <c r="AM195" s="194"/>
    </row>
    <row r="196" spans="1:39" s="88" customFormat="1" outlineLevel="1">
      <c r="A196" s="184" t="str">
        <f t="shared" si="24"/>
        <v>1</v>
      </c>
      <c r="L196" s="499" t="s">
        <v>127</v>
      </c>
      <c r="M196" s="505" t="s">
        <v>1124</v>
      </c>
      <c r="N196" s="148" t="s">
        <v>329</v>
      </c>
      <c r="O196" s="516"/>
      <c r="P196" s="516"/>
      <c r="Q196" s="516"/>
      <c r="R196" s="516"/>
      <c r="S196" s="516"/>
      <c r="T196" s="516"/>
      <c r="U196" s="516"/>
      <c r="V196" s="516"/>
      <c r="W196" s="516"/>
      <c r="X196" s="516"/>
      <c r="Y196" s="516"/>
      <c r="Z196" s="516"/>
      <c r="AA196" s="516"/>
      <c r="AB196" s="516"/>
      <c r="AC196" s="516"/>
      <c r="AD196" s="516"/>
      <c r="AE196" s="516"/>
      <c r="AF196" s="516"/>
      <c r="AG196" s="516"/>
      <c r="AH196" s="516"/>
      <c r="AI196" s="516"/>
      <c r="AJ196" s="516"/>
      <c r="AK196" s="516"/>
      <c r="AL196" s="516"/>
      <c r="AM196" s="194"/>
    </row>
    <row r="197" spans="1:39" s="88" customFormat="1" outlineLevel="1">
      <c r="A197" s="184" t="str">
        <f t="shared" si="24"/>
        <v>1</v>
      </c>
      <c r="L197" s="499" t="s">
        <v>128</v>
      </c>
      <c r="M197" s="79" t="s">
        <v>362</v>
      </c>
      <c r="N197" s="148" t="s">
        <v>329</v>
      </c>
      <c r="O197" s="522">
        <f t="shared" ref="O197:AL197" si="31">O198+O199</f>
        <v>0</v>
      </c>
      <c r="P197" s="522">
        <f t="shared" si="31"/>
        <v>0</v>
      </c>
      <c r="Q197" s="522">
        <f t="shared" si="31"/>
        <v>0</v>
      </c>
      <c r="R197" s="522">
        <f t="shared" si="31"/>
        <v>0</v>
      </c>
      <c r="S197" s="522">
        <f t="shared" si="31"/>
        <v>0</v>
      </c>
      <c r="T197" s="522">
        <f t="shared" si="31"/>
        <v>0</v>
      </c>
      <c r="U197" s="522">
        <f t="shared" si="31"/>
        <v>0</v>
      </c>
      <c r="V197" s="522">
        <f t="shared" si="31"/>
        <v>0</v>
      </c>
      <c r="W197" s="522">
        <f t="shared" si="31"/>
        <v>0</v>
      </c>
      <c r="X197" s="522">
        <f t="shared" si="31"/>
        <v>0</v>
      </c>
      <c r="Y197" s="522">
        <f t="shared" si="31"/>
        <v>0</v>
      </c>
      <c r="Z197" s="522">
        <f t="shared" si="31"/>
        <v>0</v>
      </c>
      <c r="AA197" s="522">
        <f t="shared" si="31"/>
        <v>0</v>
      </c>
      <c r="AB197" s="522">
        <f t="shared" si="31"/>
        <v>0</v>
      </c>
      <c r="AC197" s="522">
        <f t="shared" si="31"/>
        <v>0</v>
      </c>
      <c r="AD197" s="522">
        <f t="shared" si="31"/>
        <v>0</v>
      </c>
      <c r="AE197" s="522">
        <f t="shared" si="31"/>
        <v>0</v>
      </c>
      <c r="AF197" s="522">
        <f t="shared" si="31"/>
        <v>0</v>
      </c>
      <c r="AG197" s="522">
        <f t="shared" si="31"/>
        <v>0</v>
      </c>
      <c r="AH197" s="522">
        <f t="shared" si="31"/>
        <v>0</v>
      </c>
      <c r="AI197" s="522">
        <f t="shared" si="31"/>
        <v>0</v>
      </c>
      <c r="AJ197" s="522">
        <f t="shared" si="31"/>
        <v>0</v>
      </c>
      <c r="AK197" s="522">
        <f t="shared" si="31"/>
        <v>0</v>
      </c>
      <c r="AL197" s="522">
        <f t="shared" si="31"/>
        <v>0</v>
      </c>
      <c r="AM197" s="194"/>
    </row>
    <row r="198" spans="1:39" s="88" customFormat="1" outlineLevel="1">
      <c r="A198" s="184" t="str">
        <f t="shared" si="24"/>
        <v>1</v>
      </c>
      <c r="L198" s="499" t="s">
        <v>1237</v>
      </c>
      <c r="M198" s="178" t="s">
        <v>363</v>
      </c>
      <c r="N198" s="148" t="s">
        <v>329</v>
      </c>
      <c r="O198" s="516"/>
      <c r="P198" s="516"/>
      <c r="Q198" s="516"/>
      <c r="R198" s="516"/>
      <c r="S198" s="516"/>
      <c r="T198" s="516"/>
      <c r="U198" s="516"/>
      <c r="V198" s="516"/>
      <c r="W198" s="516"/>
      <c r="X198" s="516"/>
      <c r="Y198" s="516"/>
      <c r="Z198" s="516"/>
      <c r="AA198" s="516"/>
      <c r="AB198" s="516"/>
      <c r="AC198" s="516"/>
      <c r="AD198" s="516"/>
      <c r="AE198" s="516"/>
      <c r="AF198" s="516"/>
      <c r="AG198" s="516"/>
      <c r="AH198" s="516"/>
      <c r="AI198" s="516"/>
      <c r="AJ198" s="516"/>
      <c r="AK198" s="516"/>
      <c r="AL198" s="516"/>
      <c r="AM198" s="194"/>
    </row>
    <row r="199" spans="1:39" s="88" customFormat="1" outlineLevel="1">
      <c r="A199" s="184" t="str">
        <f t="shared" si="24"/>
        <v>1</v>
      </c>
      <c r="L199" s="499" t="s">
        <v>1304</v>
      </c>
      <c r="M199" s="178" t="s">
        <v>364</v>
      </c>
      <c r="N199" s="148" t="s">
        <v>329</v>
      </c>
      <c r="O199" s="516"/>
      <c r="P199" s="516"/>
      <c r="Q199" s="516"/>
      <c r="R199" s="516"/>
      <c r="S199" s="516"/>
      <c r="T199" s="516"/>
      <c r="U199" s="516"/>
      <c r="V199" s="516"/>
      <c r="W199" s="516"/>
      <c r="X199" s="516"/>
      <c r="Y199" s="516"/>
      <c r="Z199" s="516"/>
      <c r="AA199" s="516"/>
      <c r="AB199" s="516"/>
      <c r="AC199" s="516"/>
      <c r="AD199" s="516"/>
      <c r="AE199" s="516"/>
      <c r="AF199" s="516"/>
      <c r="AG199" s="516"/>
      <c r="AH199" s="516"/>
      <c r="AI199" s="516"/>
      <c r="AJ199" s="516"/>
      <c r="AK199" s="516"/>
      <c r="AL199" s="516"/>
      <c r="AM199" s="194"/>
    </row>
    <row r="200" spans="1:39" s="88" customFormat="1" outlineLevel="1">
      <c r="A200" s="184" t="str">
        <f>A198</f>
        <v>1</v>
      </c>
      <c r="L200" s="499" t="s">
        <v>129</v>
      </c>
      <c r="M200" s="508" t="s">
        <v>1150</v>
      </c>
      <c r="N200" s="453" t="s">
        <v>329</v>
      </c>
      <c r="O200" s="516"/>
      <c r="P200" s="516"/>
      <c r="Q200" s="516"/>
      <c r="R200" s="516"/>
      <c r="S200" s="516"/>
      <c r="T200" s="516"/>
      <c r="U200" s="516"/>
      <c r="V200" s="516"/>
      <c r="W200" s="516"/>
      <c r="X200" s="516"/>
      <c r="Y200" s="516"/>
      <c r="Z200" s="516"/>
      <c r="AA200" s="516"/>
      <c r="AB200" s="516"/>
      <c r="AC200" s="516"/>
      <c r="AD200" s="516"/>
      <c r="AE200" s="516"/>
      <c r="AF200" s="516"/>
      <c r="AG200" s="516"/>
      <c r="AH200" s="516"/>
      <c r="AI200" s="516"/>
      <c r="AJ200" s="516"/>
      <c r="AK200" s="516"/>
      <c r="AL200" s="516"/>
      <c r="AM200" s="194"/>
    </row>
    <row r="201" spans="1:39" s="88" customFormat="1" outlineLevel="1">
      <c r="A201" s="184" t="str">
        <f>A199</f>
        <v>1</v>
      </c>
      <c r="L201" s="499" t="s">
        <v>130</v>
      </c>
      <c r="M201" s="505" t="s">
        <v>365</v>
      </c>
      <c r="N201" s="148" t="s">
        <v>329</v>
      </c>
      <c r="O201" s="516"/>
      <c r="P201" s="516"/>
      <c r="Q201" s="516"/>
      <c r="R201" s="516"/>
      <c r="S201" s="516"/>
      <c r="T201" s="516"/>
      <c r="U201" s="516"/>
      <c r="V201" s="516"/>
      <c r="W201" s="516"/>
      <c r="X201" s="516"/>
      <c r="Y201" s="516"/>
      <c r="Z201" s="516"/>
      <c r="AA201" s="516"/>
      <c r="AB201" s="516"/>
      <c r="AC201" s="516"/>
      <c r="AD201" s="516"/>
      <c r="AE201" s="516"/>
      <c r="AF201" s="516"/>
      <c r="AG201" s="516"/>
      <c r="AH201" s="516"/>
      <c r="AI201" s="516"/>
      <c r="AJ201" s="516"/>
      <c r="AK201" s="516"/>
      <c r="AL201" s="516"/>
      <c r="AM201" s="194"/>
    </row>
    <row r="202" spans="1:39" s="188" customFormat="1">
      <c r="A202" s="187" t="s">
        <v>1053</v>
      </c>
      <c r="M202" s="3"/>
      <c r="N202" s="3"/>
      <c r="O202" s="519"/>
      <c r="P202" s="519"/>
      <c r="Q202" s="519"/>
      <c r="R202" s="519"/>
      <c r="S202" s="519"/>
      <c r="T202" s="520"/>
      <c r="U202" s="519"/>
      <c r="V202" s="519"/>
      <c r="W202" s="519"/>
      <c r="X202" s="519"/>
      <c r="Y202" s="519"/>
      <c r="Z202" s="519"/>
      <c r="AA202" s="519"/>
      <c r="AB202" s="519"/>
      <c r="AC202" s="519"/>
      <c r="AD202" s="519"/>
      <c r="AE202" s="519"/>
      <c r="AF202" s="519"/>
      <c r="AG202" s="519"/>
      <c r="AH202" s="519"/>
      <c r="AI202" s="519"/>
      <c r="AJ202" s="519"/>
      <c r="AK202" s="519"/>
      <c r="AL202" s="519"/>
    </row>
    <row r="203" spans="1:39" s="88" customFormat="1">
      <c r="A203" s="183" t="s">
        <v>18</v>
      </c>
      <c r="L203" s="162" t="str">
        <f>INDEX('Общие сведения'!$J$113:$J$146,MATCH($A203,'Общие сведения'!$D$113:$D$146,0))</f>
        <v>Тариф 1 (Водоснабжение) - тариф на техническую воду (нет)</v>
      </c>
      <c r="M203" s="158"/>
      <c r="N203" s="158"/>
      <c r="O203" s="521"/>
      <c r="P203" s="521"/>
      <c r="Q203" s="521"/>
      <c r="R203" s="521"/>
      <c r="S203" s="521"/>
      <c r="T203" s="521"/>
      <c r="U203" s="521"/>
      <c r="V203" s="521"/>
      <c r="W203" s="521"/>
      <c r="X203" s="521"/>
      <c r="Y203" s="521"/>
      <c r="Z203" s="521"/>
      <c r="AA203" s="521"/>
      <c r="AB203" s="521"/>
      <c r="AC203" s="521"/>
      <c r="AD203" s="521"/>
      <c r="AE203" s="521"/>
      <c r="AF203" s="521"/>
      <c r="AG203" s="521"/>
      <c r="AH203" s="521"/>
      <c r="AI203" s="521"/>
      <c r="AJ203" s="521"/>
      <c r="AK203" s="521"/>
      <c r="AL203" s="521"/>
      <c r="AM203" s="158"/>
    </row>
    <row r="204" spans="1:39" s="88" customFormat="1" outlineLevel="1">
      <c r="A204" s="184" t="str">
        <f t="shared" ref="A204:A215" si="32">A203</f>
        <v>1</v>
      </c>
      <c r="L204" s="499" t="s">
        <v>18</v>
      </c>
      <c r="M204" s="510" t="s">
        <v>355</v>
      </c>
      <c r="N204" s="186"/>
      <c r="O204" s="545" t="str">
        <f>INDEX('Общие сведения'!$K$113:$K$146,MATCH($A204,'Общие сведения'!$D$113:$D$146,0))</f>
        <v>техническая вода</v>
      </c>
      <c r="P204" s="546"/>
      <c r="Q204" s="546"/>
      <c r="R204" s="546"/>
      <c r="S204" s="546"/>
      <c r="T204" s="546"/>
      <c r="U204" s="546"/>
      <c r="V204" s="546"/>
      <c r="W204" s="546"/>
      <c r="X204" s="546"/>
      <c r="Y204" s="546"/>
      <c r="Z204" s="546"/>
      <c r="AA204" s="546"/>
      <c r="AB204" s="546"/>
      <c r="AC204" s="546"/>
      <c r="AD204" s="546"/>
      <c r="AE204" s="546"/>
      <c r="AF204" s="546"/>
      <c r="AG204" s="546"/>
      <c r="AH204" s="546"/>
      <c r="AI204" s="546"/>
      <c r="AJ204" s="546"/>
      <c r="AK204" s="546"/>
      <c r="AL204" s="547"/>
      <c r="AM204" s="194"/>
    </row>
    <row r="205" spans="1:39" s="88" customFormat="1" outlineLevel="1">
      <c r="A205" s="184" t="str">
        <f t="shared" si="32"/>
        <v>1</v>
      </c>
      <c r="L205" s="499" t="s">
        <v>102</v>
      </c>
      <c r="M205" s="509" t="s">
        <v>325</v>
      </c>
      <c r="N205" s="150" t="s">
        <v>326</v>
      </c>
      <c r="O205" s="516"/>
      <c r="P205" s="516"/>
      <c r="Q205" s="516"/>
      <c r="R205" s="516"/>
      <c r="S205" s="516"/>
      <c r="T205" s="516"/>
      <c r="U205" s="516"/>
      <c r="V205" s="516"/>
      <c r="W205" s="516"/>
      <c r="X205" s="516"/>
      <c r="Y205" s="516"/>
      <c r="Z205" s="516"/>
      <c r="AA205" s="516"/>
      <c r="AB205" s="516"/>
      <c r="AC205" s="516"/>
      <c r="AD205" s="516"/>
      <c r="AE205" s="516"/>
      <c r="AF205" s="516"/>
      <c r="AG205" s="516"/>
      <c r="AH205" s="516"/>
      <c r="AI205" s="516"/>
      <c r="AJ205" s="516"/>
      <c r="AK205" s="516"/>
      <c r="AL205" s="516"/>
      <c r="AM205" s="194"/>
    </row>
    <row r="206" spans="1:39" s="88" customFormat="1" outlineLevel="1">
      <c r="A206" s="184" t="str">
        <f t="shared" si="32"/>
        <v>1</v>
      </c>
      <c r="L206" s="499" t="s">
        <v>103</v>
      </c>
      <c r="M206" s="509" t="s">
        <v>327</v>
      </c>
      <c r="N206" s="150" t="s">
        <v>326</v>
      </c>
      <c r="O206" s="516"/>
      <c r="P206" s="516"/>
      <c r="Q206" s="516"/>
      <c r="R206" s="516"/>
      <c r="S206" s="516"/>
      <c r="T206" s="516"/>
      <c r="U206" s="516"/>
      <c r="V206" s="516"/>
      <c r="W206" s="516"/>
      <c r="X206" s="516"/>
      <c r="Y206" s="516"/>
      <c r="Z206" s="516"/>
      <c r="AA206" s="516"/>
      <c r="AB206" s="516"/>
      <c r="AC206" s="516"/>
      <c r="AD206" s="516"/>
      <c r="AE206" s="516"/>
      <c r="AF206" s="516"/>
      <c r="AG206" s="516"/>
      <c r="AH206" s="516"/>
      <c r="AI206" s="516"/>
      <c r="AJ206" s="516"/>
      <c r="AK206" s="516"/>
      <c r="AL206" s="516"/>
      <c r="AM206" s="194"/>
    </row>
    <row r="207" spans="1:39" s="88" customFormat="1" outlineLevel="1">
      <c r="A207" s="184" t="str">
        <f t="shared" si="32"/>
        <v>1</v>
      </c>
      <c r="L207" s="499" t="s">
        <v>104</v>
      </c>
      <c r="M207" s="511" t="s">
        <v>366</v>
      </c>
      <c r="N207" s="148" t="s">
        <v>329</v>
      </c>
      <c r="O207" s="522">
        <f t="shared" ref="O207:AL207" si="33">O208+O210+O209</f>
        <v>0</v>
      </c>
      <c r="P207" s="522">
        <f t="shared" si="33"/>
        <v>0</v>
      </c>
      <c r="Q207" s="522">
        <f t="shared" si="33"/>
        <v>0</v>
      </c>
      <c r="R207" s="522">
        <f t="shared" si="33"/>
        <v>0</v>
      </c>
      <c r="S207" s="522">
        <f t="shared" si="33"/>
        <v>0</v>
      </c>
      <c r="T207" s="522">
        <f t="shared" si="33"/>
        <v>0</v>
      </c>
      <c r="U207" s="522">
        <f t="shared" si="33"/>
        <v>0</v>
      </c>
      <c r="V207" s="522">
        <f t="shared" si="33"/>
        <v>0</v>
      </c>
      <c r="W207" s="522">
        <f t="shared" si="33"/>
        <v>0</v>
      </c>
      <c r="X207" s="522">
        <f t="shared" si="33"/>
        <v>0</v>
      </c>
      <c r="Y207" s="522">
        <f t="shared" si="33"/>
        <v>0</v>
      </c>
      <c r="Z207" s="522">
        <f t="shared" si="33"/>
        <v>0</v>
      </c>
      <c r="AA207" s="522">
        <f t="shared" si="33"/>
        <v>0</v>
      </c>
      <c r="AB207" s="522">
        <f t="shared" si="33"/>
        <v>0</v>
      </c>
      <c r="AC207" s="522">
        <f t="shared" si="33"/>
        <v>0</v>
      </c>
      <c r="AD207" s="522">
        <f t="shared" si="33"/>
        <v>0</v>
      </c>
      <c r="AE207" s="522">
        <f t="shared" si="33"/>
        <v>0</v>
      </c>
      <c r="AF207" s="522">
        <f t="shared" si="33"/>
        <v>0</v>
      </c>
      <c r="AG207" s="522">
        <f t="shared" si="33"/>
        <v>0</v>
      </c>
      <c r="AH207" s="522">
        <f t="shared" si="33"/>
        <v>0</v>
      </c>
      <c r="AI207" s="522">
        <f t="shared" si="33"/>
        <v>0</v>
      </c>
      <c r="AJ207" s="522">
        <f t="shared" si="33"/>
        <v>0</v>
      </c>
      <c r="AK207" s="522">
        <f t="shared" si="33"/>
        <v>0</v>
      </c>
      <c r="AL207" s="522">
        <f t="shared" si="33"/>
        <v>0</v>
      </c>
      <c r="AM207" s="194"/>
    </row>
    <row r="208" spans="1:39" s="88" customFormat="1" outlineLevel="1">
      <c r="A208" s="184" t="str">
        <f t="shared" si="32"/>
        <v>1</v>
      </c>
      <c r="L208" s="499" t="s">
        <v>148</v>
      </c>
      <c r="M208" s="512" t="s">
        <v>1169</v>
      </c>
      <c r="N208" s="148" t="s">
        <v>329</v>
      </c>
      <c r="O208" s="366"/>
      <c r="P208" s="366"/>
      <c r="Q208" s="366"/>
      <c r="R208" s="366"/>
      <c r="S208" s="366"/>
      <c r="T208" s="366"/>
      <c r="U208" s="366"/>
      <c r="V208" s="366"/>
      <c r="W208" s="366"/>
      <c r="X208" s="366"/>
      <c r="Y208" s="366"/>
      <c r="Z208" s="366"/>
      <c r="AA208" s="366"/>
      <c r="AB208" s="366"/>
      <c r="AC208" s="366"/>
      <c r="AD208" s="366"/>
      <c r="AE208" s="366"/>
      <c r="AF208" s="366"/>
      <c r="AG208" s="366"/>
      <c r="AH208" s="366"/>
      <c r="AI208" s="366"/>
      <c r="AJ208" s="366"/>
      <c r="AK208" s="366"/>
      <c r="AL208" s="366"/>
      <c r="AM208" s="194"/>
    </row>
    <row r="209" spans="1:39" s="88" customFormat="1" outlineLevel="1">
      <c r="A209" s="184" t="str">
        <f>A207</f>
        <v>1</v>
      </c>
      <c r="L209" s="499" t="s">
        <v>391</v>
      </c>
      <c r="M209" s="512" t="s">
        <v>1170</v>
      </c>
      <c r="N209" s="453" t="s">
        <v>329</v>
      </c>
      <c r="O209" s="366"/>
      <c r="P209" s="366"/>
      <c r="Q209" s="366"/>
      <c r="R209" s="366"/>
      <c r="S209" s="366"/>
      <c r="T209" s="366"/>
      <c r="U209" s="366"/>
      <c r="V209" s="366"/>
      <c r="W209" s="366"/>
      <c r="X209" s="366"/>
      <c r="Y209" s="366"/>
      <c r="Z209" s="366"/>
      <c r="AA209" s="366"/>
      <c r="AB209" s="366"/>
      <c r="AC209" s="366"/>
      <c r="AD209" s="366"/>
      <c r="AE209" s="366"/>
      <c r="AF209" s="366"/>
      <c r="AG209" s="366"/>
      <c r="AH209" s="366"/>
      <c r="AI209" s="366"/>
      <c r="AJ209" s="366"/>
      <c r="AK209" s="366"/>
      <c r="AL209" s="366"/>
      <c r="AM209" s="194"/>
    </row>
    <row r="210" spans="1:39" s="88" customFormat="1" ht="22.5" outlineLevel="1">
      <c r="A210" s="184" t="str">
        <f>A208</f>
        <v>1</v>
      </c>
      <c r="L210" s="499" t="s">
        <v>392</v>
      </c>
      <c r="M210" s="512" t="s">
        <v>1150</v>
      </c>
      <c r="N210" s="148" t="s">
        <v>329</v>
      </c>
      <c r="O210" s="366"/>
      <c r="P210" s="366"/>
      <c r="Q210" s="366"/>
      <c r="R210" s="366"/>
      <c r="S210" s="366"/>
      <c r="T210" s="366"/>
      <c r="U210" s="366"/>
      <c r="V210" s="366"/>
      <c r="W210" s="366"/>
      <c r="X210" s="366"/>
      <c r="Y210" s="366"/>
      <c r="Z210" s="366"/>
      <c r="AA210" s="366"/>
      <c r="AB210" s="366"/>
      <c r="AC210" s="366"/>
      <c r="AD210" s="366"/>
      <c r="AE210" s="366"/>
      <c r="AF210" s="366"/>
      <c r="AG210" s="366"/>
      <c r="AH210" s="366"/>
      <c r="AI210" s="366"/>
      <c r="AJ210" s="366"/>
      <c r="AK210" s="366"/>
      <c r="AL210" s="366"/>
      <c r="AM210" s="194"/>
    </row>
    <row r="211" spans="1:39" s="88" customFormat="1" outlineLevel="1">
      <c r="A211" s="184" t="str">
        <f t="shared" si="32"/>
        <v>1</v>
      </c>
      <c r="B211" s="88" t="s">
        <v>1165</v>
      </c>
      <c r="L211" s="499" t="s">
        <v>120</v>
      </c>
      <c r="M211" s="511" t="s">
        <v>367</v>
      </c>
      <c r="N211" s="148" t="s">
        <v>329</v>
      </c>
      <c r="O211" s="522">
        <f t="shared" ref="O211:AL211" si="34">O212+O213+O216</f>
        <v>0</v>
      </c>
      <c r="P211" s="522">
        <f t="shared" si="34"/>
        <v>0</v>
      </c>
      <c r="Q211" s="522">
        <f t="shared" si="34"/>
        <v>0</v>
      </c>
      <c r="R211" s="522">
        <f t="shared" si="34"/>
        <v>0</v>
      </c>
      <c r="S211" s="522">
        <f t="shared" si="34"/>
        <v>0</v>
      </c>
      <c r="T211" s="522">
        <f t="shared" si="34"/>
        <v>0</v>
      </c>
      <c r="U211" s="522">
        <f t="shared" si="34"/>
        <v>0</v>
      </c>
      <c r="V211" s="522">
        <f t="shared" si="34"/>
        <v>0</v>
      </c>
      <c r="W211" s="522">
        <f t="shared" si="34"/>
        <v>0</v>
      </c>
      <c r="X211" s="522">
        <f t="shared" si="34"/>
        <v>0</v>
      </c>
      <c r="Y211" s="522">
        <f t="shared" si="34"/>
        <v>0</v>
      </c>
      <c r="Z211" s="522">
        <f t="shared" si="34"/>
        <v>0</v>
      </c>
      <c r="AA211" s="522">
        <f t="shared" si="34"/>
        <v>0</v>
      </c>
      <c r="AB211" s="522">
        <f t="shared" si="34"/>
        <v>0</v>
      </c>
      <c r="AC211" s="522">
        <f t="shared" si="34"/>
        <v>0</v>
      </c>
      <c r="AD211" s="522">
        <f t="shared" si="34"/>
        <v>0</v>
      </c>
      <c r="AE211" s="522">
        <f t="shared" si="34"/>
        <v>0</v>
      </c>
      <c r="AF211" s="522">
        <f t="shared" si="34"/>
        <v>0</v>
      </c>
      <c r="AG211" s="522">
        <f t="shared" si="34"/>
        <v>0</v>
      </c>
      <c r="AH211" s="522">
        <f t="shared" si="34"/>
        <v>0</v>
      </c>
      <c r="AI211" s="522">
        <f t="shared" si="34"/>
        <v>0</v>
      </c>
      <c r="AJ211" s="522">
        <f t="shared" si="34"/>
        <v>0</v>
      </c>
      <c r="AK211" s="522">
        <f t="shared" si="34"/>
        <v>0</v>
      </c>
      <c r="AL211" s="522">
        <f t="shared" si="34"/>
        <v>0</v>
      </c>
      <c r="AM211" s="194"/>
    </row>
    <row r="212" spans="1:39" s="88" customFormat="1" outlineLevel="1">
      <c r="A212" s="184" t="str">
        <f t="shared" si="32"/>
        <v>1</v>
      </c>
      <c r="L212" s="499" t="s">
        <v>122</v>
      </c>
      <c r="M212" s="512" t="s">
        <v>368</v>
      </c>
      <c r="N212" s="148" t="s">
        <v>329</v>
      </c>
      <c r="O212" s="366"/>
      <c r="P212" s="366"/>
      <c r="Q212" s="366"/>
      <c r="R212" s="366"/>
      <c r="S212" s="366"/>
      <c r="T212" s="366"/>
      <c r="U212" s="366"/>
      <c r="V212" s="366"/>
      <c r="W212" s="366"/>
      <c r="X212" s="366"/>
      <c r="Y212" s="366"/>
      <c r="Z212" s="366"/>
      <c r="AA212" s="366"/>
      <c r="AB212" s="366"/>
      <c r="AC212" s="366"/>
      <c r="AD212" s="366"/>
      <c r="AE212" s="366"/>
      <c r="AF212" s="366"/>
      <c r="AG212" s="366"/>
      <c r="AH212" s="366"/>
      <c r="AI212" s="366"/>
      <c r="AJ212" s="366"/>
      <c r="AK212" s="366"/>
      <c r="AL212" s="366"/>
      <c r="AM212" s="194"/>
    </row>
    <row r="213" spans="1:39" s="88" customFormat="1" outlineLevel="1">
      <c r="A213" s="184" t="str">
        <f t="shared" si="32"/>
        <v>1</v>
      </c>
      <c r="L213" s="499" t="s">
        <v>123</v>
      </c>
      <c r="M213" s="513" t="s">
        <v>369</v>
      </c>
      <c r="N213" s="148" t="s">
        <v>329</v>
      </c>
      <c r="O213" s="522">
        <f t="shared" ref="O213:AL213" si="35">O214+O215</f>
        <v>0</v>
      </c>
      <c r="P213" s="522">
        <f t="shared" si="35"/>
        <v>0</v>
      </c>
      <c r="Q213" s="522">
        <f t="shared" si="35"/>
        <v>0</v>
      </c>
      <c r="R213" s="522">
        <f t="shared" si="35"/>
        <v>0</v>
      </c>
      <c r="S213" s="522">
        <f t="shared" si="35"/>
        <v>0</v>
      </c>
      <c r="T213" s="522">
        <f t="shared" si="35"/>
        <v>0</v>
      </c>
      <c r="U213" s="522">
        <f t="shared" si="35"/>
        <v>0</v>
      </c>
      <c r="V213" s="522">
        <f t="shared" si="35"/>
        <v>0</v>
      </c>
      <c r="W213" s="522">
        <f t="shared" si="35"/>
        <v>0</v>
      </c>
      <c r="X213" s="522">
        <f t="shared" si="35"/>
        <v>0</v>
      </c>
      <c r="Y213" s="522">
        <f t="shared" si="35"/>
        <v>0</v>
      </c>
      <c r="Z213" s="522">
        <f t="shared" si="35"/>
        <v>0</v>
      </c>
      <c r="AA213" s="522">
        <f t="shared" si="35"/>
        <v>0</v>
      </c>
      <c r="AB213" s="522">
        <f t="shared" si="35"/>
        <v>0</v>
      </c>
      <c r="AC213" s="522">
        <f t="shared" si="35"/>
        <v>0</v>
      </c>
      <c r="AD213" s="522">
        <f t="shared" si="35"/>
        <v>0</v>
      </c>
      <c r="AE213" s="522">
        <f t="shared" si="35"/>
        <v>0</v>
      </c>
      <c r="AF213" s="522">
        <f t="shared" si="35"/>
        <v>0</v>
      </c>
      <c r="AG213" s="522">
        <f t="shared" si="35"/>
        <v>0</v>
      </c>
      <c r="AH213" s="522">
        <f t="shared" si="35"/>
        <v>0</v>
      </c>
      <c r="AI213" s="522">
        <f t="shared" si="35"/>
        <v>0</v>
      </c>
      <c r="AJ213" s="522">
        <f t="shared" si="35"/>
        <v>0</v>
      </c>
      <c r="AK213" s="522">
        <f t="shared" si="35"/>
        <v>0</v>
      </c>
      <c r="AL213" s="522">
        <f t="shared" si="35"/>
        <v>0</v>
      </c>
      <c r="AM213" s="194"/>
    </row>
    <row r="214" spans="1:39" s="88" customFormat="1" outlineLevel="1">
      <c r="A214" s="184" t="str">
        <f t="shared" si="32"/>
        <v>1</v>
      </c>
      <c r="L214" s="499" t="s">
        <v>1326</v>
      </c>
      <c r="M214" s="514" t="s">
        <v>347</v>
      </c>
      <c r="N214" s="148" t="s">
        <v>329</v>
      </c>
      <c r="O214" s="366"/>
      <c r="P214" s="366"/>
      <c r="Q214" s="366"/>
      <c r="R214" s="366"/>
      <c r="S214" s="366"/>
      <c r="T214" s="366"/>
      <c r="U214" s="366"/>
      <c r="V214" s="366"/>
      <c r="W214" s="366"/>
      <c r="X214" s="366"/>
      <c r="Y214" s="366"/>
      <c r="Z214" s="366"/>
      <c r="AA214" s="366"/>
      <c r="AB214" s="366"/>
      <c r="AC214" s="366"/>
      <c r="AD214" s="366"/>
      <c r="AE214" s="366"/>
      <c r="AF214" s="366"/>
      <c r="AG214" s="366"/>
      <c r="AH214" s="366"/>
      <c r="AI214" s="366"/>
      <c r="AJ214" s="366"/>
      <c r="AK214" s="366"/>
      <c r="AL214" s="366"/>
      <c r="AM214" s="194"/>
    </row>
    <row r="215" spans="1:39" s="88" customFormat="1" outlineLevel="1">
      <c r="A215" s="184" t="str">
        <f t="shared" si="32"/>
        <v>1</v>
      </c>
      <c r="L215" s="499" t="s">
        <v>1327</v>
      </c>
      <c r="M215" s="514" t="s">
        <v>348</v>
      </c>
      <c r="N215" s="148" t="s">
        <v>329</v>
      </c>
      <c r="O215" s="366"/>
      <c r="P215" s="366"/>
      <c r="Q215" s="366"/>
      <c r="R215" s="366"/>
      <c r="S215" s="366"/>
      <c r="T215" s="366"/>
      <c r="U215" s="366"/>
      <c r="V215" s="366"/>
      <c r="W215" s="366"/>
      <c r="X215" s="366"/>
      <c r="Y215" s="366"/>
      <c r="Z215" s="366"/>
      <c r="AA215" s="366"/>
      <c r="AB215" s="366"/>
      <c r="AC215" s="366"/>
      <c r="AD215" s="366"/>
      <c r="AE215" s="366"/>
      <c r="AF215" s="366"/>
      <c r="AG215" s="366"/>
      <c r="AH215" s="366"/>
      <c r="AI215" s="366"/>
      <c r="AJ215" s="366"/>
      <c r="AK215" s="366"/>
      <c r="AL215" s="366"/>
      <c r="AM215" s="194"/>
    </row>
    <row r="216" spans="1:39" s="88" customFormat="1" ht="22.5" outlineLevel="1">
      <c r="A216" s="184" t="str">
        <f>A214</f>
        <v>1</v>
      </c>
      <c r="L216" s="499" t="s">
        <v>396</v>
      </c>
      <c r="M216" s="515" t="s">
        <v>1168</v>
      </c>
      <c r="N216" s="453" t="s">
        <v>329</v>
      </c>
      <c r="O216" s="516"/>
      <c r="P216" s="516"/>
      <c r="Q216" s="516"/>
      <c r="R216" s="516"/>
      <c r="S216" s="516"/>
      <c r="T216" s="516"/>
      <c r="U216" s="516"/>
      <c r="V216" s="516"/>
      <c r="W216" s="516"/>
      <c r="X216" s="516"/>
      <c r="Y216" s="516"/>
      <c r="Z216" s="516"/>
      <c r="AA216" s="516"/>
      <c r="AB216" s="516"/>
      <c r="AC216" s="516"/>
      <c r="AD216" s="516"/>
      <c r="AE216" s="516"/>
      <c r="AF216" s="516"/>
      <c r="AG216" s="516"/>
      <c r="AH216" s="516"/>
      <c r="AI216" s="516"/>
      <c r="AJ216" s="516"/>
      <c r="AK216" s="516"/>
      <c r="AL216" s="516"/>
      <c r="AM216" s="194"/>
    </row>
    <row r="217" spans="1:39">
      <c r="O217" s="1"/>
      <c r="P217" s="1"/>
      <c r="T217" s="5"/>
      <c r="AA217" s="1"/>
    </row>
    <row r="218" spans="1:39" s="143" customFormat="1" ht="30" customHeight="1">
      <c r="A218" s="142" t="s">
        <v>1056</v>
      </c>
      <c r="M218" s="144"/>
      <c r="N218" s="144"/>
      <c r="O218" s="144"/>
      <c r="P218" s="144"/>
      <c r="AA218" s="145"/>
    </row>
    <row r="219" spans="1:39">
      <c r="A219" s="146" t="s">
        <v>1057</v>
      </c>
    </row>
    <row r="220" spans="1:39" s="90" customFormat="1" ht="15" customHeight="1">
      <c r="A220" s="183" t="s">
        <v>18</v>
      </c>
      <c r="L220" s="162" t="str">
        <f>INDEX('Общие сведения'!$J$113:$J$146,MATCH($A220,'Общие сведения'!$D$113:$D$146,0))</f>
        <v>Тариф 1 (Водоснабжение) - тариф на техническую воду (нет)</v>
      </c>
      <c r="M220" s="158"/>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52"/>
      <c r="AJ220" s="152"/>
      <c r="AK220" s="152"/>
      <c r="AL220" s="152"/>
      <c r="AM220" s="152"/>
    </row>
    <row r="221" spans="1:39" s="92" customFormat="1" ht="15" customHeight="1" outlineLevel="1">
      <c r="A221" s="263" t="str">
        <f>A220</f>
        <v>1</v>
      </c>
      <c r="L221" s="91"/>
      <c r="M221" s="190" t="s">
        <v>1055</v>
      </c>
      <c r="N221" s="173" t="s">
        <v>370</v>
      </c>
      <c r="O221" s="87">
        <f t="shared" ref="O221:AL221" si="36">SUM(O222:O223)</f>
        <v>0</v>
      </c>
      <c r="P221" s="87">
        <f t="shared" si="36"/>
        <v>0</v>
      </c>
      <c r="Q221" s="87">
        <f t="shared" si="36"/>
        <v>0</v>
      </c>
      <c r="R221" s="87">
        <f t="shared" si="36"/>
        <v>0</v>
      </c>
      <c r="S221" s="87">
        <f t="shared" si="36"/>
        <v>0</v>
      </c>
      <c r="T221" s="87">
        <f t="shared" si="36"/>
        <v>0</v>
      </c>
      <c r="U221" s="87">
        <f t="shared" si="36"/>
        <v>0</v>
      </c>
      <c r="V221" s="87">
        <f t="shared" si="36"/>
        <v>0</v>
      </c>
      <c r="W221" s="87">
        <f t="shared" si="36"/>
        <v>0</v>
      </c>
      <c r="X221" s="87">
        <f t="shared" si="36"/>
        <v>0</v>
      </c>
      <c r="Y221" s="87">
        <f t="shared" si="36"/>
        <v>0</v>
      </c>
      <c r="Z221" s="87">
        <f t="shared" si="36"/>
        <v>0</v>
      </c>
      <c r="AA221" s="87">
        <f t="shared" si="36"/>
        <v>0</v>
      </c>
      <c r="AB221" s="87">
        <f t="shared" si="36"/>
        <v>0</v>
      </c>
      <c r="AC221" s="87">
        <f t="shared" si="36"/>
        <v>0</v>
      </c>
      <c r="AD221" s="87">
        <f t="shared" si="36"/>
        <v>0</v>
      </c>
      <c r="AE221" s="87">
        <f t="shared" si="36"/>
        <v>0</v>
      </c>
      <c r="AF221" s="87">
        <f t="shared" si="36"/>
        <v>0</v>
      </c>
      <c r="AG221" s="87">
        <f t="shared" si="36"/>
        <v>0</v>
      </c>
      <c r="AH221" s="87">
        <f t="shared" si="36"/>
        <v>0</v>
      </c>
      <c r="AI221" s="87">
        <f t="shared" si="36"/>
        <v>0</v>
      </c>
      <c r="AJ221" s="87">
        <f t="shared" si="36"/>
        <v>0</v>
      </c>
      <c r="AK221" s="87">
        <f t="shared" si="36"/>
        <v>0</v>
      </c>
      <c r="AL221" s="87">
        <f t="shared" si="36"/>
        <v>0</v>
      </c>
      <c r="AM221" s="194"/>
    </row>
    <row r="222" spans="1:39" s="92" customFormat="1" ht="0.2" customHeight="1" outlineLevel="1">
      <c r="A222" s="263" t="str">
        <f>A221</f>
        <v>1</v>
      </c>
      <c r="L222" s="91" t="s">
        <v>1054</v>
      </c>
      <c r="M222" s="190"/>
      <c r="N222" s="173"/>
      <c r="O222" s="192"/>
      <c r="P222" s="192"/>
      <c r="Q222" s="192"/>
      <c r="R222" s="192"/>
      <c r="S222" s="192"/>
      <c r="T222" s="192"/>
      <c r="U222" s="192"/>
      <c r="V222" s="192"/>
      <c r="W222" s="192"/>
      <c r="X222" s="192"/>
      <c r="Y222" s="192"/>
      <c r="Z222" s="192"/>
      <c r="AA222" s="192"/>
      <c r="AB222" s="192"/>
      <c r="AC222" s="192"/>
      <c r="AD222" s="192"/>
      <c r="AE222" s="192"/>
      <c r="AF222" s="192"/>
      <c r="AG222" s="192"/>
      <c r="AH222" s="192"/>
      <c r="AI222" s="192"/>
      <c r="AJ222" s="192"/>
      <c r="AK222" s="192"/>
      <c r="AL222" s="192"/>
      <c r="AM222" s="193"/>
    </row>
    <row r="223" spans="1:39" s="89" customFormat="1" ht="15" customHeight="1" outlineLevel="1">
      <c r="A223" s="263" t="str">
        <f>A222</f>
        <v>1</v>
      </c>
      <c r="L223" s="153"/>
      <c r="M223" s="156" t="s">
        <v>371</v>
      </c>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66"/>
    </row>
    <row r="224" spans="1:39">
      <c r="A224" s="146" t="s">
        <v>1058</v>
      </c>
    </row>
    <row r="225" spans="1:39" s="92" customFormat="1" ht="14.25" outlineLevel="1">
      <c r="A225" s="159" t="str">
        <f ca="1">OFFSET(A225,-1,0)</f>
        <v>et_List05_reagent</v>
      </c>
      <c r="K225" s="147" t="s">
        <v>283</v>
      </c>
      <c r="L225" s="91">
        <v>1</v>
      </c>
      <c r="M225" s="191"/>
      <c r="N225" s="173" t="s">
        <v>370</v>
      </c>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194"/>
    </row>
    <row r="227" spans="1:39" s="143" customFormat="1" ht="30" customHeight="1">
      <c r="A227" s="142" t="s">
        <v>1190</v>
      </c>
      <c r="M227" s="144"/>
      <c r="N227" s="144"/>
      <c r="O227" s="144"/>
      <c r="P227" s="144"/>
      <c r="AA227" s="145"/>
    </row>
    <row r="228" spans="1:39">
      <c r="A228" s="146" t="s">
        <v>1067</v>
      </c>
    </row>
    <row r="229" spans="1:39" s="90" customFormat="1" ht="15" customHeight="1">
      <c r="A229" s="183" t="s">
        <v>18</v>
      </c>
      <c r="L229" s="162" t="str">
        <f>INDEX('Общие сведения'!$J$113:$J$146,MATCH($A229,'Общие сведения'!$D$113:$D$146,0))</f>
        <v>Тариф 1 (Водоснабжение) - тариф на техническую воду (нет)</v>
      </c>
      <c r="M229" s="158"/>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211"/>
    </row>
    <row r="230" spans="1:39" s="92" customFormat="1" ht="11.25" customHeight="1" outlineLevel="1">
      <c r="A230" s="551" t="str">
        <f t="shared" ref="A230:A241" si="37">A229</f>
        <v>1</v>
      </c>
      <c r="L230" s="91" t="s">
        <v>18</v>
      </c>
      <c r="M230" s="190" t="s">
        <v>1055</v>
      </c>
      <c r="N230" s="149" t="s">
        <v>370</v>
      </c>
      <c r="O230" s="174">
        <f>SUMIF(N235:N241,N230,O235:O241)</f>
        <v>0</v>
      </c>
      <c r="P230" s="174">
        <f>SUMIF(N235:N241,N230,P235:P241)</f>
        <v>0</v>
      </c>
      <c r="Q230" s="174">
        <f>SUMIF(N235:N241,N230,Q235:Q241)</f>
        <v>0</v>
      </c>
      <c r="R230" s="174">
        <f>SUMIF(N235:N241,N230,R235:R241)</f>
        <v>0</v>
      </c>
      <c r="S230" s="174">
        <f>SUMIF(N235:N241,N230,S235:S241)</f>
        <v>0</v>
      </c>
      <c r="T230" s="174">
        <f>SUMIF(N235:N241,N230,T235:T241)</f>
        <v>0</v>
      </c>
      <c r="U230" s="174">
        <f>SUMIF(N235:N241,N230,U235:U241)</f>
        <v>0</v>
      </c>
      <c r="V230" s="174">
        <f>SUMIF(N235:N241,N230,V235:V241)</f>
        <v>0</v>
      </c>
      <c r="W230" s="174">
        <f>SUMIF(N235:N241,N230,W235:W241)</f>
        <v>0</v>
      </c>
      <c r="X230" s="174">
        <f>SUMIF(N235:N241,N230,X235:X241)</f>
        <v>0</v>
      </c>
      <c r="Y230" s="174">
        <f>SUMIF(N235:N241,N230,Y235:Y241)</f>
        <v>0</v>
      </c>
      <c r="Z230" s="174">
        <f>SUMIF(N235:N241,N230,Z235:Z241)</f>
        <v>0</v>
      </c>
      <c r="AA230" s="174">
        <f>SUMIF(N235:N241,N230,AA235:AA241)</f>
        <v>0</v>
      </c>
      <c r="AB230" s="174">
        <f>SUMIF(N235:N241,N230,AB235:AB241)</f>
        <v>0</v>
      </c>
      <c r="AC230" s="174">
        <f>SUMIF(N235:N241,N230,AC235:AC241)</f>
        <v>0</v>
      </c>
      <c r="AD230" s="174">
        <f>SUMIF(N235:N241,N230,AD235:AD241)</f>
        <v>0</v>
      </c>
      <c r="AE230" s="174">
        <f>SUMIF(N235:N241,N230,AE235:AE241)</f>
        <v>0</v>
      </c>
      <c r="AF230" s="174">
        <f>SUMIF(N235:N241,N230,AF235:AF241)</f>
        <v>0</v>
      </c>
      <c r="AG230" s="174">
        <f>SUMIF(N235:N241,N230,AG235:AG241)</f>
        <v>0</v>
      </c>
      <c r="AH230" s="174">
        <f>SUMIF(N235:N241,N230,AH235:AH241)</f>
        <v>0</v>
      </c>
      <c r="AI230" s="174">
        <f>SUMIF(N235:N241,N230,AI235:AI241)</f>
        <v>0</v>
      </c>
      <c r="AJ230" s="174">
        <f>SUMIF(N235:N241,N230,AJ235:AJ241)</f>
        <v>0</v>
      </c>
      <c r="AK230" s="174">
        <f>SUMIF(N235:N241,N230,AK235:AK241)</f>
        <v>0</v>
      </c>
      <c r="AL230" s="174">
        <f>SUMIF(N235:N241,N230,AL235:AL241)</f>
        <v>0</v>
      </c>
      <c r="AM230" s="194"/>
    </row>
    <row r="231" spans="1:39" s="92" customFormat="1" ht="11.25" customHeight="1" outlineLevel="1">
      <c r="A231" s="551" t="str">
        <f t="shared" si="37"/>
        <v>1</v>
      </c>
      <c r="L231" s="91" t="s">
        <v>102</v>
      </c>
      <c r="M231" s="190" t="s">
        <v>1172</v>
      </c>
      <c r="N231" s="150" t="s">
        <v>1244</v>
      </c>
      <c r="O231" s="174">
        <f>SUMIF(N235:N241,N231,O235:O241)</f>
        <v>0</v>
      </c>
      <c r="P231" s="174">
        <f>SUMIF(N235:N241,N231,P235:P241)</f>
        <v>0</v>
      </c>
      <c r="Q231" s="174">
        <f>SUMIF(N235:N241,N231,Q235:Q241)</f>
        <v>0</v>
      </c>
      <c r="R231" s="174">
        <f>SUMIF(N235:N241,N231,R235:R241)</f>
        <v>0</v>
      </c>
      <c r="S231" s="174">
        <f>SUMIF(N235:N241,N231,S235:S241)</f>
        <v>0</v>
      </c>
      <c r="T231" s="174">
        <f>SUMIF(N235:N241,N231,T235:T241)</f>
        <v>0</v>
      </c>
      <c r="U231" s="174">
        <f>SUMIF(N235:N241,N231,U235:U241)</f>
        <v>0</v>
      </c>
      <c r="V231" s="174">
        <f>SUMIF(N235:N241,N231,V235:V241)</f>
        <v>0</v>
      </c>
      <c r="W231" s="174">
        <f>SUMIF(N235:N241,N231,W235:W241)</f>
        <v>0</v>
      </c>
      <c r="X231" s="174">
        <f>SUMIF(N235:N241,N231,X235:X241)</f>
        <v>0</v>
      </c>
      <c r="Y231" s="174">
        <f>SUMIF(N235:N241,N231,Y235:Y241)</f>
        <v>0</v>
      </c>
      <c r="Z231" s="174">
        <f>SUMIF(N235:N241,N231,Z235:Z241)</f>
        <v>0</v>
      </c>
      <c r="AA231" s="174">
        <f>SUMIF(N235:N241,N231,AA235:AA241)</f>
        <v>0</v>
      </c>
      <c r="AB231" s="174">
        <f>SUMIF(N235:N241,N231,AB235:AB241)</f>
        <v>0</v>
      </c>
      <c r="AC231" s="174">
        <f>SUMIF(N235:N241,N231,AC235:AC241)</f>
        <v>0</v>
      </c>
      <c r="AD231" s="174">
        <f>SUMIF(N235:N241,N231,AD235:AD241)</f>
        <v>0</v>
      </c>
      <c r="AE231" s="174">
        <f>SUMIF(N235:N241,N231,AE235:AE241)</f>
        <v>0</v>
      </c>
      <c r="AF231" s="174">
        <f>SUMIF(N235:N241,N231,AF235:AF241)</f>
        <v>0</v>
      </c>
      <c r="AG231" s="174">
        <f>SUMIF(N235:N241,N231,AG235:AG241)</f>
        <v>0</v>
      </c>
      <c r="AH231" s="174">
        <f>SUMIF(N235:N241,N231,AH235:AH241)</f>
        <v>0</v>
      </c>
      <c r="AI231" s="174">
        <f>SUMIF(N235:N241,N231,AI235:AI241)</f>
        <v>0</v>
      </c>
      <c r="AJ231" s="174">
        <f>SUMIF(N235:N241,N231,AJ235:AJ241)</f>
        <v>0</v>
      </c>
      <c r="AK231" s="174">
        <f>SUMIF(N235:N241,N231,AK235:AK241)</f>
        <v>0</v>
      </c>
      <c r="AL231" s="174">
        <f>SUMIF(N235:N241,N231,AL235:AL241)</f>
        <v>0</v>
      </c>
      <c r="AM231" s="194"/>
    </row>
    <row r="232" spans="1:39" s="92" customFormat="1" ht="11.25" customHeight="1" outlineLevel="1">
      <c r="A232" s="551" t="str">
        <f t="shared" si="37"/>
        <v>1</v>
      </c>
      <c r="L232" s="91" t="s">
        <v>103</v>
      </c>
      <c r="M232" s="190" t="s">
        <v>1173</v>
      </c>
      <c r="N232" s="150" t="s">
        <v>504</v>
      </c>
      <c r="O232" s="415"/>
      <c r="P232" s="415"/>
      <c r="Q232" s="415"/>
      <c r="R232" s="415"/>
      <c r="S232" s="415"/>
      <c r="T232" s="415"/>
      <c r="U232" s="415"/>
      <c r="V232" s="415"/>
      <c r="W232" s="415"/>
      <c r="X232" s="415"/>
      <c r="Y232" s="415"/>
      <c r="Z232" s="415"/>
      <c r="AA232" s="415"/>
      <c r="AB232" s="415"/>
      <c r="AC232" s="415"/>
      <c r="AD232" s="415"/>
      <c r="AE232" s="415"/>
      <c r="AF232" s="415"/>
      <c r="AG232" s="415"/>
      <c r="AH232" s="415"/>
      <c r="AI232" s="415"/>
      <c r="AJ232" s="415"/>
      <c r="AK232" s="415"/>
      <c r="AL232" s="415"/>
      <c r="AM232" s="194"/>
    </row>
    <row r="233" spans="1:39" s="92" customFormat="1" ht="11.25" customHeight="1" outlineLevel="1">
      <c r="A233" s="551" t="str">
        <f t="shared" si="37"/>
        <v>1</v>
      </c>
      <c r="L233" s="91" t="s">
        <v>104</v>
      </c>
      <c r="M233" s="190" t="s">
        <v>372</v>
      </c>
      <c r="N233" s="150" t="s">
        <v>506</v>
      </c>
      <c r="O233" s="174">
        <f>IF(O231=0,0,O230/O231)</f>
        <v>0</v>
      </c>
      <c r="P233" s="174">
        <f t="shared" ref="P233:AL234" si="38">IF(P231=0,0,P230/P231)</f>
        <v>0</v>
      </c>
      <c r="Q233" s="174">
        <f t="shared" si="38"/>
        <v>0</v>
      </c>
      <c r="R233" s="174">
        <f t="shared" si="38"/>
        <v>0</v>
      </c>
      <c r="S233" s="174">
        <f t="shared" si="38"/>
        <v>0</v>
      </c>
      <c r="T233" s="174">
        <f t="shared" si="38"/>
        <v>0</v>
      </c>
      <c r="U233" s="174">
        <f t="shared" si="38"/>
        <v>0</v>
      </c>
      <c r="V233" s="174">
        <f t="shared" si="38"/>
        <v>0</v>
      </c>
      <c r="W233" s="174">
        <f t="shared" si="38"/>
        <v>0</v>
      </c>
      <c r="X233" s="174">
        <f t="shared" si="38"/>
        <v>0</v>
      </c>
      <c r="Y233" s="174">
        <f t="shared" si="38"/>
        <v>0</v>
      </c>
      <c r="Z233" s="174">
        <f t="shared" si="38"/>
        <v>0</v>
      </c>
      <c r="AA233" s="174">
        <f t="shared" si="38"/>
        <v>0</v>
      </c>
      <c r="AB233" s="174">
        <f t="shared" si="38"/>
        <v>0</v>
      </c>
      <c r="AC233" s="174">
        <f t="shared" si="38"/>
        <v>0</v>
      </c>
      <c r="AD233" s="174">
        <f t="shared" si="38"/>
        <v>0</v>
      </c>
      <c r="AE233" s="174">
        <f t="shared" si="38"/>
        <v>0</v>
      </c>
      <c r="AF233" s="174">
        <f t="shared" si="38"/>
        <v>0</v>
      </c>
      <c r="AG233" s="174">
        <f t="shared" si="38"/>
        <v>0</v>
      </c>
      <c r="AH233" s="174">
        <f t="shared" si="38"/>
        <v>0</v>
      </c>
      <c r="AI233" s="174">
        <f t="shared" si="38"/>
        <v>0</v>
      </c>
      <c r="AJ233" s="174">
        <f t="shared" si="38"/>
        <v>0</v>
      </c>
      <c r="AK233" s="174">
        <f t="shared" si="38"/>
        <v>0</v>
      </c>
      <c r="AL233" s="174">
        <f t="shared" si="38"/>
        <v>0</v>
      </c>
      <c r="AM233" s="194"/>
    </row>
    <row r="234" spans="1:39" s="92" customFormat="1" ht="11.25" customHeight="1" outlineLevel="1">
      <c r="A234" s="551" t="str">
        <f t="shared" si="37"/>
        <v>1</v>
      </c>
      <c r="L234" s="91" t="s">
        <v>120</v>
      </c>
      <c r="M234" s="190" t="s">
        <v>373</v>
      </c>
      <c r="N234" s="150" t="s">
        <v>502</v>
      </c>
      <c r="O234" s="475">
        <f>IF(O232=0,0,O231/O232)</f>
        <v>0</v>
      </c>
      <c r="P234" s="475">
        <f t="shared" si="38"/>
        <v>0</v>
      </c>
      <c r="Q234" s="475">
        <f t="shared" si="38"/>
        <v>0</v>
      </c>
      <c r="R234" s="475">
        <f t="shared" si="38"/>
        <v>0</v>
      </c>
      <c r="S234" s="475">
        <f t="shared" si="38"/>
        <v>0</v>
      </c>
      <c r="T234" s="475">
        <f t="shared" si="38"/>
        <v>0</v>
      </c>
      <c r="U234" s="475">
        <f t="shared" si="38"/>
        <v>0</v>
      </c>
      <c r="V234" s="475">
        <f t="shared" si="38"/>
        <v>0</v>
      </c>
      <c r="W234" s="475">
        <f t="shared" si="38"/>
        <v>0</v>
      </c>
      <c r="X234" s="475">
        <f t="shared" si="38"/>
        <v>0</v>
      </c>
      <c r="Y234" s="475">
        <f t="shared" si="38"/>
        <v>0</v>
      </c>
      <c r="Z234" s="475">
        <f t="shared" si="38"/>
        <v>0</v>
      </c>
      <c r="AA234" s="475">
        <f t="shared" si="38"/>
        <v>0</v>
      </c>
      <c r="AB234" s="475">
        <f t="shared" si="38"/>
        <v>0</v>
      </c>
      <c r="AC234" s="475">
        <f t="shared" si="38"/>
        <v>0</v>
      </c>
      <c r="AD234" s="475">
        <f t="shared" si="38"/>
        <v>0</v>
      </c>
      <c r="AE234" s="475">
        <f t="shared" si="38"/>
        <v>0</v>
      </c>
      <c r="AF234" s="475">
        <f t="shared" si="38"/>
        <v>0</v>
      </c>
      <c r="AG234" s="475">
        <f t="shared" si="38"/>
        <v>0</v>
      </c>
      <c r="AH234" s="475">
        <f t="shared" si="38"/>
        <v>0</v>
      </c>
      <c r="AI234" s="475">
        <f t="shared" si="38"/>
        <v>0</v>
      </c>
      <c r="AJ234" s="475">
        <f t="shared" si="38"/>
        <v>0</v>
      </c>
      <c r="AK234" s="475">
        <f t="shared" si="38"/>
        <v>0</v>
      </c>
      <c r="AL234" s="475">
        <f t="shared" si="38"/>
        <v>0</v>
      </c>
      <c r="AM234" s="194"/>
    </row>
    <row r="235" spans="1:39" s="92" customFormat="1" ht="12.95" customHeight="1" outlineLevel="1">
      <c r="A235" s="551" t="str">
        <f t="shared" si="37"/>
        <v>1</v>
      </c>
      <c r="J235" s="337" t="s">
        <v>1059</v>
      </c>
      <c r="L235" s="347"/>
      <c r="M235" s="344" t="s">
        <v>1157</v>
      </c>
      <c r="N235" s="345"/>
      <c r="O235" s="346"/>
      <c r="P235" s="346"/>
      <c r="Q235" s="346"/>
      <c r="R235" s="346"/>
      <c r="S235" s="346"/>
      <c r="T235" s="346"/>
      <c r="U235" s="346"/>
      <c r="V235" s="346"/>
      <c r="W235" s="346"/>
      <c r="X235" s="346"/>
      <c r="Y235" s="346"/>
      <c r="Z235" s="346"/>
      <c r="AA235" s="346"/>
      <c r="AB235" s="346"/>
      <c r="AC235" s="346"/>
      <c r="AD235" s="346"/>
      <c r="AE235" s="346"/>
      <c r="AF235" s="346"/>
      <c r="AG235" s="346"/>
      <c r="AH235" s="346"/>
      <c r="AI235" s="346"/>
      <c r="AJ235" s="346"/>
      <c r="AK235" s="346"/>
      <c r="AL235" s="346"/>
      <c r="AM235" s="348"/>
    </row>
    <row r="236" spans="1:39" s="92" customFormat="1" ht="11.25" customHeight="1" outlineLevel="1">
      <c r="A236" s="159" t="str">
        <f ca="1">OFFSET(A236,-1,0)</f>
        <v>1</v>
      </c>
      <c r="J236" s="648" t="s">
        <v>195</v>
      </c>
      <c r="K236" s="147" t="s">
        <v>283</v>
      </c>
      <c r="L236" s="91" t="str">
        <f>J236</f>
        <v>6.1</v>
      </c>
      <c r="M236" s="210" t="str">
        <f>"Без разбивки"</f>
        <v>Без разбивки</v>
      </c>
      <c r="N236" s="454" t="s">
        <v>370</v>
      </c>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194"/>
    </row>
    <row r="237" spans="1:39" s="92" customFormat="1" ht="11.25" customHeight="1" outlineLevel="1">
      <c r="A237" s="159" t="str">
        <f ca="1">A236</f>
        <v>1</v>
      </c>
      <c r="J237" s="648"/>
      <c r="L237" s="208" t="str">
        <f>L236&amp;".1"</f>
        <v>6.1.1</v>
      </c>
      <c r="M237" s="209" t="s">
        <v>1060</v>
      </c>
      <c r="N237" s="455" t="s">
        <v>506</v>
      </c>
      <c r="O237" s="550">
        <f t="shared" ref="O237:AL237" si="39">IF(OR(AND(O236&lt;&gt;0,O238=0),AND(O236=0,O238&lt;&gt;0)),"Ошибка",IF(O238=0,0,O236/O238))</f>
        <v>0</v>
      </c>
      <c r="P237" s="550">
        <f t="shared" si="39"/>
        <v>0</v>
      </c>
      <c r="Q237" s="550">
        <f t="shared" si="39"/>
        <v>0</v>
      </c>
      <c r="R237" s="550">
        <f t="shared" si="39"/>
        <v>0</v>
      </c>
      <c r="S237" s="550">
        <f t="shared" si="39"/>
        <v>0</v>
      </c>
      <c r="T237" s="550">
        <f t="shared" si="39"/>
        <v>0</v>
      </c>
      <c r="U237" s="550">
        <f t="shared" si="39"/>
        <v>0</v>
      </c>
      <c r="V237" s="550">
        <f t="shared" si="39"/>
        <v>0</v>
      </c>
      <c r="W237" s="550">
        <f t="shared" si="39"/>
        <v>0</v>
      </c>
      <c r="X237" s="550">
        <f t="shared" si="39"/>
        <v>0</v>
      </c>
      <c r="Y237" s="550">
        <f t="shared" si="39"/>
        <v>0</v>
      </c>
      <c r="Z237" s="550">
        <f t="shared" si="39"/>
        <v>0</v>
      </c>
      <c r="AA237" s="550">
        <f t="shared" si="39"/>
        <v>0</v>
      </c>
      <c r="AB237" s="550">
        <f t="shared" si="39"/>
        <v>0</v>
      </c>
      <c r="AC237" s="550">
        <f t="shared" si="39"/>
        <v>0</v>
      </c>
      <c r="AD237" s="550">
        <f t="shared" si="39"/>
        <v>0</v>
      </c>
      <c r="AE237" s="550">
        <f t="shared" si="39"/>
        <v>0</v>
      </c>
      <c r="AF237" s="550">
        <f t="shared" si="39"/>
        <v>0</v>
      </c>
      <c r="AG237" s="550">
        <f t="shared" si="39"/>
        <v>0</v>
      </c>
      <c r="AH237" s="550">
        <f t="shared" si="39"/>
        <v>0</v>
      </c>
      <c r="AI237" s="550">
        <f t="shared" si="39"/>
        <v>0</v>
      </c>
      <c r="AJ237" s="550">
        <f t="shared" si="39"/>
        <v>0</v>
      </c>
      <c r="AK237" s="550">
        <f t="shared" si="39"/>
        <v>0</v>
      </c>
      <c r="AL237" s="550">
        <f t="shared" si="39"/>
        <v>0</v>
      </c>
      <c r="AM237" s="194"/>
    </row>
    <row r="238" spans="1:39" s="92" customFormat="1" ht="11.25" customHeight="1" outlineLevel="1">
      <c r="A238" s="159" t="str">
        <f ca="1">A237</f>
        <v>1</v>
      </c>
      <c r="J238" s="648"/>
      <c r="L238" s="208" t="str">
        <f>L236&amp;".2"</f>
        <v>6.1.2</v>
      </c>
      <c r="M238" s="209" t="s">
        <v>1174</v>
      </c>
      <c r="N238" s="455" t="s">
        <v>1244</v>
      </c>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194"/>
    </row>
    <row r="239" spans="1:39" s="89" customFormat="1" ht="15" customHeight="1" outlineLevel="1">
      <c r="A239" s="551" t="str">
        <f>A235</f>
        <v>1</v>
      </c>
      <c r="L239" s="153"/>
      <c r="M239" s="156" t="s">
        <v>371</v>
      </c>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66"/>
    </row>
    <row r="240" spans="1:39" s="92" customFormat="1" ht="12.95" customHeight="1" outlineLevel="1">
      <c r="A240" s="551" t="str">
        <f t="shared" si="37"/>
        <v>1</v>
      </c>
      <c r="J240" s="337" t="s">
        <v>1141</v>
      </c>
      <c r="L240" s="347"/>
      <c r="M240" s="344" t="s">
        <v>1158</v>
      </c>
      <c r="N240" s="345"/>
      <c r="O240" s="346"/>
      <c r="P240" s="346"/>
      <c r="Q240" s="346"/>
      <c r="R240" s="346"/>
      <c r="S240" s="346"/>
      <c r="T240" s="346"/>
      <c r="U240" s="346"/>
      <c r="V240" s="346"/>
      <c r="W240" s="346"/>
      <c r="X240" s="346"/>
      <c r="Y240" s="346"/>
      <c r="Z240" s="346"/>
      <c r="AA240" s="346"/>
      <c r="AB240" s="346"/>
      <c r="AC240" s="346"/>
      <c r="AD240" s="346"/>
      <c r="AE240" s="346"/>
      <c r="AF240" s="346"/>
      <c r="AG240" s="346"/>
      <c r="AH240" s="346"/>
      <c r="AI240" s="346"/>
      <c r="AJ240" s="346"/>
      <c r="AK240" s="346"/>
      <c r="AL240" s="346"/>
      <c r="AM240" s="348"/>
    </row>
    <row r="241" spans="1:39" s="89" customFormat="1" ht="15" customHeight="1" outlineLevel="1">
      <c r="A241" s="551" t="str">
        <f t="shared" si="37"/>
        <v>1</v>
      </c>
      <c r="L241" s="153"/>
      <c r="M241" s="156" t="s">
        <v>1142</v>
      </c>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66"/>
    </row>
    <row r="242" spans="1:39">
      <c r="A242" s="146" t="s">
        <v>1068</v>
      </c>
    </row>
    <row r="243" spans="1:39" s="92" customFormat="1" ht="11.25" customHeight="1" outlineLevel="1">
      <c r="A243" s="159" t="str">
        <f ca="1">OFFSET(A243,-1,0)</f>
        <v>et_List06_voltage</v>
      </c>
      <c r="J243" s="648"/>
      <c r="K243" s="147" t="s">
        <v>283</v>
      </c>
      <c r="L243" s="91">
        <f>J243</f>
        <v>0</v>
      </c>
      <c r="M243" s="210"/>
      <c r="N243" s="149" t="s">
        <v>370</v>
      </c>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194"/>
    </row>
    <row r="244" spans="1:39" s="92" customFormat="1" ht="11.25" customHeight="1" outlineLevel="1">
      <c r="A244" s="159" t="str">
        <f ca="1">A243</f>
        <v>et_List06_voltage</v>
      </c>
      <c r="J244" s="648"/>
      <c r="L244" s="208" t="str">
        <f>L243&amp;".1"</f>
        <v>0.1</v>
      </c>
      <c r="M244" s="209" t="s">
        <v>1060</v>
      </c>
      <c r="N244" s="150" t="s">
        <v>506</v>
      </c>
      <c r="O244" s="550">
        <f t="shared" ref="O244:AL244" si="40">IF(OR(AND(O243&lt;&gt;0,O245=0),AND(O243=0,O245&lt;&gt;0)),"Ошибка",IF(O245=0,0,O243/O245))</f>
        <v>0</v>
      </c>
      <c r="P244" s="550">
        <f t="shared" si="40"/>
        <v>0</v>
      </c>
      <c r="Q244" s="550">
        <f t="shared" si="40"/>
        <v>0</v>
      </c>
      <c r="R244" s="550">
        <f t="shared" si="40"/>
        <v>0</v>
      </c>
      <c r="S244" s="550">
        <f t="shared" si="40"/>
        <v>0</v>
      </c>
      <c r="T244" s="550">
        <f t="shared" si="40"/>
        <v>0</v>
      </c>
      <c r="U244" s="550">
        <f t="shared" si="40"/>
        <v>0</v>
      </c>
      <c r="V244" s="550">
        <f t="shared" si="40"/>
        <v>0</v>
      </c>
      <c r="W244" s="550">
        <f t="shared" si="40"/>
        <v>0</v>
      </c>
      <c r="X244" s="550">
        <f t="shared" si="40"/>
        <v>0</v>
      </c>
      <c r="Y244" s="550">
        <f t="shared" si="40"/>
        <v>0</v>
      </c>
      <c r="Z244" s="550">
        <f t="shared" si="40"/>
        <v>0</v>
      </c>
      <c r="AA244" s="550">
        <f t="shared" si="40"/>
        <v>0</v>
      </c>
      <c r="AB244" s="550">
        <f t="shared" si="40"/>
        <v>0</v>
      </c>
      <c r="AC244" s="550">
        <f t="shared" si="40"/>
        <v>0</v>
      </c>
      <c r="AD244" s="550">
        <f t="shared" si="40"/>
        <v>0</v>
      </c>
      <c r="AE244" s="550">
        <f t="shared" si="40"/>
        <v>0</v>
      </c>
      <c r="AF244" s="550">
        <f t="shared" si="40"/>
        <v>0</v>
      </c>
      <c r="AG244" s="550">
        <f t="shared" si="40"/>
        <v>0</v>
      </c>
      <c r="AH244" s="550">
        <f t="shared" si="40"/>
        <v>0</v>
      </c>
      <c r="AI244" s="550">
        <f t="shared" si="40"/>
        <v>0</v>
      </c>
      <c r="AJ244" s="550">
        <f t="shared" si="40"/>
        <v>0</v>
      </c>
      <c r="AK244" s="550">
        <f t="shared" si="40"/>
        <v>0</v>
      </c>
      <c r="AL244" s="550">
        <f t="shared" si="40"/>
        <v>0</v>
      </c>
      <c r="AM244" s="194"/>
    </row>
    <row r="245" spans="1:39" s="92" customFormat="1" ht="11.25" customHeight="1" outlineLevel="1">
      <c r="A245" s="159" t="str">
        <f ca="1">A244</f>
        <v>et_List06_voltage</v>
      </c>
      <c r="J245" s="648"/>
      <c r="L245" s="208" t="str">
        <f>L243&amp;".2"</f>
        <v>0.2</v>
      </c>
      <c r="M245" s="209" t="s">
        <v>1174</v>
      </c>
      <c r="N245" s="150" t="s">
        <v>1244</v>
      </c>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194"/>
    </row>
    <row r="246" spans="1:39">
      <c r="A246" s="146" t="s">
        <v>1146</v>
      </c>
    </row>
    <row r="247" spans="1:39" s="92" customFormat="1" ht="11.25" customHeight="1" outlineLevel="1">
      <c r="A247" s="594" t="str">
        <f ca="1">OFFSET(A247,-1,0)</f>
        <v>et_List06_voltage2</v>
      </c>
      <c r="J247" s="649"/>
      <c r="K247" s="147" t="s">
        <v>283</v>
      </c>
      <c r="L247" s="91">
        <f>J247</f>
        <v>0</v>
      </c>
      <c r="M247" s="191"/>
      <c r="N247" s="549" t="s">
        <v>370</v>
      </c>
      <c r="O247" s="550">
        <f>O248+O251</f>
        <v>0</v>
      </c>
      <c r="P247" s="550">
        <f>P248+P251</f>
        <v>0</v>
      </c>
      <c r="Q247" s="550">
        <f>Q248+Q251</f>
        <v>0</v>
      </c>
      <c r="R247" s="550">
        <f>R248+R251</f>
        <v>0</v>
      </c>
      <c r="S247" s="550">
        <f>S248+S251</f>
        <v>0</v>
      </c>
      <c r="T247" s="550">
        <f>T249*T250+T252*T253/1000*12</f>
        <v>0</v>
      </c>
      <c r="U247" s="550">
        <f t="shared" ref="U247:AL247" si="41">U249*U250+U252*U253/1000*12</f>
        <v>0</v>
      </c>
      <c r="V247" s="550">
        <f t="shared" si="41"/>
        <v>0</v>
      </c>
      <c r="W247" s="550">
        <f t="shared" si="41"/>
        <v>0</v>
      </c>
      <c r="X247" s="550">
        <f t="shared" si="41"/>
        <v>0</v>
      </c>
      <c r="Y247" s="550">
        <f t="shared" si="41"/>
        <v>0</v>
      </c>
      <c r="Z247" s="550">
        <f t="shared" si="41"/>
        <v>0</v>
      </c>
      <c r="AA247" s="550">
        <f t="shared" si="41"/>
        <v>0</v>
      </c>
      <c r="AB247" s="550">
        <f t="shared" si="41"/>
        <v>0</v>
      </c>
      <c r="AC247" s="550">
        <f t="shared" si="41"/>
        <v>0</v>
      </c>
      <c r="AD247" s="550">
        <f t="shared" si="41"/>
        <v>0</v>
      </c>
      <c r="AE247" s="550">
        <f t="shared" si="41"/>
        <v>0</v>
      </c>
      <c r="AF247" s="550">
        <f t="shared" si="41"/>
        <v>0</v>
      </c>
      <c r="AG247" s="550">
        <f t="shared" si="41"/>
        <v>0</v>
      </c>
      <c r="AH247" s="550">
        <f t="shared" si="41"/>
        <v>0</v>
      </c>
      <c r="AI247" s="550">
        <f t="shared" si="41"/>
        <v>0</v>
      </c>
      <c r="AJ247" s="550">
        <f t="shared" si="41"/>
        <v>0</v>
      </c>
      <c r="AK247" s="550">
        <f t="shared" si="41"/>
        <v>0</v>
      </c>
      <c r="AL247" s="550">
        <f t="shared" si="41"/>
        <v>0</v>
      </c>
      <c r="AM247" s="194"/>
    </row>
    <row r="248" spans="1:39" s="92" customFormat="1" ht="11.25" customHeight="1" outlineLevel="1">
      <c r="A248" s="594" t="str">
        <f t="shared" ref="A248:A253" ca="1" si="42">OFFSET(A248,-1,0)</f>
        <v>et_List06_voltage2</v>
      </c>
      <c r="J248" s="649"/>
      <c r="L248" s="549" t="str">
        <f>L247&amp;".1"</f>
        <v>0.1</v>
      </c>
      <c r="M248" s="595" t="s">
        <v>1399</v>
      </c>
      <c r="N248" s="549" t="s">
        <v>1433</v>
      </c>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194"/>
    </row>
    <row r="249" spans="1:39" s="92" customFormat="1" ht="11.25" customHeight="1" outlineLevel="1">
      <c r="A249" s="594" t="str">
        <f t="shared" ca="1" si="42"/>
        <v>et_List06_voltage2</v>
      </c>
      <c r="J249" s="649"/>
      <c r="L249" s="549" t="str">
        <f>L247&amp;".1.1"</f>
        <v>0.1.1</v>
      </c>
      <c r="M249" s="596" t="s">
        <v>1060</v>
      </c>
      <c r="N249" s="548" t="s">
        <v>506</v>
      </c>
      <c r="O249" s="550">
        <f t="shared" ref="O249:AL249" si="43">IF(OR(AND(O248&lt;&gt;0,O250=0),AND(O248=0,O250&lt;&gt;0)),"Ошибка",IF(O250=0,0,O248/O250))</f>
        <v>0</v>
      </c>
      <c r="P249" s="550">
        <f t="shared" si="43"/>
        <v>0</v>
      </c>
      <c r="Q249" s="550">
        <f t="shared" si="43"/>
        <v>0</v>
      </c>
      <c r="R249" s="550">
        <f t="shared" si="43"/>
        <v>0</v>
      </c>
      <c r="S249" s="550">
        <f t="shared" si="43"/>
        <v>0</v>
      </c>
      <c r="T249" s="550">
        <f t="shared" si="43"/>
        <v>0</v>
      </c>
      <c r="U249" s="550">
        <f t="shared" si="43"/>
        <v>0</v>
      </c>
      <c r="V249" s="550">
        <f t="shared" si="43"/>
        <v>0</v>
      </c>
      <c r="W249" s="550">
        <f t="shared" si="43"/>
        <v>0</v>
      </c>
      <c r="X249" s="550">
        <f t="shared" si="43"/>
        <v>0</v>
      </c>
      <c r="Y249" s="550">
        <f t="shared" si="43"/>
        <v>0</v>
      </c>
      <c r="Z249" s="550">
        <f t="shared" si="43"/>
        <v>0</v>
      </c>
      <c r="AA249" s="550">
        <f t="shared" si="43"/>
        <v>0</v>
      </c>
      <c r="AB249" s="550">
        <f t="shared" si="43"/>
        <v>0</v>
      </c>
      <c r="AC249" s="550">
        <f t="shared" si="43"/>
        <v>0</v>
      </c>
      <c r="AD249" s="550">
        <f t="shared" si="43"/>
        <v>0</v>
      </c>
      <c r="AE249" s="550">
        <f t="shared" si="43"/>
        <v>0</v>
      </c>
      <c r="AF249" s="550">
        <f t="shared" si="43"/>
        <v>0</v>
      </c>
      <c r="AG249" s="550">
        <f t="shared" si="43"/>
        <v>0</v>
      </c>
      <c r="AH249" s="550">
        <f t="shared" si="43"/>
        <v>0</v>
      </c>
      <c r="AI249" s="550">
        <f t="shared" si="43"/>
        <v>0</v>
      </c>
      <c r="AJ249" s="550">
        <f t="shared" si="43"/>
        <v>0</v>
      </c>
      <c r="AK249" s="550">
        <f t="shared" si="43"/>
        <v>0</v>
      </c>
      <c r="AL249" s="550">
        <f t="shared" si="43"/>
        <v>0</v>
      </c>
      <c r="AM249" s="194"/>
    </row>
    <row r="250" spans="1:39" s="92" customFormat="1" ht="11.25" customHeight="1" outlineLevel="1">
      <c r="A250" s="594" t="str">
        <f t="shared" ca="1" si="42"/>
        <v>et_List06_voltage2</v>
      </c>
      <c r="J250" s="649"/>
      <c r="L250" s="549" t="str">
        <f>L247&amp;".1.2"</f>
        <v>0.1.2</v>
      </c>
      <c r="M250" s="596" t="s">
        <v>1174</v>
      </c>
      <c r="N250" s="548" t="s">
        <v>1244</v>
      </c>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194"/>
    </row>
    <row r="251" spans="1:39" s="92" customFormat="1" ht="11.25" customHeight="1" outlineLevel="1">
      <c r="A251" s="594" t="str">
        <f t="shared" ca="1" si="42"/>
        <v>et_List06_voltage2</v>
      </c>
      <c r="J251" s="649"/>
      <c r="L251" s="549" t="str">
        <f>L247&amp;".2"</f>
        <v>0.2</v>
      </c>
      <c r="M251" s="595" t="s">
        <v>1400</v>
      </c>
      <c r="N251" s="549" t="s">
        <v>1433</v>
      </c>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194"/>
    </row>
    <row r="252" spans="1:39" s="92" customFormat="1" ht="11.25" customHeight="1" outlineLevel="1">
      <c r="A252" s="594" t="str">
        <f t="shared" ca="1" si="42"/>
        <v>et_List06_voltage2</v>
      </c>
      <c r="J252" s="649"/>
      <c r="L252" s="549" t="str">
        <f>L247&amp;".2.1"</f>
        <v>0.2.1</v>
      </c>
      <c r="M252" s="596" t="s">
        <v>1143</v>
      </c>
      <c r="N252" s="548" t="s">
        <v>1145</v>
      </c>
      <c r="O252" s="550">
        <f t="shared" ref="O252:AL252" si="44">IF(OR(AND(O251&lt;&gt;0,O253=0),AND(O251=0,O253&lt;&gt;0)),"Ошибка",IF(O253=0,0,O251/O253*1000/12))</f>
        <v>0</v>
      </c>
      <c r="P252" s="550">
        <f t="shared" si="44"/>
        <v>0</v>
      </c>
      <c r="Q252" s="550">
        <f t="shared" si="44"/>
        <v>0</v>
      </c>
      <c r="R252" s="550">
        <f t="shared" si="44"/>
        <v>0</v>
      </c>
      <c r="S252" s="550">
        <f t="shared" si="44"/>
        <v>0</v>
      </c>
      <c r="T252" s="550">
        <f t="shared" si="44"/>
        <v>0</v>
      </c>
      <c r="U252" s="550">
        <f t="shared" si="44"/>
        <v>0</v>
      </c>
      <c r="V252" s="550">
        <f t="shared" si="44"/>
        <v>0</v>
      </c>
      <c r="W252" s="550">
        <f t="shared" si="44"/>
        <v>0</v>
      </c>
      <c r="X252" s="550">
        <f t="shared" si="44"/>
        <v>0</v>
      </c>
      <c r="Y252" s="550">
        <f t="shared" si="44"/>
        <v>0</v>
      </c>
      <c r="Z252" s="550">
        <f t="shared" si="44"/>
        <v>0</v>
      </c>
      <c r="AA252" s="550">
        <f t="shared" si="44"/>
        <v>0</v>
      </c>
      <c r="AB252" s="550">
        <f t="shared" si="44"/>
        <v>0</v>
      </c>
      <c r="AC252" s="550">
        <f t="shared" si="44"/>
        <v>0</v>
      </c>
      <c r="AD252" s="550">
        <f t="shared" si="44"/>
        <v>0</v>
      </c>
      <c r="AE252" s="550">
        <f t="shared" si="44"/>
        <v>0</v>
      </c>
      <c r="AF252" s="550">
        <f t="shared" si="44"/>
        <v>0</v>
      </c>
      <c r="AG252" s="550">
        <f t="shared" si="44"/>
        <v>0</v>
      </c>
      <c r="AH252" s="550">
        <f t="shared" si="44"/>
        <v>0</v>
      </c>
      <c r="AI252" s="550">
        <f t="shared" si="44"/>
        <v>0</v>
      </c>
      <c r="AJ252" s="550">
        <f t="shared" si="44"/>
        <v>0</v>
      </c>
      <c r="AK252" s="550">
        <f t="shared" si="44"/>
        <v>0</v>
      </c>
      <c r="AL252" s="550">
        <f t="shared" si="44"/>
        <v>0</v>
      </c>
      <c r="AM252" s="194"/>
    </row>
    <row r="253" spans="1:39" s="92" customFormat="1" ht="11.25" customHeight="1" outlineLevel="1">
      <c r="A253" s="594" t="str">
        <f t="shared" ca="1" si="42"/>
        <v>et_List06_voltage2</v>
      </c>
      <c r="J253" s="649"/>
      <c r="L253" s="549" t="str">
        <f>L247&amp;".2.2"</f>
        <v>0.2.2</v>
      </c>
      <c r="M253" s="596" t="s">
        <v>1175</v>
      </c>
      <c r="N253" s="548" t="s">
        <v>1144</v>
      </c>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194"/>
    </row>
    <row r="255" spans="1:39" s="143" customFormat="1" ht="30" customHeight="1">
      <c r="A255" s="142" t="s">
        <v>1069</v>
      </c>
      <c r="M255" s="144"/>
      <c r="N255" s="144"/>
      <c r="O255" s="144"/>
      <c r="P255" s="144"/>
      <c r="AA255" s="145"/>
    </row>
    <row r="256" spans="1:39">
      <c r="A256" s="146" t="s">
        <v>1070</v>
      </c>
    </row>
    <row r="257" spans="1:39" s="93" customFormat="1" ht="15" customHeight="1">
      <c r="A257" s="183" t="s">
        <v>18</v>
      </c>
      <c r="L257" s="237" t="str">
        <f>INDEX('Общие сведения'!$J$113:$J$146,MATCH($A257,'Общие сведения'!$D$113:$D$146,0))</f>
        <v>Тариф 1 (Водоснабжение) - тариф на техническую воду (нет)</v>
      </c>
      <c r="M257" s="158"/>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52"/>
      <c r="AJ257" s="152"/>
      <c r="AK257" s="152"/>
      <c r="AL257" s="152"/>
      <c r="AM257" s="216"/>
    </row>
    <row r="258" spans="1:39" s="95" customFormat="1" ht="22.5" outlineLevel="1">
      <c r="A258" s="551" t="str">
        <f>A257</f>
        <v>1</v>
      </c>
      <c r="L258" s="217">
        <v>1</v>
      </c>
      <c r="M258" s="218" t="s">
        <v>375</v>
      </c>
      <c r="N258" s="149" t="s">
        <v>370</v>
      </c>
      <c r="O258" s="220">
        <f>SUM(O259:O263)</f>
        <v>0</v>
      </c>
      <c r="P258" s="220">
        <f>SUM(P259:P263)</f>
        <v>0</v>
      </c>
      <c r="Q258" s="220">
        <f>SUM(Q259:Q263)</f>
        <v>0</v>
      </c>
      <c r="R258" s="220">
        <f>SUM(R259:R263)</f>
        <v>0</v>
      </c>
      <c r="S258" s="220">
        <f t="shared" ref="S258:AL258" si="45">SUM(S259:S263)</f>
        <v>0</v>
      </c>
      <c r="T258" s="220">
        <f t="shared" si="45"/>
        <v>0</v>
      </c>
      <c r="U258" s="220">
        <f t="shared" si="45"/>
        <v>0</v>
      </c>
      <c r="V258" s="220">
        <f t="shared" si="45"/>
        <v>0</v>
      </c>
      <c r="W258" s="220">
        <f t="shared" si="45"/>
        <v>0</v>
      </c>
      <c r="X258" s="220">
        <f t="shared" si="45"/>
        <v>0</v>
      </c>
      <c r="Y258" s="220">
        <f t="shared" si="45"/>
        <v>0</v>
      </c>
      <c r="Z258" s="220">
        <f t="shared" si="45"/>
        <v>0</v>
      </c>
      <c r="AA258" s="220">
        <f>SUM(AA259:AA263)</f>
        <v>0</v>
      </c>
      <c r="AB258" s="220">
        <f>SUM(AB259:AB263)</f>
        <v>0</v>
      </c>
      <c r="AC258" s="220">
        <f t="shared" si="45"/>
        <v>0</v>
      </c>
      <c r="AD258" s="220">
        <f t="shared" si="45"/>
        <v>0</v>
      </c>
      <c r="AE258" s="220">
        <f t="shared" si="45"/>
        <v>0</v>
      </c>
      <c r="AF258" s="220">
        <f t="shared" si="45"/>
        <v>0</v>
      </c>
      <c r="AG258" s="220">
        <f t="shared" si="45"/>
        <v>0</v>
      </c>
      <c r="AH258" s="220">
        <f t="shared" si="45"/>
        <v>0</v>
      </c>
      <c r="AI258" s="220">
        <f t="shared" si="45"/>
        <v>0</v>
      </c>
      <c r="AJ258" s="220">
        <f t="shared" si="45"/>
        <v>0</v>
      </c>
      <c r="AK258" s="220">
        <f t="shared" si="45"/>
        <v>0</v>
      </c>
      <c r="AL258" s="220">
        <f t="shared" si="45"/>
        <v>0</v>
      </c>
      <c r="AM258" s="194"/>
    </row>
    <row r="259" spans="1:39" s="93" customFormat="1" outlineLevel="1">
      <c r="A259" s="551" t="str">
        <f t="shared" ref="A259:A305" si="46">A258</f>
        <v>1</v>
      </c>
      <c r="L259" s="221" t="s">
        <v>165</v>
      </c>
      <c r="M259" s="222" t="s">
        <v>376</v>
      </c>
      <c r="N259" s="149" t="s">
        <v>370</v>
      </c>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c r="AJ259" s="223"/>
      <c r="AK259" s="223"/>
      <c r="AL259" s="223"/>
      <c r="AM259" s="194"/>
    </row>
    <row r="260" spans="1:39" s="93" customFormat="1" outlineLevel="1">
      <c r="A260" s="551" t="str">
        <f t="shared" si="46"/>
        <v>1</v>
      </c>
      <c r="L260" s="221" t="s">
        <v>166</v>
      </c>
      <c r="M260" s="222" t="s">
        <v>377</v>
      </c>
      <c r="N260" s="149" t="s">
        <v>370</v>
      </c>
      <c r="O260" s="223"/>
      <c r="P260" s="223"/>
      <c r="Q260" s="223"/>
      <c r="R260" s="223"/>
      <c r="S260" s="223"/>
      <c r="T260" s="223"/>
      <c r="U260" s="223"/>
      <c r="V260" s="223"/>
      <c r="W260" s="223"/>
      <c r="X260" s="223"/>
      <c r="Y260" s="223"/>
      <c r="Z260" s="223"/>
      <c r="AA260" s="223"/>
      <c r="AB260" s="223"/>
      <c r="AC260" s="223"/>
      <c r="AD260" s="223"/>
      <c r="AE260" s="223"/>
      <c r="AF260" s="223"/>
      <c r="AG260" s="223"/>
      <c r="AH260" s="223"/>
      <c r="AI260" s="223"/>
      <c r="AJ260" s="223"/>
      <c r="AK260" s="223"/>
      <c r="AL260" s="223"/>
      <c r="AM260" s="194"/>
    </row>
    <row r="261" spans="1:39" s="93" customFormat="1" outlineLevel="1">
      <c r="A261" s="551" t="str">
        <f t="shared" si="46"/>
        <v>1</v>
      </c>
      <c r="L261" s="221" t="s">
        <v>378</v>
      </c>
      <c r="M261" s="222" t="s">
        <v>379</v>
      </c>
      <c r="N261" s="149" t="s">
        <v>370</v>
      </c>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c r="AM261" s="194"/>
    </row>
    <row r="262" spans="1:39" s="93" customFormat="1" outlineLevel="1">
      <c r="A262" s="551" t="str">
        <f t="shared" si="46"/>
        <v>1</v>
      </c>
      <c r="L262" s="221" t="s">
        <v>380</v>
      </c>
      <c r="M262" s="222" t="s">
        <v>381</v>
      </c>
      <c r="N262" s="149" t="s">
        <v>370</v>
      </c>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223"/>
      <c r="AL262" s="223"/>
      <c r="AM262" s="194"/>
    </row>
    <row r="263" spans="1:39" s="93" customFormat="1" outlineLevel="1">
      <c r="A263" s="551" t="str">
        <f t="shared" si="46"/>
        <v>1</v>
      </c>
      <c r="L263" s="221" t="s">
        <v>382</v>
      </c>
      <c r="M263" s="222" t="s">
        <v>383</v>
      </c>
      <c r="N263" s="149" t="s">
        <v>370</v>
      </c>
      <c r="O263" s="223"/>
      <c r="P263" s="223"/>
      <c r="Q263" s="223"/>
      <c r="R263" s="223"/>
      <c r="S263" s="223"/>
      <c r="T263" s="223"/>
      <c r="U263" s="223"/>
      <c r="V263" s="223"/>
      <c r="W263" s="223"/>
      <c r="X263" s="223"/>
      <c r="Y263" s="223"/>
      <c r="Z263" s="223"/>
      <c r="AA263" s="223"/>
      <c r="AB263" s="223"/>
      <c r="AC263" s="223"/>
      <c r="AD263" s="223"/>
      <c r="AE263" s="223"/>
      <c r="AF263" s="223"/>
      <c r="AG263" s="223"/>
      <c r="AH263" s="223"/>
      <c r="AI263" s="223"/>
      <c r="AJ263" s="223"/>
      <c r="AK263" s="223"/>
      <c r="AL263" s="223"/>
      <c r="AM263" s="194"/>
    </row>
    <row r="264" spans="1:39" s="95" customFormat="1" outlineLevel="1">
      <c r="A264" s="551" t="str">
        <f t="shared" si="46"/>
        <v>1</v>
      </c>
      <c r="L264" s="217">
        <v>2</v>
      </c>
      <c r="M264" s="218" t="s">
        <v>384</v>
      </c>
      <c r="N264" s="149" t="s">
        <v>370</v>
      </c>
      <c r="O264" s="220">
        <f t="shared" ref="O264:AL264" si="47">SUM(O265:O269)</f>
        <v>0</v>
      </c>
      <c r="P264" s="220">
        <f t="shared" si="47"/>
        <v>0</v>
      </c>
      <c r="Q264" s="220">
        <f t="shared" si="47"/>
        <v>0</v>
      </c>
      <c r="R264" s="220">
        <f t="shared" si="47"/>
        <v>0</v>
      </c>
      <c r="S264" s="220">
        <f t="shared" si="47"/>
        <v>0</v>
      </c>
      <c r="T264" s="220">
        <f t="shared" si="47"/>
        <v>0</v>
      </c>
      <c r="U264" s="220">
        <f t="shared" si="47"/>
        <v>0</v>
      </c>
      <c r="V264" s="220">
        <f t="shared" si="47"/>
        <v>0</v>
      </c>
      <c r="W264" s="220">
        <f t="shared" si="47"/>
        <v>0</v>
      </c>
      <c r="X264" s="220">
        <f t="shared" si="47"/>
        <v>0</v>
      </c>
      <c r="Y264" s="220">
        <f t="shared" si="47"/>
        <v>0</v>
      </c>
      <c r="Z264" s="220">
        <f t="shared" si="47"/>
        <v>0</v>
      </c>
      <c r="AA264" s="220">
        <f>SUM(AA265:AA269)</f>
        <v>0</v>
      </c>
      <c r="AB264" s="220">
        <f>SUM(AB265:AB269)</f>
        <v>0</v>
      </c>
      <c r="AC264" s="220">
        <f t="shared" si="47"/>
        <v>0</v>
      </c>
      <c r="AD264" s="220">
        <f t="shared" si="47"/>
        <v>0</v>
      </c>
      <c r="AE264" s="220">
        <f t="shared" si="47"/>
        <v>0</v>
      </c>
      <c r="AF264" s="220">
        <f t="shared" si="47"/>
        <v>0</v>
      </c>
      <c r="AG264" s="220">
        <f t="shared" si="47"/>
        <v>0</v>
      </c>
      <c r="AH264" s="220">
        <f t="shared" si="47"/>
        <v>0</v>
      </c>
      <c r="AI264" s="220">
        <f t="shared" si="47"/>
        <v>0</v>
      </c>
      <c r="AJ264" s="220">
        <f t="shared" si="47"/>
        <v>0</v>
      </c>
      <c r="AK264" s="220">
        <f t="shared" si="47"/>
        <v>0</v>
      </c>
      <c r="AL264" s="220">
        <f t="shared" si="47"/>
        <v>0</v>
      </c>
      <c r="AM264" s="194"/>
    </row>
    <row r="265" spans="1:39" s="93" customFormat="1" outlineLevel="1">
      <c r="A265" s="551" t="str">
        <f t="shared" si="46"/>
        <v>1</v>
      </c>
      <c r="L265" s="221" t="s">
        <v>17</v>
      </c>
      <c r="M265" s="222" t="s">
        <v>376</v>
      </c>
      <c r="N265" s="149" t="s">
        <v>370</v>
      </c>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c r="AK265" s="223"/>
      <c r="AL265" s="223"/>
      <c r="AM265" s="194"/>
    </row>
    <row r="266" spans="1:39" s="93" customFormat="1" outlineLevel="1">
      <c r="A266" s="551" t="str">
        <f t="shared" si="46"/>
        <v>1</v>
      </c>
      <c r="L266" s="221" t="s">
        <v>146</v>
      </c>
      <c r="M266" s="222" t="s">
        <v>377</v>
      </c>
      <c r="N266" s="149" t="s">
        <v>370</v>
      </c>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c r="AM266" s="194"/>
    </row>
    <row r="267" spans="1:39" s="93" customFormat="1" outlineLevel="1">
      <c r="A267" s="551" t="str">
        <f t="shared" si="46"/>
        <v>1</v>
      </c>
      <c r="L267" s="221" t="s">
        <v>167</v>
      </c>
      <c r="M267" s="222" t="s">
        <v>379</v>
      </c>
      <c r="N267" s="149" t="s">
        <v>370</v>
      </c>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3"/>
      <c r="AL267" s="223"/>
      <c r="AM267" s="194"/>
    </row>
    <row r="268" spans="1:39" s="93" customFormat="1" outlineLevel="1">
      <c r="A268" s="551" t="str">
        <f t="shared" si="46"/>
        <v>1</v>
      </c>
      <c r="L268" s="221" t="s">
        <v>169</v>
      </c>
      <c r="M268" s="222" t="s">
        <v>381</v>
      </c>
      <c r="N268" s="149" t="s">
        <v>370</v>
      </c>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3"/>
      <c r="AL268" s="223"/>
      <c r="AM268" s="194"/>
    </row>
    <row r="269" spans="1:39" s="93" customFormat="1" outlineLevel="1">
      <c r="A269" s="551" t="str">
        <f t="shared" si="46"/>
        <v>1</v>
      </c>
      <c r="L269" s="221" t="s">
        <v>385</v>
      </c>
      <c r="M269" s="222" t="s">
        <v>383</v>
      </c>
      <c r="N269" s="149" t="s">
        <v>370</v>
      </c>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c r="AM269" s="194"/>
    </row>
    <row r="270" spans="1:39" s="95" customFormat="1" outlineLevel="1">
      <c r="A270" s="551" t="str">
        <f t="shared" si="46"/>
        <v>1</v>
      </c>
      <c r="L270" s="217">
        <v>3</v>
      </c>
      <c r="M270" s="218" t="s">
        <v>386</v>
      </c>
      <c r="N270" s="149" t="s">
        <v>370</v>
      </c>
      <c r="O270" s="220">
        <f t="shared" ref="O270:AK270" si="48">SUM(O271:O275)</f>
        <v>0</v>
      </c>
      <c r="P270" s="220">
        <f t="shared" si="48"/>
        <v>0</v>
      </c>
      <c r="Q270" s="220">
        <f t="shared" si="48"/>
        <v>0</v>
      </c>
      <c r="R270" s="220">
        <f t="shared" si="48"/>
        <v>0</v>
      </c>
      <c r="S270" s="220">
        <f t="shared" si="48"/>
        <v>0</v>
      </c>
      <c r="T270" s="220">
        <f t="shared" si="48"/>
        <v>0</v>
      </c>
      <c r="U270" s="220">
        <f t="shared" si="48"/>
        <v>0</v>
      </c>
      <c r="V270" s="220">
        <f t="shared" si="48"/>
        <v>0</v>
      </c>
      <c r="W270" s="220">
        <f t="shared" si="48"/>
        <v>0</v>
      </c>
      <c r="X270" s="220">
        <f t="shared" si="48"/>
        <v>0</v>
      </c>
      <c r="Y270" s="220">
        <f t="shared" si="48"/>
        <v>0</v>
      </c>
      <c r="Z270" s="220">
        <f t="shared" si="48"/>
        <v>0</v>
      </c>
      <c r="AA270" s="220">
        <f>SUM(AA271:AA275)</f>
        <v>0</v>
      </c>
      <c r="AB270" s="220">
        <f>SUM(AB271:AB275)</f>
        <v>0</v>
      </c>
      <c r="AC270" s="220">
        <f t="shared" si="48"/>
        <v>0</v>
      </c>
      <c r="AD270" s="220">
        <f t="shared" si="48"/>
        <v>0</v>
      </c>
      <c r="AE270" s="220">
        <f t="shared" si="48"/>
        <v>0</v>
      </c>
      <c r="AF270" s="220">
        <f t="shared" si="48"/>
        <v>0</v>
      </c>
      <c r="AG270" s="220">
        <f t="shared" si="48"/>
        <v>0</v>
      </c>
      <c r="AH270" s="220">
        <f t="shared" si="48"/>
        <v>0</v>
      </c>
      <c r="AI270" s="220">
        <f t="shared" si="48"/>
        <v>0</v>
      </c>
      <c r="AJ270" s="220">
        <f t="shared" si="48"/>
        <v>0</v>
      </c>
      <c r="AK270" s="220">
        <f t="shared" si="48"/>
        <v>0</v>
      </c>
      <c r="AL270" s="220">
        <f>SUM(AL271:AL275)</f>
        <v>0</v>
      </c>
      <c r="AM270" s="194"/>
    </row>
    <row r="271" spans="1:39" s="93" customFormat="1" outlineLevel="1">
      <c r="A271" s="551" t="str">
        <f t="shared" si="46"/>
        <v>1</v>
      </c>
      <c r="L271" s="221" t="s">
        <v>170</v>
      </c>
      <c r="M271" s="222" t="s">
        <v>376</v>
      </c>
      <c r="N271" s="149" t="s">
        <v>370</v>
      </c>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c r="AJ271" s="223"/>
      <c r="AK271" s="223"/>
      <c r="AL271" s="223"/>
      <c r="AM271" s="194"/>
    </row>
    <row r="272" spans="1:39" s="93" customFormat="1" outlineLevel="1">
      <c r="A272" s="551" t="str">
        <f t="shared" si="46"/>
        <v>1</v>
      </c>
      <c r="L272" s="221" t="s">
        <v>171</v>
      </c>
      <c r="M272" s="222" t="s">
        <v>377</v>
      </c>
      <c r="N272" s="149" t="s">
        <v>370</v>
      </c>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c r="AJ272" s="223"/>
      <c r="AK272" s="223"/>
      <c r="AL272" s="223"/>
      <c r="AM272" s="194"/>
    </row>
    <row r="273" spans="1:39" s="93" customFormat="1" outlineLevel="1">
      <c r="A273" s="551" t="str">
        <f t="shared" si="46"/>
        <v>1</v>
      </c>
      <c r="L273" s="221" t="s">
        <v>387</v>
      </c>
      <c r="M273" s="222" t="s">
        <v>379</v>
      </c>
      <c r="N273" s="149" t="s">
        <v>370</v>
      </c>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c r="AJ273" s="223"/>
      <c r="AK273" s="223"/>
      <c r="AL273" s="223"/>
      <c r="AM273" s="194"/>
    </row>
    <row r="274" spans="1:39" s="93" customFormat="1" outlineLevel="1">
      <c r="A274" s="551" t="str">
        <f t="shared" si="46"/>
        <v>1</v>
      </c>
      <c r="L274" s="221" t="s">
        <v>388</v>
      </c>
      <c r="M274" s="222" t="s">
        <v>381</v>
      </c>
      <c r="N274" s="149" t="s">
        <v>370</v>
      </c>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c r="AJ274" s="223"/>
      <c r="AK274" s="223"/>
      <c r="AL274" s="223"/>
      <c r="AM274" s="194"/>
    </row>
    <row r="275" spans="1:39" s="93" customFormat="1" outlineLevel="1">
      <c r="A275" s="551" t="str">
        <f t="shared" si="46"/>
        <v>1</v>
      </c>
      <c r="L275" s="221" t="s">
        <v>389</v>
      </c>
      <c r="M275" s="222" t="s">
        <v>383</v>
      </c>
      <c r="N275" s="149" t="s">
        <v>370</v>
      </c>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c r="AJ275" s="223"/>
      <c r="AK275" s="223"/>
      <c r="AL275" s="223"/>
      <c r="AM275" s="194"/>
    </row>
    <row r="276" spans="1:39" s="95" customFormat="1" ht="22.5" outlineLevel="1">
      <c r="A276" s="551" t="str">
        <f t="shared" si="46"/>
        <v>1</v>
      </c>
      <c r="L276" s="217">
        <v>4</v>
      </c>
      <c r="M276" s="218" t="s">
        <v>390</v>
      </c>
      <c r="N276" s="149" t="s">
        <v>370</v>
      </c>
      <c r="O276" s="220">
        <f t="shared" ref="O276:AL276" si="49">SUM(O277:O281)</f>
        <v>0</v>
      </c>
      <c r="P276" s="220">
        <f t="shared" si="49"/>
        <v>0</v>
      </c>
      <c r="Q276" s="220">
        <f>SUM(Q277:Q281)</f>
        <v>0</v>
      </c>
      <c r="R276" s="220">
        <f t="shared" si="49"/>
        <v>0</v>
      </c>
      <c r="S276" s="220">
        <f t="shared" si="49"/>
        <v>0</v>
      </c>
      <c r="T276" s="220">
        <f t="shared" si="49"/>
        <v>0</v>
      </c>
      <c r="U276" s="220">
        <f t="shared" si="49"/>
        <v>0</v>
      </c>
      <c r="V276" s="220">
        <f t="shared" si="49"/>
        <v>0</v>
      </c>
      <c r="W276" s="220">
        <f t="shared" si="49"/>
        <v>0</v>
      </c>
      <c r="X276" s="220">
        <f t="shared" si="49"/>
        <v>0</v>
      </c>
      <c r="Y276" s="220">
        <f t="shared" si="49"/>
        <v>0</v>
      </c>
      <c r="Z276" s="220">
        <f t="shared" si="49"/>
        <v>0</v>
      </c>
      <c r="AA276" s="220">
        <f>SUM(AA277:AA281)</f>
        <v>0</v>
      </c>
      <c r="AB276" s="220">
        <f>SUM(AB277:AB281)</f>
        <v>0</v>
      </c>
      <c r="AC276" s="220">
        <f t="shared" si="49"/>
        <v>0</v>
      </c>
      <c r="AD276" s="220">
        <f t="shared" si="49"/>
        <v>0</v>
      </c>
      <c r="AE276" s="220">
        <f t="shared" si="49"/>
        <v>0</v>
      </c>
      <c r="AF276" s="220">
        <f t="shared" si="49"/>
        <v>0</v>
      </c>
      <c r="AG276" s="220">
        <f t="shared" si="49"/>
        <v>0</v>
      </c>
      <c r="AH276" s="220">
        <f t="shared" si="49"/>
        <v>0</v>
      </c>
      <c r="AI276" s="220">
        <f t="shared" si="49"/>
        <v>0</v>
      </c>
      <c r="AJ276" s="220">
        <f t="shared" si="49"/>
        <v>0</v>
      </c>
      <c r="AK276" s="220">
        <f t="shared" si="49"/>
        <v>0</v>
      </c>
      <c r="AL276" s="220">
        <f t="shared" si="49"/>
        <v>0</v>
      </c>
      <c r="AM276" s="194"/>
    </row>
    <row r="277" spans="1:39" s="93" customFormat="1" outlineLevel="1">
      <c r="A277" s="551" t="str">
        <f t="shared" si="46"/>
        <v>1</v>
      </c>
      <c r="L277" s="221" t="s">
        <v>148</v>
      </c>
      <c r="M277" s="222" t="s">
        <v>376</v>
      </c>
      <c r="N277" s="149" t="s">
        <v>370</v>
      </c>
      <c r="O277" s="223">
        <f>O259+O265-O271</f>
        <v>0</v>
      </c>
      <c r="P277" s="223">
        <f t="shared" ref="P277:AL281" si="50">P259+P265-P271</f>
        <v>0</v>
      </c>
      <c r="Q277" s="223">
        <f>Q259+Q265-Q271</f>
        <v>0</v>
      </c>
      <c r="R277" s="223">
        <f t="shared" si="50"/>
        <v>0</v>
      </c>
      <c r="S277" s="223">
        <f t="shared" si="50"/>
        <v>0</v>
      </c>
      <c r="T277" s="223">
        <f t="shared" si="50"/>
        <v>0</v>
      </c>
      <c r="U277" s="223">
        <f t="shared" si="50"/>
        <v>0</v>
      </c>
      <c r="V277" s="223">
        <f t="shared" si="50"/>
        <v>0</v>
      </c>
      <c r="W277" s="223">
        <f t="shared" si="50"/>
        <v>0</v>
      </c>
      <c r="X277" s="223">
        <f t="shared" si="50"/>
        <v>0</v>
      </c>
      <c r="Y277" s="223">
        <f t="shared" si="50"/>
        <v>0</v>
      </c>
      <c r="Z277" s="223">
        <f t="shared" si="50"/>
        <v>0</v>
      </c>
      <c r="AA277" s="223">
        <f t="shared" si="50"/>
        <v>0</v>
      </c>
      <c r="AB277" s="223">
        <f t="shared" si="50"/>
        <v>0</v>
      </c>
      <c r="AC277" s="223">
        <f t="shared" si="50"/>
        <v>0</v>
      </c>
      <c r="AD277" s="223">
        <f t="shared" si="50"/>
        <v>0</v>
      </c>
      <c r="AE277" s="223">
        <f t="shared" si="50"/>
        <v>0</v>
      </c>
      <c r="AF277" s="223">
        <f t="shared" si="50"/>
        <v>0</v>
      </c>
      <c r="AG277" s="223">
        <f t="shared" si="50"/>
        <v>0</v>
      </c>
      <c r="AH277" s="223">
        <f t="shared" si="50"/>
        <v>0</v>
      </c>
      <c r="AI277" s="223">
        <f t="shared" si="50"/>
        <v>0</v>
      </c>
      <c r="AJ277" s="223">
        <f t="shared" si="50"/>
        <v>0</v>
      </c>
      <c r="AK277" s="223">
        <f t="shared" si="50"/>
        <v>0</v>
      </c>
      <c r="AL277" s="223">
        <f t="shared" si="50"/>
        <v>0</v>
      </c>
      <c r="AM277" s="194"/>
    </row>
    <row r="278" spans="1:39" s="93" customFormat="1" outlineLevel="1">
      <c r="A278" s="551" t="str">
        <f t="shared" si="46"/>
        <v>1</v>
      </c>
      <c r="L278" s="221" t="s">
        <v>391</v>
      </c>
      <c r="M278" s="222" t="s">
        <v>377</v>
      </c>
      <c r="N278" s="149" t="s">
        <v>370</v>
      </c>
      <c r="O278" s="223">
        <f>O260+O266-O272</f>
        <v>0</v>
      </c>
      <c r="P278" s="223">
        <f>P260+P266-P272</f>
        <v>0</v>
      </c>
      <c r="Q278" s="223">
        <f>Q260+Q266-Q272</f>
        <v>0</v>
      </c>
      <c r="R278" s="223">
        <f>R260+R266-R272</f>
        <v>0</v>
      </c>
      <c r="S278" s="223">
        <f t="shared" si="50"/>
        <v>0</v>
      </c>
      <c r="T278" s="223">
        <f t="shared" si="50"/>
        <v>0</v>
      </c>
      <c r="U278" s="223">
        <f t="shared" si="50"/>
        <v>0</v>
      </c>
      <c r="V278" s="223">
        <f t="shared" si="50"/>
        <v>0</v>
      </c>
      <c r="W278" s="223">
        <f t="shared" si="50"/>
        <v>0</v>
      </c>
      <c r="X278" s="223">
        <f t="shared" si="50"/>
        <v>0</v>
      </c>
      <c r="Y278" s="223">
        <f t="shared" si="50"/>
        <v>0</v>
      </c>
      <c r="Z278" s="223">
        <f t="shared" si="50"/>
        <v>0</v>
      </c>
      <c r="AA278" s="223">
        <f t="shared" si="50"/>
        <v>0</v>
      </c>
      <c r="AB278" s="223">
        <f t="shared" si="50"/>
        <v>0</v>
      </c>
      <c r="AC278" s="223">
        <f t="shared" si="50"/>
        <v>0</v>
      </c>
      <c r="AD278" s="223">
        <f t="shared" si="50"/>
        <v>0</v>
      </c>
      <c r="AE278" s="223">
        <f t="shared" si="50"/>
        <v>0</v>
      </c>
      <c r="AF278" s="223">
        <f t="shared" si="50"/>
        <v>0</v>
      </c>
      <c r="AG278" s="223">
        <f t="shared" si="50"/>
        <v>0</v>
      </c>
      <c r="AH278" s="223">
        <f t="shared" si="50"/>
        <v>0</v>
      </c>
      <c r="AI278" s="223">
        <f t="shared" si="50"/>
        <v>0</v>
      </c>
      <c r="AJ278" s="223">
        <f t="shared" si="50"/>
        <v>0</v>
      </c>
      <c r="AK278" s="223">
        <f t="shared" si="50"/>
        <v>0</v>
      </c>
      <c r="AL278" s="223">
        <f t="shared" si="50"/>
        <v>0</v>
      </c>
      <c r="AM278" s="194"/>
    </row>
    <row r="279" spans="1:39" s="93" customFormat="1" outlineLevel="1">
      <c r="A279" s="551" t="str">
        <f t="shared" si="46"/>
        <v>1</v>
      </c>
      <c r="L279" s="221" t="s">
        <v>392</v>
      </c>
      <c r="M279" s="222" t="s">
        <v>379</v>
      </c>
      <c r="N279" s="149" t="s">
        <v>370</v>
      </c>
      <c r="O279" s="223">
        <f>O261+O267-O273</f>
        <v>0</v>
      </c>
      <c r="P279" s="223">
        <f>P261+P267-P273</f>
        <v>0</v>
      </c>
      <c r="Q279" s="223">
        <f>Q261+Q267-Q273</f>
        <v>0</v>
      </c>
      <c r="R279" s="223">
        <f>R261+R267-R273</f>
        <v>0</v>
      </c>
      <c r="S279" s="223">
        <f>S261+S267-S273</f>
        <v>0</v>
      </c>
      <c r="T279" s="223">
        <f t="shared" si="50"/>
        <v>0</v>
      </c>
      <c r="U279" s="223">
        <f t="shared" si="50"/>
        <v>0</v>
      </c>
      <c r="V279" s="223">
        <f t="shared" si="50"/>
        <v>0</v>
      </c>
      <c r="W279" s="223">
        <f t="shared" si="50"/>
        <v>0</v>
      </c>
      <c r="X279" s="223">
        <f t="shared" si="50"/>
        <v>0</v>
      </c>
      <c r="Y279" s="223">
        <f t="shared" si="50"/>
        <v>0</v>
      </c>
      <c r="Z279" s="223">
        <f t="shared" si="50"/>
        <v>0</v>
      </c>
      <c r="AA279" s="223">
        <f t="shared" ref="AA279:AD281" si="51">AA261+AA267-AA273</f>
        <v>0</v>
      </c>
      <c r="AB279" s="223">
        <f t="shared" si="51"/>
        <v>0</v>
      </c>
      <c r="AC279" s="223">
        <f t="shared" si="51"/>
        <v>0</v>
      </c>
      <c r="AD279" s="223">
        <f t="shared" si="51"/>
        <v>0</v>
      </c>
      <c r="AE279" s="223">
        <f t="shared" si="50"/>
        <v>0</v>
      </c>
      <c r="AF279" s="223">
        <f t="shared" si="50"/>
        <v>0</v>
      </c>
      <c r="AG279" s="223">
        <f t="shared" si="50"/>
        <v>0</v>
      </c>
      <c r="AH279" s="223">
        <f t="shared" si="50"/>
        <v>0</v>
      </c>
      <c r="AI279" s="223">
        <f t="shared" si="50"/>
        <v>0</v>
      </c>
      <c r="AJ279" s="223">
        <f t="shared" si="50"/>
        <v>0</v>
      </c>
      <c r="AK279" s="223">
        <f t="shared" si="50"/>
        <v>0</v>
      </c>
      <c r="AL279" s="223">
        <f>AL261+AL267-AL273</f>
        <v>0</v>
      </c>
      <c r="AM279" s="194"/>
    </row>
    <row r="280" spans="1:39" s="93" customFormat="1" outlineLevel="1">
      <c r="A280" s="551" t="str">
        <f t="shared" si="46"/>
        <v>1</v>
      </c>
      <c r="L280" s="221" t="s">
        <v>393</v>
      </c>
      <c r="M280" s="222" t="s">
        <v>381</v>
      </c>
      <c r="N280" s="149" t="s">
        <v>370</v>
      </c>
      <c r="O280" s="223">
        <f>O262+O268-O274</f>
        <v>0</v>
      </c>
      <c r="P280" s="223">
        <f>P262+P268-P274</f>
        <v>0</v>
      </c>
      <c r="Q280" s="223">
        <f>Q262+Q268-Q274</f>
        <v>0</v>
      </c>
      <c r="R280" s="223">
        <f>R262+R268-R274</f>
        <v>0</v>
      </c>
      <c r="S280" s="223">
        <f>S262+S268-S274</f>
        <v>0</v>
      </c>
      <c r="T280" s="223">
        <f t="shared" si="50"/>
        <v>0</v>
      </c>
      <c r="U280" s="223">
        <f t="shared" si="50"/>
        <v>0</v>
      </c>
      <c r="V280" s="223">
        <f t="shared" si="50"/>
        <v>0</v>
      </c>
      <c r="W280" s="223">
        <f t="shared" si="50"/>
        <v>0</v>
      </c>
      <c r="X280" s="223">
        <f t="shared" si="50"/>
        <v>0</v>
      </c>
      <c r="Y280" s="223">
        <f t="shared" si="50"/>
        <v>0</v>
      </c>
      <c r="Z280" s="223">
        <f t="shared" si="50"/>
        <v>0</v>
      </c>
      <c r="AA280" s="223">
        <f t="shared" si="51"/>
        <v>0</v>
      </c>
      <c r="AB280" s="223">
        <f t="shared" si="51"/>
        <v>0</v>
      </c>
      <c r="AC280" s="223">
        <f t="shared" si="51"/>
        <v>0</v>
      </c>
      <c r="AD280" s="223">
        <f t="shared" si="51"/>
        <v>0</v>
      </c>
      <c r="AE280" s="223">
        <f t="shared" si="50"/>
        <v>0</v>
      </c>
      <c r="AF280" s="223">
        <f t="shared" si="50"/>
        <v>0</v>
      </c>
      <c r="AG280" s="223">
        <f t="shared" si="50"/>
        <v>0</v>
      </c>
      <c r="AH280" s="223">
        <f t="shared" si="50"/>
        <v>0</v>
      </c>
      <c r="AI280" s="223">
        <f t="shared" si="50"/>
        <v>0</v>
      </c>
      <c r="AJ280" s="223">
        <f t="shared" si="50"/>
        <v>0</v>
      </c>
      <c r="AK280" s="223">
        <f t="shared" si="50"/>
        <v>0</v>
      </c>
      <c r="AL280" s="223">
        <f>AL262+AL268-AL274</f>
        <v>0</v>
      </c>
      <c r="AM280" s="194"/>
    </row>
    <row r="281" spans="1:39" s="93" customFormat="1" outlineLevel="1">
      <c r="A281" s="551" t="str">
        <f t="shared" si="46"/>
        <v>1</v>
      </c>
      <c r="L281" s="221" t="s">
        <v>394</v>
      </c>
      <c r="M281" s="222" t="s">
        <v>383</v>
      </c>
      <c r="N281" s="149" t="s">
        <v>370</v>
      </c>
      <c r="O281" s="223">
        <f>O263+O269-O275</f>
        <v>0</v>
      </c>
      <c r="P281" s="223">
        <f>P263+P269-P275</f>
        <v>0</v>
      </c>
      <c r="Q281" s="223">
        <f>Q263+Q269-Q275</f>
        <v>0</v>
      </c>
      <c r="R281" s="223">
        <f>R263+R269-R275</f>
        <v>0</v>
      </c>
      <c r="S281" s="223">
        <f>S263+S269-S275</f>
        <v>0</v>
      </c>
      <c r="T281" s="223">
        <f t="shared" si="50"/>
        <v>0</v>
      </c>
      <c r="U281" s="223">
        <f t="shared" si="50"/>
        <v>0</v>
      </c>
      <c r="V281" s="223">
        <f t="shared" si="50"/>
        <v>0</v>
      </c>
      <c r="W281" s="223">
        <f t="shared" si="50"/>
        <v>0</v>
      </c>
      <c r="X281" s="223">
        <f t="shared" si="50"/>
        <v>0</v>
      </c>
      <c r="Y281" s="223">
        <f t="shared" si="50"/>
        <v>0</v>
      </c>
      <c r="Z281" s="223">
        <f t="shared" si="50"/>
        <v>0</v>
      </c>
      <c r="AA281" s="223">
        <f t="shared" si="51"/>
        <v>0</v>
      </c>
      <c r="AB281" s="223">
        <f t="shared" si="51"/>
        <v>0</v>
      </c>
      <c r="AC281" s="223">
        <f t="shared" si="51"/>
        <v>0</v>
      </c>
      <c r="AD281" s="223">
        <f t="shared" si="51"/>
        <v>0</v>
      </c>
      <c r="AE281" s="223">
        <f t="shared" si="50"/>
        <v>0</v>
      </c>
      <c r="AF281" s="223">
        <f t="shared" si="50"/>
        <v>0</v>
      </c>
      <c r="AG281" s="223">
        <f t="shared" si="50"/>
        <v>0</v>
      </c>
      <c r="AH281" s="223">
        <f t="shared" si="50"/>
        <v>0</v>
      </c>
      <c r="AI281" s="223">
        <f t="shared" si="50"/>
        <v>0</v>
      </c>
      <c r="AJ281" s="223">
        <f t="shared" si="50"/>
        <v>0</v>
      </c>
      <c r="AK281" s="223">
        <f t="shared" si="50"/>
        <v>0</v>
      </c>
      <c r="AL281" s="223">
        <f>AL263+AL269-AL275</f>
        <v>0</v>
      </c>
      <c r="AM281" s="194"/>
    </row>
    <row r="282" spans="1:39" s="95" customFormat="1" outlineLevel="1">
      <c r="A282" s="551" t="str">
        <f t="shared" si="46"/>
        <v>1</v>
      </c>
      <c r="L282" s="217">
        <v>5</v>
      </c>
      <c r="M282" s="218" t="s">
        <v>395</v>
      </c>
      <c r="N282" s="149" t="s">
        <v>370</v>
      </c>
      <c r="O282" s="220">
        <f>SUM(O283:O287)</f>
        <v>0</v>
      </c>
      <c r="P282" s="220">
        <f t="shared" ref="P282:AL282" si="52">SUM(P283:P287)</f>
        <v>0</v>
      </c>
      <c r="Q282" s="220">
        <f>SUM(Q283:Q287)</f>
        <v>0</v>
      </c>
      <c r="R282" s="220">
        <f t="shared" si="52"/>
        <v>0</v>
      </c>
      <c r="S282" s="220">
        <f t="shared" si="52"/>
        <v>0</v>
      </c>
      <c r="T282" s="220">
        <f t="shared" si="52"/>
        <v>0</v>
      </c>
      <c r="U282" s="220">
        <f t="shared" si="52"/>
        <v>0</v>
      </c>
      <c r="V282" s="220">
        <f t="shared" si="52"/>
        <v>0</v>
      </c>
      <c r="W282" s="220">
        <f t="shared" si="52"/>
        <v>0</v>
      </c>
      <c r="X282" s="220">
        <f t="shared" si="52"/>
        <v>0</v>
      </c>
      <c r="Y282" s="220">
        <f t="shared" si="52"/>
        <v>0</v>
      </c>
      <c r="Z282" s="220">
        <f t="shared" si="52"/>
        <v>0</v>
      </c>
      <c r="AA282" s="220">
        <f>SUM(AA283:AA287)</f>
        <v>0</v>
      </c>
      <c r="AB282" s="220">
        <f>SUM(AB283:AB287)</f>
        <v>0</v>
      </c>
      <c r="AC282" s="220">
        <f t="shared" si="52"/>
        <v>0</v>
      </c>
      <c r="AD282" s="220">
        <f t="shared" si="52"/>
        <v>0</v>
      </c>
      <c r="AE282" s="220">
        <f t="shared" si="52"/>
        <v>0</v>
      </c>
      <c r="AF282" s="220">
        <f t="shared" si="52"/>
        <v>0</v>
      </c>
      <c r="AG282" s="220">
        <f t="shared" si="52"/>
        <v>0</v>
      </c>
      <c r="AH282" s="220">
        <f t="shared" si="52"/>
        <v>0</v>
      </c>
      <c r="AI282" s="220">
        <f t="shared" si="52"/>
        <v>0</v>
      </c>
      <c r="AJ282" s="220">
        <f t="shared" si="52"/>
        <v>0</v>
      </c>
      <c r="AK282" s="220">
        <f t="shared" si="52"/>
        <v>0</v>
      </c>
      <c r="AL282" s="220">
        <f t="shared" si="52"/>
        <v>0</v>
      </c>
      <c r="AM282" s="194"/>
    </row>
    <row r="283" spans="1:39" s="93" customFormat="1" outlineLevel="1">
      <c r="A283" s="551" t="str">
        <f t="shared" si="46"/>
        <v>1</v>
      </c>
      <c r="L283" s="221" t="s">
        <v>122</v>
      </c>
      <c r="M283" s="222" t="s">
        <v>376</v>
      </c>
      <c r="N283" s="149" t="s">
        <v>370</v>
      </c>
      <c r="O283" s="223">
        <f>(O277+O259)/2</f>
        <v>0</v>
      </c>
      <c r="P283" s="223">
        <f t="shared" ref="P283:AL287" si="53">(P277+P259)/2</f>
        <v>0</v>
      </c>
      <c r="Q283" s="223">
        <f>(Q277+Q259)/2</f>
        <v>0</v>
      </c>
      <c r="R283" s="223">
        <f t="shared" si="53"/>
        <v>0</v>
      </c>
      <c r="S283" s="223">
        <f t="shared" si="53"/>
        <v>0</v>
      </c>
      <c r="T283" s="223">
        <f t="shared" si="53"/>
        <v>0</v>
      </c>
      <c r="U283" s="223">
        <f t="shared" si="53"/>
        <v>0</v>
      </c>
      <c r="V283" s="223">
        <f t="shared" si="53"/>
        <v>0</v>
      </c>
      <c r="W283" s="223">
        <f t="shared" si="53"/>
        <v>0</v>
      </c>
      <c r="X283" s="223">
        <f t="shared" si="53"/>
        <v>0</v>
      </c>
      <c r="Y283" s="223">
        <f t="shared" si="53"/>
        <v>0</v>
      </c>
      <c r="Z283" s="223">
        <f t="shared" si="53"/>
        <v>0</v>
      </c>
      <c r="AA283" s="223">
        <f t="shared" si="53"/>
        <v>0</v>
      </c>
      <c r="AB283" s="223">
        <f t="shared" si="53"/>
        <v>0</v>
      </c>
      <c r="AC283" s="223">
        <f t="shared" si="53"/>
        <v>0</v>
      </c>
      <c r="AD283" s="223">
        <f t="shared" si="53"/>
        <v>0</v>
      </c>
      <c r="AE283" s="223">
        <f t="shared" si="53"/>
        <v>0</v>
      </c>
      <c r="AF283" s="223">
        <f t="shared" si="53"/>
        <v>0</v>
      </c>
      <c r="AG283" s="223">
        <f t="shared" si="53"/>
        <v>0</v>
      </c>
      <c r="AH283" s="223">
        <f t="shared" si="53"/>
        <v>0</v>
      </c>
      <c r="AI283" s="223">
        <f t="shared" si="53"/>
        <v>0</v>
      </c>
      <c r="AJ283" s="223">
        <f t="shared" si="53"/>
        <v>0</v>
      </c>
      <c r="AK283" s="223">
        <f t="shared" si="53"/>
        <v>0</v>
      </c>
      <c r="AL283" s="223">
        <f t="shared" si="53"/>
        <v>0</v>
      </c>
      <c r="AM283" s="194"/>
    </row>
    <row r="284" spans="1:39" s="93" customFormat="1" outlineLevel="1">
      <c r="A284" s="551" t="str">
        <f t="shared" si="46"/>
        <v>1</v>
      </c>
      <c r="L284" s="221" t="s">
        <v>123</v>
      </c>
      <c r="M284" s="222" t="s">
        <v>377</v>
      </c>
      <c r="N284" s="149" t="s">
        <v>370</v>
      </c>
      <c r="O284" s="223">
        <f>(O278+O260)/2</f>
        <v>0</v>
      </c>
      <c r="P284" s="223">
        <f t="shared" si="53"/>
        <v>0</v>
      </c>
      <c r="Q284" s="223">
        <f>(Q278+Q260)/2</f>
        <v>0</v>
      </c>
      <c r="R284" s="223">
        <f t="shared" si="53"/>
        <v>0</v>
      </c>
      <c r="S284" s="223">
        <f t="shared" si="53"/>
        <v>0</v>
      </c>
      <c r="T284" s="223">
        <f t="shared" si="53"/>
        <v>0</v>
      </c>
      <c r="U284" s="223">
        <f t="shared" si="53"/>
        <v>0</v>
      </c>
      <c r="V284" s="223">
        <f t="shared" si="53"/>
        <v>0</v>
      </c>
      <c r="W284" s="223">
        <f t="shared" si="53"/>
        <v>0</v>
      </c>
      <c r="X284" s="223">
        <f t="shared" si="53"/>
        <v>0</v>
      </c>
      <c r="Y284" s="223">
        <f t="shared" si="53"/>
        <v>0</v>
      </c>
      <c r="Z284" s="223">
        <f t="shared" si="53"/>
        <v>0</v>
      </c>
      <c r="AA284" s="223">
        <f t="shared" si="53"/>
        <v>0</v>
      </c>
      <c r="AB284" s="223">
        <f t="shared" si="53"/>
        <v>0</v>
      </c>
      <c r="AC284" s="223">
        <f t="shared" si="53"/>
        <v>0</v>
      </c>
      <c r="AD284" s="223">
        <f t="shared" si="53"/>
        <v>0</v>
      </c>
      <c r="AE284" s="223">
        <f t="shared" si="53"/>
        <v>0</v>
      </c>
      <c r="AF284" s="223">
        <f t="shared" si="53"/>
        <v>0</v>
      </c>
      <c r="AG284" s="223">
        <f t="shared" si="53"/>
        <v>0</v>
      </c>
      <c r="AH284" s="223">
        <f t="shared" si="53"/>
        <v>0</v>
      </c>
      <c r="AI284" s="223">
        <f t="shared" si="53"/>
        <v>0</v>
      </c>
      <c r="AJ284" s="223">
        <f t="shared" si="53"/>
        <v>0</v>
      </c>
      <c r="AK284" s="223">
        <f t="shared" si="53"/>
        <v>0</v>
      </c>
      <c r="AL284" s="223">
        <f t="shared" si="53"/>
        <v>0</v>
      </c>
      <c r="AM284" s="194"/>
    </row>
    <row r="285" spans="1:39" s="93" customFormat="1" outlineLevel="1">
      <c r="A285" s="551" t="str">
        <f t="shared" si="46"/>
        <v>1</v>
      </c>
      <c r="L285" s="221" t="s">
        <v>396</v>
      </c>
      <c r="M285" s="222" t="s">
        <v>379</v>
      </c>
      <c r="N285" s="149" t="s">
        <v>370</v>
      </c>
      <c r="O285" s="223">
        <f>(O279+O261)/2</f>
        <v>0</v>
      </c>
      <c r="P285" s="223">
        <f t="shared" si="53"/>
        <v>0</v>
      </c>
      <c r="Q285" s="223">
        <f>(Q279+Q261)/2</f>
        <v>0</v>
      </c>
      <c r="R285" s="223">
        <f t="shared" si="53"/>
        <v>0</v>
      </c>
      <c r="S285" s="223">
        <f t="shared" si="53"/>
        <v>0</v>
      </c>
      <c r="T285" s="223">
        <f t="shared" si="53"/>
        <v>0</v>
      </c>
      <c r="U285" s="223">
        <f t="shared" si="53"/>
        <v>0</v>
      </c>
      <c r="V285" s="223">
        <f t="shared" si="53"/>
        <v>0</v>
      </c>
      <c r="W285" s="223">
        <f t="shared" si="53"/>
        <v>0</v>
      </c>
      <c r="X285" s="223">
        <f t="shared" si="53"/>
        <v>0</v>
      </c>
      <c r="Y285" s="223">
        <f t="shared" si="53"/>
        <v>0</v>
      </c>
      <c r="Z285" s="223">
        <f t="shared" si="53"/>
        <v>0</v>
      </c>
      <c r="AA285" s="223">
        <f t="shared" si="53"/>
        <v>0</v>
      </c>
      <c r="AB285" s="223">
        <f t="shared" si="53"/>
        <v>0</v>
      </c>
      <c r="AC285" s="223">
        <f t="shared" si="53"/>
        <v>0</v>
      </c>
      <c r="AD285" s="223">
        <f t="shared" si="53"/>
        <v>0</v>
      </c>
      <c r="AE285" s="223">
        <f t="shared" si="53"/>
        <v>0</v>
      </c>
      <c r="AF285" s="223">
        <f t="shared" si="53"/>
        <v>0</v>
      </c>
      <c r="AG285" s="223">
        <f t="shared" si="53"/>
        <v>0</v>
      </c>
      <c r="AH285" s="223">
        <f t="shared" si="53"/>
        <v>0</v>
      </c>
      <c r="AI285" s="223">
        <f t="shared" si="53"/>
        <v>0</v>
      </c>
      <c r="AJ285" s="223">
        <f t="shared" si="53"/>
        <v>0</v>
      </c>
      <c r="AK285" s="223">
        <f t="shared" si="53"/>
        <v>0</v>
      </c>
      <c r="AL285" s="223">
        <f t="shared" si="53"/>
        <v>0</v>
      </c>
      <c r="AM285" s="194"/>
    </row>
    <row r="286" spans="1:39" s="93" customFormat="1" outlineLevel="1">
      <c r="A286" s="551" t="str">
        <f t="shared" si="46"/>
        <v>1</v>
      </c>
      <c r="L286" s="221" t="s">
        <v>397</v>
      </c>
      <c r="M286" s="222" t="s">
        <v>381</v>
      </c>
      <c r="N286" s="149" t="s">
        <v>370</v>
      </c>
      <c r="O286" s="223">
        <f>(O280+O262)/2</f>
        <v>0</v>
      </c>
      <c r="P286" s="223">
        <f t="shared" si="53"/>
        <v>0</v>
      </c>
      <c r="Q286" s="223">
        <f>(Q280+Q262)/2</f>
        <v>0</v>
      </c>
      <c r="R286" s="223">
        <f t="shared" si="53"/>
        <v>0</v>
      </c>
      <c r="S286" s="223">
        <f t="shared" si="53"/>
        <v>0</v>
      </c>
      <c r="T286" s="223">
        <f t="shared" si="53"/>
        <v>0</v>
      </c>
      <c r="U286" s="223">
        <f t="shared" si="53"/>
        <v>0</v>
      </c>
      <c r="V286" s="223">
        <f t="shared" si="53"/>
        <v>0</v>
      </c>
      <c r="W286" s="223">
        <f t="shared" si="53"/>
        <v>0</v>
      </c>
      <c r="X286" s="223">
        <f t="shared" si="53"/>
        <v>0</v>
      </c>
      <c r="Y286" s="223">
        <f t="shared" si="53"/>
        <v>0</v>
      </c>
      <c r="Z286" s="223">
        <f t="shared" si="53"/>
        <v>0</v>
      </c>
      <c r="AA286" s="223">
        <f t="shared" si="53"/>
        <v>0</v>
      </c>
      <c r="AB286" s="223">
        <f t="shared" si="53"/>
        <v>0</v>
      </c>
      <c r="AC286" s="223">
        <f t="shared" si="53"/>
        <v>0</v>
      </c>
      <c r="AD286" s="223">
        <f t="shared" si="53"/>
        <v>0</v>
      </c>
      <c r="AE286" s="223">
        <f t="shared" si="53"/>
        <v>0</v>
      </c>
      <c r="AF286" s="223">
        <f t="shared" si="53"/>
        <v>0</v>
      </c>
      <c r="AG286" s="223">
        <f t="shared" si="53"/>
        <v>0</v>
      </c>
      <c r="AH286" s="223">
        <f t="shared" si="53"/>
        <v>0</v>
      </c>
      <c r="AI286" s="223">
        <f t="shared" si="53"/>
        <v>0</v>
      </c>
      <c r="AJ286" s="223">
        <f t="shared" si="53"/>
        <v>0</v>
      </c>
      <c r="AK286" s="223">
        <f t="shared" si="53"/>
        <v>0</v>
      </c>
      <c r="AL286" s="223">
        <f t="shared" si="53"/>
        <v>0</v>
      </c>
      <c r="AM286" s="194"/>
    </row>
    <row r="287" spans="1:39" s="93" customFormat="1" outlineLevel="1">
      <c r="A287" s="551" t="str">
        <f t="shared" si="46"/>
        <v>1</v>
      </c>
      <c r="L287" s="221" t="s">
        <v>398</v>
      </c>
      <c r="M287" s="222" t="s">
        <v>383</v>
      </c>
      <c r="N287" s="149" t="s">
        <v>370</v>
      </c>
      <c r="O287" s="223">
        <f>(O281+O263)/2</f>
        <v>0</v>
      </c>
      <c r="P287" s="223">
        <f t="shared" si="53"/>
        <v>0</v>
      </c>
      <c r="Q287" s="223">
        <f>(Q281+Q263)/2</f>
        <v>0</v>
      </c>
      <c r="R287" s="223">
        <f t="shared" si="53"/>
        <v>0</v>
      </c>
      <c r="S287" s="223">
        <f t="shared" si="53"/>
        <v>0</v>
      </c>
      <c r="T287" s="223">
        <f t="shared" si="53"/>
        <v>0</v>
      </c>
      <c r="U287" s="223">
        <f t="shared" si="53"/>
        <v>0</v>
      </c>
      <c r="V287" s="223">
        <f t="shared" si="53"/>
        <v>0</v>
      </c>
      <c r="W287" s="223">
        <f t="shared" si="53"/>
        <v>0</v>
      </c>
      <c r="X287" s="223">
        <f t="shared" si="53"/>
        <v>0</v>
      </c>
      <c r="Y287" s="223">
        <f t="shared" si="53"/>
        <v>0</v>
      </c>
      <c r="Z287" s="223">
        <f t="shared" si="53"/>
        <v>0</v>
      </c>
      <c r="AA287" s="223">
        <f t="shared" si="53"/>
        <v>0</v>
      </c>
      <c r="AB287" s="223">
        <f t="shared" si="53"/>
        <v>0</v>
      </c>
      <c r="AC287" s="223">
        <f t="shared" si="53"/>
        <v>0</v>
      </c>
      <c r="AD287" s="223">
        <f t="shared" si="53"/>
        <v>0</v>
      </c>
      <c r="AE287" s="223">
        <f t="shared" si="53"/>
        <v>0</v>
      </c>
      <c r="AF287" s="223">
        <f t="shared" si="53"/>
        <v>0</v>
      </c>
      <c r="AG287" s="223">
        <f t="shared" si="53"/>
        <v>0</v>
      </c>
      <c r="AH287" s="223">
        <f t="shared" si="53"/>
        <v>0</v>
      </c>
      <c r="AI287" s="223">
        <f t="shared" si="53"/>
        <v>0</v>
      </c>
      <c r="AJ287" s="223">
        <f t="shared" si="53"/>
        <v>0</v>
      </c>
      <c r="AK287" s="223">
        <f t="shared" si="53"/>
        <v>0</v>
      </c>
      <c r="AL287" s="223">
        <f t="shared" si="53"/>
        <v>0</v>
      </c>
      <c r="AM287" s="194"/>
    </row>
    <row r="288" spans="1:39" s="95" customFormat="1" outlineLevel="1">
      <c r="A288" s="551" t="str">
        <f t="shared" si="46"/>
        <v>1</v>
      </c>
      <c r="L288" s="217">
        <v>6</v>
      </c>
      <c r="M288" s="218" t="s">
        <v>399</v>
      </c>
      <c r="N288" s="224"/>
      <c r="O288" s="225"/>
      <c r="P288" s="225"/>
      <c r="Q288" s="225"/>
      <c r="R288" s="225"/>
      <c r="S288" s="225"/>
      <c r="T288" s="225"/>
      <c r="U288" s="225"/>
      <c r="V288" s="225"/>
      <c r="W288" s="225"/>
      <c r="X288" s="225"/>
      <c r="Y288" s="225"/>
      <c r="Z288" s="225"/>
      <c r="AA288" s="225"/>
      <c r="AB288" s="225"/>
      <c r="AC288" s="225"/>
      <c r="AD288" s="225"/>
      <c r="AE288" s="225"/>
      <c r="AF288" s="225"/>
      <c r="AG288" s="225"/>
      <c r="AH288" s="225"/>
      <c r="AI288" s="225"/>
      <c r="AJ288" s="225"/>
      <c r="AK288" s="225"/>
      <c r="AL288" s="225"/>
      <c r="AM288" s="194"/>
    </row>
    <row r="289" spans="1:39" s="93" customFormat="1" outlineLevel="1">
      <c r="A289" s="551" t="str">
        <f t="shared" si="46"/>
        <v>1</v>
      </c>
      <c r="L289" s="221" t="s">
        <v>195</v>
      </c>
      <c r="M289" s="222" t="s">
        <v>376</v>
      </c>
      <c r="N289" s="219" t="s">
        <v>145</v>
      </c>
      <c r="O289" s="223">
        <f t="shared" ref="O289:AL293" si="54">IF(O283=0,0,O295/O283*100)</f>
        <v>0</v>
      </c>
      <c r="P289" s="223">
        <f t="shared" si="54"/>
        <v>0</v>
      </c>
      <c r="Q289" s="223">
        <f t="shared" si="54"/>
        <v>0</v>
      </c>
      <c r="R289" s="223">
        <f t="shared" si="54"/>
        <v>0</v>
      </c>
      <c r="S289" s="223">
        <f t="shared" si="54"/>
        <v>0</v>
      </c>
      <c r="T289" s="223">
        <f t="shared" si="54"/>
        <v>0</v>
      </c>
      <c r="U289" s="223">
        <f t="shared" si="54"/>
        <v>0</v>
      </c>
      <c r="V289" s="223">
        <f t="shared" si="54"/>
        <v>0</v>
      </c>
      <c r="W289" s="223">
        <f t="shared" si="54"/>
        <v>0</v>
      </c>
      <c r="X289" s="223">
        <f t="shared" si="54"/>
        <v>0</v>
      </c>
      <c r="Y289" s="223">
        <f t="shared" si="54"/>
        <v>0</v>
      </c>
      <c r="Z289" s="223">
        <f t="shared" si="54"/>
        <v>0</v>
      </c>
      <c r="AA289" s="223">
        <f t="shared" si="54"/>
        <v>0</v>
      </c>
      <c r="AB289" s="223">
        <f t="shared" si="54"/>
        <v>0</v>
      </c>
      <c r="AC289" s="223">
        <f t="shared" si="54"/>
        <v>0</v>
      </c>
      <c r="AD289" s="223">
        <f t="shared" si="54"/>
        <v>0</v>
      </c>
      <c r="AE289" s="223">
        <f t="shared" si="54"/>
        <v>0</v>
      </c>
      <c r="AF289" s="223">
        <f t="shared" si="54"/>
        <v>0</v>
      </c>
      <c r="AG289" s="223">
        <f t="shared" si="54"/>
        <v>0</v>
      </c>
      <c r="AH289" s="223">
        <f t="shared" si="54"/>
        <v>0</v>
      </c>
      <c r="AI289" s="223">
        <f t="shared" si="54"/>
        <v>0</v>
      </c>
      <c r="AJ289" s="223">
        <f t="shared" si="54"/>
        <v>0</v>
      </c>
      <c r="AK289" s="223">
        <f t="shared" si="54"/>
        <v>0</v>
      </c>
      <c r="AL289" s="223">
        <f t="shared" si="54"/>
        <v>0</v>
      </c>
      <c r="AM289" s="194"/>
    </row>
    <row r="290" spans="1:39" s="93" customFormat="1" outlineLevel="1">
      <c r="A290" s="551" t="str">
        <f t="shared" si="46"/>
        <v>1</v>
      </c>
      <c r="L290" s="221" t="s">
        <v>196</v>
      </c>
      <c r="M290" s="222" t="s">
        <v>377</v>
      </c>
      <c r="N290" s="219" t="s">
        <v>145</v>
      </c>
      <c r="O290" s="223">
        <f>IF(O284=0,0,O296/O284*100)</f>
        <v>0</v>
      </c>
      <c r="P290" s="223">
        <f t="shared" si="54"/>
        <v>0</v>
      </c>
      <c r="Q290" s="223">
        <f t="shared" si="54"/>
        <v>0</v>
      </c>
      <c r="R290" s="223">
        <f t="shared" si="54"/>
        <v>0</v>
      </c>
      <c r="S290" s="223">
        <f t="shared" si="54"/>
        <v>0</v>
      </c>
      <c r="T290" s="223">
        <f t="shared" si="54"/>
        <v>0</v>
      </c>
      <c r="U290" s="223">
        <f t="shared" si="54"/>
        <v>0</v>
      </c>
      <c r="V290" s="223">
        <f t="shared" si="54"/>
        <v>0</v>
      </c>
      <c r="W290" s="223">
        <f t="shared" si="54"/>
        <v>0</v>
      </c>
      <c r="X290" s="223">
        <f t="shared" si="54"/>
        <v>0</v>
      </c>
      <c r="Y290" s="223">
        <f t="shared" si="54"/>
        <v>0</v>
      </c>
      <c r="Z290" s="223">
        <f t="shared" si="54"/>
        <v>0</v>
      </c>
      <c r="AA290" s="223">
        <f t="shared" si="54"/>
        <v>0</v>
      </c>
      <c r="AB290" s="223">
        <f t="shared" si="54"/>
        <v>0</v>
      </c>
      <c r="AC290" s="223">
        <f t="shared" si="54"/>
        <v>0</v>
      </c>
      <c r="AD290" s="223">
        <f t="shared" si="54"/>
        <v>0</v>
      </c>
      <c r="AE290" s="223">
        <f t="shared" si="54"/>
        <v>0</v>
      </c>
      <c r="AF290" s="223">
        <f t="shared" si="54"/>
        <v>0</v>
      </c>
      <c r="AG290" s="223">
        <f t="shared" si="54"/>
        <v>0</v>
      </c>
      <c r="AH290" s="223">
        <f t="shared" si="54"/>
        <v>0</v>
      </c>
      <c r="AI290" s="223">
        <f t="shared" si="54"/>
        <v>0</v>
      </c>
      <c r="AJ290" s="223">
        <f t="shared" si="54"/>
        <v>0</v>
      </c>
      <c r="AK290" s="223">
        <f t="shared" si="54"/>
        <v>0</v>
      </c>
      <c r="AL290" s="223">
        <f t="shared" si="54"/>
        <v>0</v>
      </c>
      <c r="AM290" s="194"/>
    </row>
    <row r="291" spans="1:39" s="93" customFormat="1" outlineLevel="1">
      <c r="A291" s="551" t="str">
        <f t="shared" si="46"/>
        <v>1</v>
      </c>
      <c r="L291" s="221" t="s">
        <v>400</v>
      </c>
      <c r="M291" s="222" t="s">
        <v>379</v>
      </c>
      <c r="N291" s="219" t="s">
        <v>145</v>
      </c>
      <c r="O291" s="223">
        <f>IF(O285=0,0,O297/O285*100)</f>
        <v>0</v>
      </c>
      <c r="P291" s="223">
        <f t="shared" si="54"/>
        <v>0</v>
      </c>
      <c r="Q291" s="223">
        <f t="shared" si="54"/>
        <v>0</v>
      </c>
      <c r="R291" s="223">
        <f t="shared" si="54"/>
        <v>0</v>
      </c>
      <c r="S291" s="223">
        <f t="shared" si="54"/>
        <v>0</v>
      </c>
      <c r="T291" s="223">
        <f t="shared" si="54"/>
        <v>0</v>
      </c>
      <c r="U291" s="223">
        <f t="shared" si="54"/>
        <v>0</v>
      </c>
      <c r="V291" s="223">
        <f t="shared" si="54"/>
        <v>0</v>
      </c>
      <c r="W291" s="223">
        <f t="shared" si="54"/>
        <v>0</v>
      </c>
      <c r="X291" s="223">
        <f t="shared" si="54"/>
        <v>0</v>
      </c>
      <c r="Y291" s="223">
        <f t="shared" si="54"/>
        <v>0</v>
      </c>
      <c r="Z291" s="223">
        <f t="shared" si="54"/>
        <v>0</v>
      </c>
      <c r="AA291" s="223">
        <f t="shared" si="54"/>
        <v>0</v>
      </c>
      <c r="AB291" s="223">
        <f t="shared" si="54"/>
        <v>0</v>
      </c>
      <c r="AC291" s="223">
        <f t="shared" si="54"/>
        <v>0</v>
      </c>
      <c r="AD291" s="223">
        <f t="shared" si="54"/>
        <v>0</v>
      </c>
      <c r="AE291" s="223">
        <f t="shared" si="54"/>
        <v>0</v>
      </c>
      <c r="AF291" s="223">
        <f t="shared" si="54"/>
        <v>0</v>
      </c>
      <c r="AG291" s="223">
        <f t="shared" si="54"/>
        <v>0</v>
      </c>
      <c r="AH291" s="223">
        <f t="shared" si="54"/>
        <v>0</v>
      </c>
      <c r="AI291" s="223">
        <f t="shared" si="54"/>
        <v>0</v>
      </c>
      <c r="AJ291" s="223">
        <f t="shared" si="54"/>
        <v>0</v>
      </c>
      <c r="AK291" s="223">
        <f t="shared" si="54"/>
        <v>0</v>
      </c>
      <c r="AL291" s="223">
        <f t="shared" si="54"/>
        <v>0</v>
      </c>
      <c r="AM291" s="194"/>
    </row>
    <row r="292" spans="1:39" s="93" customFormat="1" outlineLevel="1">
      <c r="A292" s="551" t="str">
        <f t="shared" si="46"/>
        <v>1</v>
      </c>
      <c r="L292" s="221" t="s">
        <v>401</v>
      </c>
      <c r="M292" s="222" t="s">
        <v>381</v>
      </c>
      <c r="N292" s="219" t="s">
        <v>145</v>
      </c>
      <c r="O292" s="223">
        <f>IF(O286=0,0,O298/O286*100)</f>
        <v>0</v>
      </c>
      <c r="P292" s="223">
        <f t="shared" si="54"/>
        <v>0</v>
      </c>
      <c r="Q292" s="223">
        <f t="shared" si="54"/>
        <v>0</v>
      </c>
      <c r="R292" s="223">
        <f t="shared" si="54"/>
        <v>0</v>
      </c>
      <c r="S292" s="223">
        <f t="shared" si="54"/>
        <v>0</v>
      </c>
      <c r="T292" s="223">
        <f t="shared" si="54"/>
        <v>0</v>
      </c>
      <c r="U292" s="223">
        <f t="shared" si="54"/>
        <v>0</v>
      </c>
      <c r="V292" s="223">
        <f t="shared" si="54"/>
        <v>0</v>
      </c>
      <c r="W292" s="223">
        <f t="shared" si="54"/>
        <v>0</v>
      </c>
      <c r="X292" s="223">
        <f t="shared" si="54"/>
        <v>0</v>
      </c>
      <c r="Y292" s="223">
        <f t="shared" si="54"/>
        <v>0</v>
      </c>
      <c r="Z292" s="223">
        <f t="shared" si="54"/>
        <v>0</v>
      </c>
      <c r="AA292" s="223">
        <f t="shared" si="54"/>
        <v>0</v>
      </c>
      <c r="AB292" s="223">
        <f t="shared" si="54"/>
        <v>0</v>
      </c>
      <c r="AC292" s="223">
        <f t="shared" si="54"/>
        <v>0</v>
      </c>
      <c r="AD292" s="223">
        <f t="shared" si="54"/>
        <v>0</v>
      </c>
      <c r="AE292" s="223">
        <f t="shared" si="54"/>
        <v>0</v>
      </c>
      <c r="AF292" s="223">
        <f t="shared" si="54"/>
        <v>0</v>
      </c>
      <c r="AG292" s="223">
        <f t="shared" si="54"/>
        <v>0</v>
      </c>
      <c r="AH292" s="223">
        <f t="shared" si="54"/>
        <v>0</v>
      </c>
      <c r="AI292" s="223">
        <f t="shared" si="54"/>
        <v>0</v>
      </c>
      <c r="AJ292" s="223">
        <f t="shared" si="54"/>
        <v>0</v>
      </c>
      <c r="AK292" s="223">
        <f t="shared" si="54"/>
        <v>0</v>
      </c>
      <c r="AL292" s="223">
        <f t="shared" si="54"/>
        <v>0</v>
      </c>
      <c r="AM292" s="194"/>
    </row>
    <row r="293" spans="1:39" s="93" customFormat="1" outlineLevel="1">
      <c r="A293" s="551" t="str">
        <f t="shared" si="46"/>
        <v>1</v>
      </c>
      <c r="L293" s="221" t="s">
        <v>402</v>
      </c>
      <c r="M293" s="222" t="s">
        <v>383</v>
      </c>
      <c r="N293" s="219" t="s">
        <v>145</v>
      </c>
      <c r="O293" s="223">
        <f>IF(O287=0,0,O299/O287*100)</f>
        <v>0</v>
      </c>
      <c r="P293" s="223">
        <f t="shared" si="54"/>
        <v>0</v>
      </c>
      <c r="Q293" s="223">
        <f t="shared" si="54"/>
        <v>0</v>
      </c>
      <c r="R293" s="223">
        <f t="shared" si="54"/>
        <v>0</v>
      </c>
      <c r="S293" s="223">
        <f t="shared" si="54"/>
        <v>0</v>
      </c>
      <c r="T293" s="223">
        <f t="shared" si="54"/>
        <v>0</v>
      </c>
      <c r="U293" s="223">
        <f t="shared" si="54"/>
        <v>0</v>
      </c>
      <c r="V293" s="223">
        <f t="shared" si="54"/>
        <v>0</v>
      </c>
      <c r="W293" s="223">
        <f t="shared" si="54"/>
        <v>0</v>
      </c>
      <c r="X293" s="223">
        <f t="shared" si="54"/>
        <v>0</v>
      </c>
      <c r="Y293" s="223">
        <f t="shared" si="54"/>
        <v>0</v>
      </c>
      <c r="Z293" s="223">
        <f t="shared" si="54"/>
        <v>0</v>
      </c>
      <c r="AA293" s="223">
        <f t="shared" si="54"/>
        <v>0</v>
      </c>
      <c r="AB293" s="223">
        <f t="shared" si="54"/>
        <v>0</v>
      </c>
      <c r="AC293" s="223">
        <f t="shared" si="54"/>
        <v>0</v>
      </c>
      <c r="AD293" s="223">
        <f t="shared" si="54"/>
        <v>0</v>
      </c>
      <c r="AE293" s="223">
        <f t="shared" si="54"/>
        <v>0</v>
      </c>
      <c r="AF293" s="223">
        <f t="shared" si="54"/>
        <v>0</v>
      </c>
      <c r="AG293" s="223">
        <f t="shared" si="54"/>
        <v>0</v>
      </c>
      <c r="AH293" s="223">
        <f t="shared" si="54"/>
        <v>0</v>
      </c>
      <c r="AI293" s="223">
        <f t="shared" si="54"/>
        <v>0</v>
      </c>
      <c r="AJ293" s="223">
        <f t="shared" si="54"/>
        <v>0</v>
      </c>
      <c r="AK293" s="223">
        <f t="shared" si="54"/>
        <v>0</v>
      </c>
      <c r="AL293" s="223">
        <f t="shared" si="54"/>
        <v>0</v>
      </c>
      <c r="AM293" s="194"/>
    </row>
    <row r="294" spans="1:39" s="95" customFormat="1" outlineLevel="1">
      <c r="A294" s="551" t="str">
        <f t="shared" si="46"/>
        <v>1</v>
      </c>
      <c r="L294" s="217">
        <v>7</v>
      </c>
      <c r="M294" s="218" t="s">
        <v>403</v>
      </c>
      <c r="N294" s="149" t="s">
        <v>370</v>
      </c>
      <c r="O294" s="220">
        <f t="shared" ref="O294:AL294" si="55">SUM(O295:O299)</f>
        <v>0</v>
      </c>
      <c r="P294" s="220">
        <f t="shared" si="55"/>
        <v>0</v>
      </c>
      <c r="Q294" s="220">
        <f>SUM(Q295:Q299)</f>
        <v>0</v>
      </c>
      <c r="R294" s="220">
        <f t="shared" si="55"/>
        <v>0</v>
      </c>
      <c r="S294" s="220">
        <f t="shared" si="55"/>
        <v>0</v>
      </c>
      <c r="T294" s="220">
        <f t="shared" si="55"/>
        <v>0</v>
      </c>
      <c r="U294" s="220">
        <f t="shared" si="55"/>
        <v>0</v>
      </c>
      <c r="V294" s="220">
        <f t="shared" si="55"/>
        <v>0</v>
      </c>
      <c r="W294" s="220">
        <f t="shared" si="55"/>
        <v>0</v>
      </c>
      <c r="X294" s="220">
        <f t="shared" si="55"/>
        <v>0</v>
      </c>
      <c r="Y294" s="220">
        <f t="shared" si="55"/>
        <v>0</v>
      </c>
      <c r="Z294" s="220">
        <f t="shared" si="55"/>
        <v>0</v>
      </c>
      <c r="AA294" s="220">
        <f>SUM(AA295:AA299)</f>
        <v>0</v>
      </c>
      <c r="AB294" s="220">
        <f>SUM(AB295:AB299)</f>
        <v>0</v>
      </c>
      <c r="AC294" s="220">
        <f t="shared" si="55"/>
        <v>0</v>
      </c>
      <c r="AD294" s="220">
        <f t="shared" si="55"/>
        <v>0</v>
      </c>
      <c r="AE294" s="220">
        <f t="shared" si="55"/>
        <v>0</v>
      </c>
      <c r="AF294" s="220">
        <f t="shared" si="55"/>
        <v>0</v>
      </c>
      <c r="AG294" s="220">
        <f t="shared" si="55"/>
        <v>0</v>
      </c>
      <c r="AH294" s="220">
        <f t="shared" si="55"/>
        <v>0</v>
      </c>
      <c r="AI294" s="220">
        <f t="shared" si="55"/>
        <v>0</v>
      </c>
      <c r="AJ294" s="220">
        <f t="shared" si="55"/>
        <v>0</v>
      </c>
      <c r="AK294" s="220">
        <f t="shared" si="55"/>
        <v>0</v>
      </c>
      <c r="AL294" s="220">
        <f t="shared" si="55"/>
        <v>0</v>
      </c>
      <c r="AM294" s="194"/>
    </row>
    <row r="295" spans="1:39" s="93" customFormat="1" outlineLevel="1">
      <c r="A295" s="551" t="str">
        <f t="shared" si="46"/>
        <v>1</v>
      </c>
      <c r="L295" s="221" t="s">
        <v>197</v>
      </c>
      <c r="M295" s="222" t="s">
        <v>376</v>
      </c>
      <c r="N295" s="149" t="s">
        <v>370</v>
      </c>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194"/>
    </row>
    <row r="296" spans="1:39" s="93" customFormat="1" outlineLevel="1">
      <c r="A296" s="551" t="str">
        <f t="shared" si="46"/>
        <v>1</v>
      </c>
      <c r="L296" s="221" t="s">
        <v>198</v>
      </c>
      <c r="M296" s="222" t="s">
        <v>377</v>
      </c>
      <c r="N296" s="149" t="s">
        <v>370</v>
      </c>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194"/>
    </row>
    <row r="297" spans="1:39" s="93" customFormat="1" outlineLevel="1">
      <c r="A297" s="551" t="str">
        <f t="shared" si="46"/>
        <v>1</v>
      </c>
      <c r="L297" s="221" t="s">
        <v>404</v>
      </c>
      <c r="M297" s="222" t="s">
        <v>379</v>
      </c>
      <c r="N297" s="149" t="s">
        <v>370</v>
      </c>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3"/>
      <c r="AJ297" s="223"/>
      <c r="AK297" s="223"/>
      <c r="AL297" s="223"/>
      <c r="AM297" s="194"/>
    </row>
    <row r="298" spans="1:39" s="93" customFormat="1" outlineLevel="1">
      <c r="A298" s="551" t="str">
        <f t="shared" si="46"/>
        <v>1</v>
      </c>
      <c r="L298" s="221" t="s">
        <v>405</v>
      </c>
      <c r="M298" s="222" t="s">
        <v>381</v>
      </c>
      <c r="N298" s="149" t="s">
        <v>370</v>
      </c>
      <c r="O298" s="223"/>
      <c r="P298" s="223"/>
      <c r="Q298" s="223"/>
      <c r="R298" s="223"/>
      <c r="S298" s="223"/>
      <c r="T298" s="223"/>
      <c r="U298" s="223"/>
      <c r="V298" s="223"/>
      <c r="W298" s="223"/>
      <c r="X298" s="223"/>
      <c r="Y298" s="223"/>
      <c r="Z298" s="223"/>
      <c r="AA298" s="223"/>
      <c r="AB298" s="223"/>
      <c r="AC298" s="223"/>
      <c r="AD298" s="223"/>
      <c r="AE298" s="223"/>
      <c r="AF298" s="223"/>
      <c r="AG298" s="223"/>
      <c r="AH298" s="223"/>
      <c r="AI298" s="223"/>
      <c r="AJ298" s="223"/>
      <c r="AK298" s="223"/>
      <c r="AL298" s="223"/>
      <c r="AM298" s="194"/>
    </row>
    <row r="299" spans="1:39" s="93" customFormat="1" outlineLevel="1">
      <c r="A299" s="551" t="str">
        <f t="shared" si="46"/>
        <v>1</v>
      </c>
      <c r="L299" s="221" t="s">
        <v>406</v>
      </c>
      <c r="M299" s="222" t="s">
        <v>383</v>
      </c>
      <c r="N299" s="149" t="s">
        <v>370</v>
      </c>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c r="AJ299" s="223"/>
      <c r="AK299" s="223"/>
      <c r="AL299" s="223"/>
      <c r="AM299" s="194"/>
    </row>
    <row r="300" spans="1:39" s="95" customFormat="1" outlineLevel="1">
      <c r="A300" s="551" t="str">
        <f t="shared" si="46"/>
        <v>1</v>
      </c>
      <c r="L300" s="217">
        <v>8</v>
      </c>
      <c r="M300" s="218" t="s">
        <v>407</v>
      </c>
      <c r="N300" s="149" t="s">
        <v>370</v>
      </c>
      <c r="O300" s="220">
        <f t="shared" ref="O300:AL300" si="56">SUM(O301:O305)</f>
        <v>0</v>
      </c>
      <c r="P300" s="220">
        <f t="shared" si="56"/>
        <v>0</v>
      </c>
      <c r="Q300" s="220">
        <f>SUM(Q301:Q305)</f>
        <v>0</v>
      </c>
      <c r="R300" s="220">
        <f t="shared" si="56"/>
        <v>0</v>
      </c>
      <c r="S300" s="220">
        <f t="shared" si="56"/>
        <v>0</v>
      </c>
      <c r="T300" s="220">
        <f t="shared" si="56"/>
        <v>0</v>
      </c>
      <c r="U300" s="220">
        <f t="shared" si="56"/>
        <v>0</v>
      </c>
      <c r="V300" s="220">
        <f t="shared" si="56"/>
        <v>0</v>
      </c>
      <c r="W300" s="220">
        <f t="shared" si="56"/>
        <v>0</v>
      </c>
      <c r="X300" s="220">
        <f t="shared" si="56"/>
        <v>0</v>
      </c>
      <c r="Y300" s="220">
        <f t="shared" si="56"/>
        <v>0</v>
      </c>
      <c r="Z300" s="220">
        <f t="shared" si="56"/>
        <v>0</v>
      </c>
      <c r="AA300" s="220">
        <f>SUM(AA301:AA305)</f>
        <v>0</v>
      </c>
      <c r="AB300" s="220">
        <f>SUM(AB301:AB305)</f>
        <v>0</v>
      </c>
      <c r="AC300" s="220">
        <f t="shared" si="56"/>
        <v>0</v>
      </c>
      <c r="AD300" s="220">
        <f t="shared" si="56"/>
        <v>0</v>
      </c>
      <c r="AE300" s="220">
        <f t="shared" si="56"/>
        <v>0</v>
      </c>
      <c r="AF300" s="220">
        <f t="shared" si="56"/>
        <v>0</v>
      </c>
      <c r="AG300" s="220">
        <f t="shared" si="56"/>
        <v>0</v>
      </c>
      <c r="AH300" s="220">
        <f t="shared" si="56"/>
        <v>0</v>
      </c>
      <c r="AI300" s="220">
        <f t="shared" si="56"/>
        <v>0</v>
      </c>
      <c r="AJ300" s="220">
        <f t="shared" si="56"/>
        <v>0</v>
      </c>
      <c r="AK300" s="220">
        <f t="shared" si="56"/>
        <v>0</v>
      </c>
      <c r="AL300" s="220">
        <f t="shared" si="56"/>
        <v>0</v>
      </c>
      <c r="AM300" s="194"/>
    </row>
    <row r="301" spans="1:39" s="93" customFormat="1" outlineLevel="1">
      <c r="A301" s="551" t="str">
        <f t="shared" si="46"/>
        <v>1</v>
      </c>
      <c r="L301" s="221" t="s">
        <v>149</v>
      </c>
      <c r="M301" s="222" t="s">
        <v>376</v>
      </c>
      <c r="N301" s="149" t="s">
        <v>370</v>
      </c>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3"/>
      <c r="AL301" s="223"/>
      <c r="AM301" s="194"/>
    </row>
    <row r="302" spans="1:39" s="93" customFormat="1" outlineLevel="1">
      <c r="A302" s="551" t="str">
        <f t="shared" si="46"/>
        <v>1</v>
      </c>
      <c r="L302" s="221" t="s">
        <v>199</v>
      </c>
      <c r="M302" s="222" t="s">
        <v>377</v>
      </c>
      <c r="N302" s="149" t="s">
        <v>370</v>
      </c>
      <c r="O302" s="223"/>
      <c r="P302" s="223"/>
      <c r="Q302" s="223"/>
      <c r="R302" s="223"/>
      <c r="S302" s="223"/>
      <c r="T302" s="223"/>
      <c r="U302" s="223"/>
      <c r="V302" s="223"/>
      <c r="W302" s="223"/>
      <c r="X302" s="223"/>
      <c r="Y302" s="223"/>
      <c r="Z302" s="223"/>
      <c r="AA302" s="223"/>
      <c r="AB302" s="223"/>
      <c r="AC302" s="223"/>
      <c r="AD302" s="223"/>
      <c r="AE302" s="223"/>
      <c r="AF302" s="223"/>
      <c r="AG302" s="223"/>
      <c r="AH302" s="223"/>
      <c r="AI302" s="223"/>
      <c r="AJ302" s="223"/>
      <c r="AK302" s="223"/>
      <c r="AL302" s="223"/>
      <c r="AM302" s="194"/>
    </row>
    <row r="303" spans="1:39" s="93" customFormat="1" outlineLevel="1">
      <c r="A303" s="551" t="str">
        <f t="shared" si="46"/>
        <v>1</v>
      </c>
      <c r="L303" s="221" t="s">
        <v>408</v>
      </c>
      <c r="M303" s="222" t="s">
        <v>379</v>
      </c>
      <c r="N303" s="149" t="s">
        <v>370</v>
      </c>
      <c r="O303" s="223"/>
      <c r="P303" s="223"/>
      <c r="Q303" s="223"/>
      <c r="R303" s="223"/>
      <c r="S303" s="223"/>
      <c r="T303" s="223"/>
      <c r="U303" s="223"/>
      <c r="V303" s="223"/>
      <c r="W303" s="223"/>
      <c r="X303" s="223"/>
      <c r="Y303" s="223"/>
      <c r="Z303" s="223"/>
      <c r="AA303" s="223"/>
      <c r="AB303" s="223"/>
      <c r="AC303" s="223"/>
      <c r="AD303" s="223"/>
      <c r="AE303" s="223"/>
      <c r="AF303" s="223"/>
      <c r="AG303" s="223"/>
      <c r="AH303" s="223"/>
      <c r="AI303" s="223"/>
      <c r="AJ303" s="223"/>
      <c r="AK303" s="223"/>
      <c r="AL303" s="223"/>
      <c r="AM303" s="194"/>
    </row>
    <row r="304" spans="1:39" s="93" customFormat="1" outlineLevel="1">
      <c r="A304" s="551" t="str">
        <f t="shared" si="46"/>
        <v>1</v>
      </c>
      <c r="L304" s="221" t="s">
        <v>409</v>
      </c>
      <c r="M304" s="222" t="s">
        <v>381</v>
      </c>
      <c r="N304" s="149" t="s">
        <v>370</v>
      </c>
      <c r="O304" s="223"/>
      <c r="P304" s="223"/>
      <c r="Q304" s="223"/>
      <c r="R304" s="223"/>
      <c r="S304" s="223"/>
      <c r="T304" s="223"/>
      <c r="U304" s="223"/>
      <c r="V304" s="223"/>
      <c r="W304" s="223"/>
      <c r="X304" s="223"/>
      <c r="Y304" s="223"/>
      <c r="Z304" s="223"/>
      <c r="AA304" s="223"/>
      <c r="AB304" s="223"/>
      <c r="AC304" s="223"/>
      <c r="AD304" s="223"/>
      <c r="AE304" s="223"/>
      <c r="AF304" s="223"/>
      <c r="AG304" s="223"/>
      <c r="AH304" s="223"/>
      <c r="AI304" s="223"/>
      <c r="AJ304" s="223"/>
      <c r="AK304" s="223"/>
      <c r="AL304" s="223"/>
      <c r="AM304" s="194"/>
    </row>
    <row r="305" spans="1:39" s="93" customFormat="1" outlineLevel="1">
      <c r="A305" s="551" t="str">
        <f t="shared" si="46"/>
        <v>1</v>
      </c>
      <c r="L305" s="221" t="s">
        <v>410</v>
      </c>
      <c r="M305" s="222" t="s">
        <v>383</v>
      </c>
      <c r="N305" s="149" t="s">
        <v>370</v>
      </c>
      <c r="O305" s="223"/>
      <c r="P305" s="223"/>
      <c r="Q305" s="223"/>
      <c r="R305" s="223"/>
      <c r="S305" s="223"/>
      <c r="T305" s="223"/>
      <c r="U305" s="223"/>
      <c r="V305" s="223"/>
      <c r="W305" s="223"/>
      <c r="X305" s="223"/>
      <c r="Y305" s="223"/>
      <c r="Z305" s="223"/>
      <c r="AA305" s="223"/>
      <c r="AB305" s="223"/>
      <c r="AC305" s="223"/>
      <c r="AD305" s="223"/>
      <c r="AE305" s="223"/>
      <c r="AF305" s="223"/>
      <c r="AG305" s="223"/>
      <c r="AH305" s="223"/>
      <c r="AI305" s="223"/>
      <c r="AJ305" s="223"/>
      <c r="AK305" s="223"/>
      <c r="AL305" s="223"/>
      <c r="AM305" s="194"/>
    </row>
    <row r="307" spans="1:39" s="143" customFormat="1" ht="30" customHeight="1">
      <c r="A307" s="142" t="s">
        <v>1071</v>
      </c>
      <c r="M307" s="144"/>
      <c r="N307" s="144"/>
      <c r="O307" s="144"/>
      <c r="P307" s="144"/>
      <c r="AA307" s="145"/>
    </row>
    <row r="308" spans="1:39">
      <c r="A308" s="146" t="s">
        <v>1072</v>
      </c>
    </row>
    <row r="309" spans="1:39" s="82" customFormat="1" ht="15" customHeight="1">
      <c r="A309" s="183" t="s">
        <v>18</v>
      </c>
      <c r="L309" s="237" t="str">
        <f>INDEX('Общие сведения'!$J$113:$J$146,MATCH($A309,'Общие сведения'!$D$113:$D$146,0))</f>
        <v>Тариф 1 (Водоснабжение) - тариф на техническую воду (нет)</v>
      </c>
      <c r="M309" s="158"/>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52"/>
      <c r="AJ309" s="152"/>
      <c r="AK309" s="152"/>
      <c r="AL309" s="152"/>
      <c r="AM309" s="216"/>
    </row>
    <row r="310" spans="1:39" s="82" customFormat="1" ht="24" customHeight="1" outlineLevel="1">
      <c r="A310" s="551" t="str">
        <f t="shared" ref="A310:A316" si="57">A309</f>
        <v>1</v>
      </c>
      <c r="L310" s="227" t="s">
        <v>18</v>
      </c>
      <c r="M310" s="228" t="s">
        <v>411</v>
      </c>
      <c r="N310" s="206" t="s">
        <v>370</v>
      </c>
      <c r="O310" s="332">
        <f>O311+O314+O315+O316</f>
        <v>0</v>
      </c>
      <c r="P310" s="332">
        <f t="shared" ref="P310:AL310" si="58">P311+P314+P315+P316</f>
        <v>0</v>
      </c>
      <c r="Q310" s="332">
        <f t="shared" si="58"/>
        <v>0</v>
      </c>
      <c r="R310" s="332">
        <f t="shared" si="58"/>
        <v>0</v>
      </c>
      <c r="S310" s="332">
        <f t="shared" si="58"/>
        <v>0</v>
      </c>
      <c r="T310" s="332">
        <f t="shared" si="58"/>
        <v>0</v>
      </c>
      <c r="U310" s="332">
        <f t="shared" si="58"/>
        <v>0</v>
      </c>
      <c r="V310" s="332">
        <f t="shared" si="58"/>
        <v>0</v>
      </c>
      <c r="W310" s="332">
        <f t="shared" si="58"/>
        <v>0</v>
      </c>
      <c r="X310" s="332">
        <f t="shared" si="58"/>
        <v>0</v>
      </c>
      <c r="Y310" s="332">
        <f t="shared" si="58"/>
        <v>0</v>
      </c>
      <c r="Z310" s="332">
        <f t="shared" si="58"/>
        <v>0</v>
      </c>
      <c r="AA310" s="332">
        <f t="shared" si="58"/>
        <v>0</v>
      </c>
      <c r="AB310" s="332">
        <f t="shared" si="58"/>
        <v>0</v>
      </c>
      <c r="AC310" s="332">
        <f t="shared" si="58"/>
        <v>0</v>
      </c>
      <c r="AD310" s="332">
        <f t="shared" si="58"/>
        <v>0</v>
      </c>
      <c r="AE310" s="332">
        <f t="shared" si="58"/>
        <v>0</v>
      </c>
      <c r="AF310" s="332">
        <f t="shared" si="58"/>
        <v>0</v>
      </c>
      <c r="AG310" s="332">
        <f t="shared" si="58"/>
        <v>0</v>
      </c>
      <c r="AH310" s="332">
        <f t="shared" si="58"/>
        <v>0</v>
      </c>
      <c r="AI310" s="332">
        <f t="shared" si="58"/>
        <v>0</v>
      </c>
      <c r="AJ310" s="332">
        <f t="shared" si="58"/>
        <v>0</v>
      </c>
      <c r="AK310" s="332">
        <f t="shared" si="58"/>
        <v>0</v>
      </c>
      <c r="AL310" s="332">
        <f t="shared" si="58"/>
        <v>0</v>
      </c>
      <c r="AM310" s="194"/>
    </row>
    <row r="311" spans="1:39" s="82" customFormat="1" ht="11.25" customHeight="1" outlineLevel="1">
      <c r="A311" s="551" t="str">
        <f t="shared" si="57"/>
        <v>1</v>
      </c>
      <c r="L311" s="230" t="s">
        <v>165</v>
      </c>
      <c r="M311" s="231" t="s">
        <v>12</v>
      </c>
      <c r="N311" s="149" t="s">
        <v>370</v>
      </c>
      <c r="O311" s="234">
        <f t="shared" ref="O311:AL311" si="59">SUM(O312:O313)</f>
        <v>0</v>
      </c>
      <c r="P311" s="234">
        <f t="shared" si="59"/>
        <v>0</v>
      </c>
      <c r="Q311" s="234">
        <f t="shared" si="59"/>
        <v>0</v>
      </c>
      <c r="R311" s="234">
        <f t="shared" si="59"/>
        <v>0</v>
      </c>
      <c r="S311" s="234">
        <f t="shared" si="59"/>
        <v>0</v>
      </c>
      <c r="T311" s="234">
        <f t="shared" si="59"/>
        <v>0</v>
      </c>
      <c r="U311" s="234">
        <f t="shared" si="59"/>
        <v>0</v>
      </c>
      <c r="V311" s="234">
        <f t="shared" si="59"/>
        <v>0</v>
      </c>
      <c r="W311" s="234">
        <f t="shared" si="59"/>
        <v>0</v>
      </c>
      <c r="X311" s="234">
        <f t="shared" si="59"/>
        <v>0</v>
      </c>
      <c r="Y311" s="234">
        <f t="shared" si="59"/>
        <v>0</v>
      </c>
      <c r="Z311" s="234">
        <f t="shared" si="59"/>
        <v>0</v>
      </c>
      <c r="AA311" s="234">
        <f t="shared" si="59"/>
        <v>0</v>
      </c>
      <c r="AB311" s="234">
        <f t="shared" si="59"/>
        <v>0</v>
      </c>
      <c r="AC311" s="234">
        <f t="shared" si="59"/>
        <v>0</v>
      </c>
      <c r="AD311" s="234">
        <f t="shared" si="59"/>
        <v>0</v>
      </c>
      <c r="AE311" s="234">
        <f t="shared" si="59"/>
        <v>0</v>
      </c>
      <c r="AF311" s="234">
        <f t="shared" si="59"/>
        <v>0</v>
      </c>
      <c r="AG311" s="234">
        <f t="shared" si="59"/>
        <v>0</v>
      </c>
      <c r="AH311" s="234">
        <f t="shared" si="59"/>
        <v>0</v>
      </c>
      <c r="AI311" s="234">
        <f t="shared" si="59"/>
        <v>0</v>
      </c>
      <c r="AJ311" s="234">
        <f t="shared" si="59"/>
        <v>0</v>
      </c>
      <c r="AK311" s="234">
        <f t="shared" si="59"/>
        <v>0</v>
      </c>
      <c r="AL311" s="234">
        <f t="shared" si="59"/>
        <v>0</v>
      </c>
      <c r="AM311" s="194"/>
    </row>
    <row r="312" spans="1:39" s="82" customFormat="1" ht="24" customHeight="1" outlineLevel="1">
      <c r="A312" s="551" t="str">
        <f t="shared" si="57"/>
        <v>1</v>
      </c>
      <c r="L312" s="230" t="s">
        <v>412</v>
      </c>
      <c r="M312" s="233" t="s">
        <v>413</v>
      </c>
      <c r="N312" s="149" t="s">
        <v>370</v>
      </c>
      <c r="O312" s="234"/>
      <c r="P312" s="234"/>
      <c r="Q312" s="234"/>
      <c r="R312" s="234"/>
      <c r="S312" s="234"/>
      <c r="T312" s="234"/>
      <c r="U312" s="234"/>
      <c r="V312" s="234"/>
      <c r="W312" s="234"/>
      <c r="X312" s="234"/>
      <c r="Y312" s="234"/>
      <c r="Z312" s="234"/>
      <c r="AA312" s="234"/>
      <c r="AB312" s="234"/>
      <c r="AC312" s="234"/>
      <c r="AD312" s="234"/>
      <c r="AE312" s="234"/>
      <c r="AF312" s="234"/>
      <c r="AG312" s="234"/>
      <c r="AH312" s="234"/>
      <c r="AI312" s="234"/>
      <c r="AJ312" s="234"/>
      <c r="AK312" s="234"/>
      <c r="AL312" s="234"/>
      <c r="AM312" s="194"/>
    </row>
    <row r="313" spans="1:39" s="82" customFormat="1" ht="11.25" customHeight="1" outlineLevel="1">
      <c r="A313" s="551" t="str">
        <f t="shared" si="57"/>
        <v>1</v>
      </c>
      <c r="L313" s="230" t="s">
        <v>414</v>
      </c>
      <c r="M313" s="233" t="s">
        <v>415</v>
      </c>
      <c r="N313" s="149" t="s">
        <v>370</v>
      </c>
      <c r="O313" s="234"/>
      <c r="P313" s="234"/>
      <c r="Q313" s="234"/>
      <c r="R313" s="234"/>
      <c r="S313" s="234"/>
      <c r="T313" s="234"/>
      <c r="U313" s="234"/>
      <c r="V313" s="234"/>
      <c r="W313" s="234"/>
      <c r="X313" s="234"/>
      <c r="Y313" s="234"/>
      <c r="Z313" s="234"/>
      <c r="AA313" s="234"/>
      <c r="AB313" s="234"/>
      <c r="AC313" s="234"/>
      <c r="AD313" s="234"/>
      <c r="AE313" s="234"/>
      <c r="AF313" s="234"/>
      <c r="AG313" s="234"/>
      <c r="AH313" s="234"/>
      <c r="AI313" s="234"/>
      <c r="AJ313" s="234"/>
      <c r="AK313" s="234"/>
      <c r="AL313" s="234"/>
      <c r="AM313" s="194"/>
    </row>
    <row r="314" spans="1:39" s="82" customFormat="1" ht="11.25" customHeight="1" outlineLevel="1">
      <c r="A314" s="551" t="str">
        <f t="shared" si="57"/>
        <v>1</v>
      </c>
      <c r="L314" s="230" t="s">
        <v>166</v>
      </c>
      <c r="M314" s="235" t="s">
        <v>416</v>
      </c>
      <c r="N314" s="149" t="s">
        <v>370</v>
      </c>
      <c r="O314" s="234"/>
      <c r="P314" s="234"/>
      <c r="Q314" s="234"/>
      <c r="R314" s="234"/>
      <c r="S314" s="234"/>
      <c r="T314" s="234"/>
      <c r="U314" s="234"/>
      <c r="V314" s="234"/>
      <c r="W314" s="234"/>
      <c r="X314" s="234"/>
      <c r="Y314" s="234"/>
      <c r="Z314" s="234"/>
      <c r="AA314" s="234"/>
      <c r="AB314" s="234"/>
      <c r="AC314" s="234"/>
      <c r="AD314" s="234"/>
      <c r="AE314" s="234"/>
      <c r="AF314" s="234"/>
      <c r="AG314" s="234"/>
      <c r="AH314" s="234"/>
      <c r="AI314" s="234"/>
      <c r="AJ314" s="234"/>
      <c r="AK314" s="234"/>
      <c r="AL314" s="234"/>
      <c r="AM314" s="194"/>
    </row>
    <row r="315" spans="1:39" s="82" customFormat="1" ht="11.25" customHeight="1" outlineLevel="1">
      <c r="A315" s="551" t="str">
        <f t="shared" si="57"/>
        <v>1</v>
      </c>
      <c r="L315" s="230" t="s">
        <v>378</v>
      </c>
      <c r="M315" s="236" t="s">
        <v>417</v>
      </c>
      <c r="N315" s="149" t="s">
        <v>370</v>
      </c>
      <c r="O315" s="234"/>
      <c r="P315" s="234"/>
      <c r="Q315" s="234"/>
      <c r="R315" s="234"/>
      <c r="S315" s="234"/>
      <c r="T315" s="234"/>
      <c r="U315" s="234"/>
      <c r="V315" s="234"/>
      <c r="W315" s="234"/>
      <c r="X315" s="234"/>
      <c r="Y315" s="234"/>
      <c r="Z315" s="234"/>
      <c r="AA315" s="234"/>
      <c r="AB315" s="234"/>
      <c r="AC315" s="234"/>
      <c r="AD315" s="234"/>
      <c r="AE315" s="234"/>
      <c r="AF315" s="234"/>
      <c r="AG315" s="234"/>
      <c r="AH315" s="234"/>
      <c r="AI315" s="234"/>
      <c r="AJ315" s="234"/>
      <c r="AK315" s="234"/>
      <c r="AL315" s="234"/>
      <c r="AM315" s="194"/>
    </row>
    <row r="316" spans="1:39" s="82" customFormat="1" ht="11.25" customHeight="1" outlineLevel="1">
      <c r="A316" s="551" t="str">
        <f t="shared" si="57"/>
        <v>1</v>
      </c>
      <c r="L316" s="230" t="s">
        <v>380</v>
      </c>
      <c r="M316" s="236" t="s">
        <v>418</v>
      </c>
      <c r="N316" s="149" t="s">
        <v>370</v>
      </c>
      <c r="O316" s="234"/>
      <c r="P316" s="234"/>
      <c r="Q316" s="234"/>
      <c r="R316" s="234"/>
      <c r="S316" s="234"/>
      <c r="T316" s="234"/>
      <c r="U316" s="234"/>
      <c r="V316" s="234"/>
      <c r="W316" s="234"/>
      <c r="X316" s="234"/>
      <c r="Y316" s="234"/>
      <c r="Z316" s="234"/>
      <c r="AA316" s="234"/>
      <c r="AB316" s="234"/>
      <c r="AC316" s="234"/>
      <c r="AD316" s="234"/>
      <c r="AE316" s="234"/>
      <c r="AF316" s="234"/>
      <c r="AG316" s="234"/>
      <c r="AH316" s="234"/>
      <c r="AI316" s="234"/>
      <c r="AJ316" s="234"/>
      <c r="AK316" s="234"/>
      <c r="AL316" s="234"/>
      <c r="AM316" s="194"/>
    </row>
    <row r="318" spans="1:39" s="143" customFormat="1" ht="30" customHeight="1">
      <c r="A318" s="142" t="s">
        <v>1078</v>
      </c>
      <c r="M318" s="144"/>
      <c r="N318" s="144"/>
      <c r="O318" s="144"/>
      <c r="P318" s="144"/>
      <c r="AA318" s="145"/>
    </row>
    <row r="319" spans="1:39">
      <c r="A319" s="146" t="s">
        <v>1079</v>
      </c>
    </row>
    <row r="320" spans="1:39" s="98" customFormat="1">
      <c r="A320" s="183" t="s">
        <v>18</v>
      </c>
      <c r="B320" s="98" t="s">
        <v>1235</v>
      </c>
      <c r="L320" s="237" t="str">
        <f>INDEX('Общие сведения'!$J$113:$J$146,MATCH($A320,'Общие сведения'!$D$113:$D$146,0))</f>
        <v>Тариф 1 (Водоснабжение) - тариф на техническую воду (нет)</v>
      </c>
      <c r="M320" s="158"/>
      <c r="N320" s="158"/>
      <c r="O320" s="462">
        <f>O321+O324+O327+O330+O333+O336+O337+O338</f>
        <v>0</v>
      </c>
      <c r="P320" s="462">
        <f t="shared" ref="P320:AL320" si="60">P321+P324+P327+P330+P333+P336+P337+P338</f>
        <v>0</v>
      </c>
      <c r="Q320" s="462">
        <f t="shared" si="60"/>
        <v>0</v>
      </c>
      <c r="R320" s="462">
        <f t="shared" si="60"/>
        <v>0</v>
      </c>
      <c r="S320" s="462">
        <f t="shared" si="60"/>
        <v>0</v>
      </c>
      <c r="T320" s="462">
        <f t="shared" si="60"/>
        <v>0</v>
      </c>
      <c r="U320" s="462">
        <f t="shared" si="60"/>
        <v>0</v>
      </c>
      <c r="V320" s="462">
        <f t="shared" si="60"/>
        <v>0</v>
      </c>
      <c r="W320" s="462">
        <f t="shared" si="60"/>
        <v>0</v>
      </c>
      <c r="X320" s="462">
        <f t="shared" si="60"/>
        <v>0</v>
      </c>
      <c r="Y320" s="462">
        <f t="shared" si="60"/>
        <v>0</v>
      </c>
      <c r="Z320" s="462">
        <f t="shared" si="60"/>
        <v>0</v>
      </c>
      <c r="AA320" s="462">
        <f t="shared" si="60"/>
        <v>0</v>
      </c>
      <c r="AB320" s="462">
        <f t="shared" si="60"/>
        <v>0</v>
      </c>
      <c r="AC320" s="462">
        <f t="shared" si="60"/>
        <v>0</v>
      </c>
      <c r="AD320" s="462">
        <f t="shared" si="60"/>
        <v>0</v>
      </c>
      <c r="AE320" s="462">
        <f t="shared" si="60"/>
        <v>0</v>
      </c>
      <c r="AF320" s="462">
        <f t="shared" si="60"/>
        <v>0</v>
      </c>
      <c r="AG320" s="462">
        <f t="shared" si="60"/>
        <v>0</v>
      </c>
      <c r="AH320" s="462">
        <f t="shared" si="60"/>
        <v>0</v>
      </c>
      <c r="AI320" s="462">
        <f t="shared" si="60"/>
        <v>0</v>
      </c>
      <c r="AJ320" s="462">
        <f t="shared" si="60"/>
        <v>0</v>
      </c>
      <c r="AK320" s="462">
        <f t="shared" si="60"/>
        <v>0</v>
      </c>
      <c r="AL320" s="462">
        <f t="shared" si="60"/>
        <v>0</v>
      </c>
      <c r="AM320" s="242"/>
    </row>
    <row r="321" spans="1:39" s="98" customFormat="1" outlineLevel="1">
      <c r="A321" s="551" t="str">
        <f t="shared" ref="A321:A338" si="61">A320</f>
        <v>1</v>
      </c>
      <c r="L321" s="217">
        <v>1</v>
      </c>
      <c r="M321" s="524" t="s">
        <v>420</v>
      </c>
      <c r="N321" s="224" t="s">
        <v>370</v>
      </c>
      <c r="O321" s="220">
        <f>SUMIF(N322:N323,N321,O322:O323)</f>
        <v>0</v>
      </c>
      <c r="P321" s="220">
        <f>SUMIF(N322:N323,N321,P322:P323)</f>
        <v>0</v>
      </c>
      <c r="Q321" s="220">
        <f>SUMIF(N322:N323,N321,Q322:Q323)</f>
        <v>0</v>
      </c>
      <c r="R321" s="220">
        <f>SUMIF(N322:N323,N321,R322:R323)</f>
        <v>0</v>
      </c>
      <c r="S321" s="220">
        <f>SUMIF(N322:N323,N321,S322:S323)</f>
        <v>0</v>
      </c>
      <c r="T321" s="220">
        <f>SUMIF(N322:N323,N321,T322:T323)</f>
        <v>0</v>
      </c>
      <c r="U321" s="220">
        <f>SUMIF(N322:N323,N321,U322:U323)</f>
        <v>0</v>
      </c>
      <c r="V321" s="220">
        <f>SUMIF(N322:N323,N321,V322:V323)</f>
        <v>0</v>
      </c>
      <c r="W321" s="220">
        <f>SUMIF(N322:N323,N321,W322:W323)</f>
        <v>0</v>
      </c>
      <c r="X321" s="220">
        <f>SUMIF(N322:N323,N321,X322:X323)</f>
        <v>0</v>
      </c>
      <c r="Y321" s="220">
        <f>SUMIF(N322:N323,N321,Y322:Y323)</f>
        <v>0</v>
      </c>
      <c r="Z321" s="220">
        <f>SUMIF(N322:N323,N321,Z322:Z323)</f>
        <v>0</v>
      </c>
      <c r="AA321" s="220">
        <f>SUMIF(N322:N323,N321,AA322:AA323)</f>
        <v>0</v>
      </c>
      <c r="AB321" s="220">
        <f>SUMIF(N322:N323,N321,AB322:AB323)</f>
        <v>0</v>
      </c>
      <c r="AC321" s="220">
        <f>SUMIF(N322:N323,N321,AC322:AC323)</f>
        <v>0</v>
      </c>
      <c r="AD321" s="220">
        <f>SUMIF(N322:N323,N321,AD322:AD323)</f>
        <v>0</v>
      </c>
      <c r="AE321" s="220">
        <f>SUMIF(N322:N323,N321,AE322:AE323)</f>
        <v>0</v>
      </c>
      <c r="AF321" s="220">
        <f>SUMIF(N322:N323,N321,AF322:AF323)</f>
        <v>0</v>
      </c>
      <c r="AG321" s="220">
        <f>SUMIF(N322:N323,N321,AG322:AG323)</f>
        <v>0</v>
      </c>
      <c r="AH321" s="220">
        <f>SUMIF(N322:N323,N321,AH322:AH323)</f>
        <v>0</v>
      </c>
      <c r="AI321" s="220">
        <f>SUMIF(N322:N323,N321,AI322:AI323)</f>
        <v>0</v>
      </c>
      <c r="AJ321" s="220">
        <f>SUMIF(N322:N323,N321,AJ322:AJ323)</f>
        <v>0</v>
      </c>
      <c r="AK321" s="220">
        <f>SUMIF(N322:N323,N321,AK322:AK323)</f>
        <v>0</v>
      </c>
      <c r="AL321" s="220">
        <f>SUMIF(N322:N323,N321,AL322:AL323)</f>
        <v>0</v>
      </c>
      <c r="AM321" s="194"/>
    </row>
    <row r="322" spans="1:39" s="98" customFormat="1" ht="0.2" customHeight="1" outlineLevel="1">
      <c r="A322" s="551" t="str">
        <f t="shared" si="61"/>
        <v>1</v>
      </c>
      <c r="J322" s="240" t="s">
        <v>1073</v>
      </c>
      <c r="L322" s="217"/>
      <c r="M322" s="524"/>
      <c r="N322" s="224"/>
      <c r="O322" s="225"/>
      <c r="P322" s="225"/>
      <c r="Q322" s="225"/>
      <c r="R322" s="225"/>
      <c r="S322" s="225"/>
      <c r="T322" s="225"/>
      <c r="U322" s="225"/>
      <c r="V322" s="225"/>
      <c r="W322" s="225"/>
      <c r="X322" s="225"/>
      <c r="Y322" s="225"/>
      <c r="Z322" s="225"/>
      <c r="AA322" s="225"/>
      <c r="AB322" s="225"/>
      <c r="AC322" s="225"/>
      <c r="AD322" s="225"/>
      <c r="AE322" s="225"/>
      <c r="AF322" s="225"/>
      <c r="AG322" s="225"/>
      <c r="AH322" s="225"/>
      <c r="AI322" s="225"/>
      <c r="AJ322" s="225"/>
      <c r="AK322" s="225"/>
      <c r="AL322" s="225"/>
      <c r="AM322" s="243"/>
    </row>
    <row r="323" spans="1:39" s="98" customFormat="1" outlineLevel="1">
      <c r="A323" s="551" t="str">
        <f t="shared" si="61"/>
        <v>1</v>
      </c>
      <c r="J323" s="241"/>
      <c r="L323" s="257"/>
      <c r="M323" s="258" t="s">
        <v>1077</v>
      </c>
      <c r="N323" s="258"/>
      <c r="O323" s="258"/>
      <c r="P323" s="258"/>
      <c r="Q323" s="258"/>
      <c r="R323" s="258"/>
      <c r="S323" s="258"/>
      <c r="T323" s="258"/>
      <c r="U323" s="258"/>
      <c r="V323" s="258"/>
      <c r="W323" s="258"/>
      <c r="X323" s="258"/>
      <c r="Y323" s="258"/>
      <c r="Z323" s="258"/>
      <c r="AA323" s="258"/>
      <c r="AB323" s="258"/>
      <c r="AC323" s="258"/>
      <c r="AD323" s="258"/>
      <c r="AE323" s="258"/>
      <c r="AF323" s="258"/>
      <c r="AG323" s="258"/>
      <c r="AH323" s="258"/>
      <c r="AI323" s="258"/>
      <c r="AJ323" s="258"/>
      <c r="AK323" s="258"/>
      <c r="AL323" s="258"/>
      <c r="AM323" s="259"/>
    </row>
    <row r="324" spans="1:39" s="98" customFormat="1" outlineLevel="1">
      <c r="A324" s="551" t="str">
        <f t="shared" si="61"/>
        <v>1</v>
      </c>
      <c r="L324" s="217">
        <v>2</v>
      </c>
      <c r="M324" s="524" t="s">
        <v>422</v>
      </c>
      <c r="N324" s="224" t="s">
        <v>370</v>
      </c>
      <c r="O324" s="220">
        <f>SUMIF(N325:N326,N324,O325:O326)</f>
        <v>0</v>
      </c>
      <c r="P324" s="220">
        <f>SUMIF(N325:N326,N324,P325:P326)</f>
        <v>0</v>
      </c>
      <c r="Q324" s="220">
        <f>SUMIF(N325:N326,N324,Q325:Q326)</f>
        <v>0</v>
      </c>
      <c r="R324" s="220">
        <f>SUMIF(N325:N326,N324,R325:R326)</f>
        <v>0</v>
      </c>
      <c r="S324" s="220">
        <f>SUMIF(N325:N326,N324,S325:S326)</f>
        <v>0</v>
      </c>
      <c r="T324" s="220">
        <f>SUMIF(N325:N326,N324,T325:T326)</f>
        <v>0</v>
      </c>
      <c r="U324" s="220">
        <f>SUMIF(N325:N326,N324,U325:U326)</f>
        <v>0</v>
      </c>
      <c r="V324" s="220">
        <f>SUMIF(N325:N326,N324,V325:V326)</f>
        <v>0</v>
      </c>
      <c r="W324" s="220">
        <f>SUMIF(N325:N326,N324,W325:W326)</f>
        <v>0</v>
      </c>
      <c r="X324" s="220">
        <f>SUMIF(N325:N326,N324,X325:X326)</f>
        <v>0</v>
      </c>
      <c r="Y324" s="220">
        <f>SUMIF(N325:N326,N324,Y325:Y326)</f>
        <v>0</v>
      </c>
      <c r="Z324" s="220">
        <f>SUMIF(N325:N326,N324,Z325:Z326)</f>
        <v>0</v>
      </c>
      <c r="AA324" s="220">
        <f>SUMIF(N325:N326,N324,AA325:AA326)</f>
        <v>0</v>
      </c>
      <c r="AB324" s="220">
        <f>SUMIF(N325:N326,N324,AB325:AB326)</f>
        <v>0</v>
      </c>
      <c r="AC324" s="220">
        <f>SUMIF(N325:N326,N324,AC325:AC326)</f>
        <v>0</v>
      </c>
      <c r="AD324" s="220">
        <f>SUMIF(N325:N326,N324,AD325:AD326)</f>
        <v>0</v>
      </c>
      <c r="AE324" s="220">
        <f>SUMIF(N325:N326,N324,AE325:AE326)</f>
        <v>0</v>
      </c>
      <c r="AF324" s="220">
        <f>SUMIF(N325:N326,N324,AF325:AF326)</f>
        <v>0</v>
      </c>
      <c r="AG324" s="220">
        <f>SUMIF(N325:N326,N324,AG325:AG326)</f>
        <v>0</v>
      </c>
      <c r="AH324" s="220">
        <f>SUMIF(N325:N326,N324,AH325:AH326)</f>
        <v>0</v>
      </c>
      <c r="AI324" s="220">
        <f>SUMIF(N325:N326,N324,AI325:AI326)</f>
        <v>0</v>
      </c>
      <c r="AJ324" s="220">
        <f>SUMIF(N325:N326,N324,AJ325:AJ326)</f>
        <v>0</v>
      </c>
      <c r="AK324" s="220">
        <f>SUMIF(N325:N326,N324,AK325:AK326)</f>
        <v>0</v>
      </c>
      <c r="AL324" s="220">
        <f>SUMIF(N325:N326,N324,AL325:AL326)</f>
        <v>0</v>
      </c>
      <c r="AM324" s="194"/>
    </row>
    <row r="325" spans="1:39" s="98" customFormat="1" ht="0.2" customHeight="1" outlineLevel="1">
      <c r="A325" s="551" t="str">
        <f t="shared" si="61"/>
        <v>1</v>
      </c>
      <c r="J325" s="240" t="s">
        <v>1074</v>
      </c>
      <c r="L325" s="217"/>
      <c r="M325" s="524"/>
      <c r="N325" s="224"/>
      <c r="O325" s="225"/>
      <c r="P325" s="225"/>
      <c r="Q325" s="225"/>
      <c r="R325" s="225"/>
      <c r="S325" s="225"/>
      <c r="T325" s="225"/>
      <c r="U325" s="225"/>
      <c r="V325" s="225"/>
      <c r="W325" s="225"/>
      <c r="X325" s="225"/>
      <c r="Y325" s="225"/>
      <c r="Z325" s="225"/>
      <c r="AA325" s="225"/>
      <c r="AB325" s="225"/>
      <c r="AC325" s="225"/>
      <c r="AD325" s="225"/>
      <c r="AE325" s="225"/>
      <c r="AF325" s="225"/>
      <c r="AG325" s="225"/>
      <c r="AH325" s="225"/>
      <c r="AI325" s="225"/>
      <c r="AJ325" s="225"/>
      <c r="AK325" s="225"/>
      <c r="AL325" s="225"/>
      <c r="AM325" s="243"/>
    </row>
    <row r="326" spans="1:39" s="98" customFormat="1" outlineLevel="1">
      <c r="A326" s="551" t="str">
        <f t="shared" si="61"/>
        <v>1</v>
      </c>
      <c r="J326" s="241"/>
      <c r="L326" s="257"/>
      <c r="M326" s="258" t="s">
        <v>1077</v>
      </c>
      <c r="N326" s="258"/>
      <c r="O326" s="258"/>
      <c r="P326" s="258"/>
      <c r="Q326" s="258"/>
      <c r="R326" s="258"/>
      <c r="S326" s="258"/>
      <c r="T326" s="258"/>
      <c r="U326" s="258"/>
      <c r="V326" s="258"/>
      <c r="W326" s="258"/>
      <c r="X326" s="258"/>
      <c r="Y326" s="258"/>
      <c r="Z326" s="258"/>
      <c r="AA326" s="258"/>
      <c r="AB326" s="258"/>
      <c r="AC326" s="258"/>
      <c r="AD326" s="258"/>
      <c r="AE326" s="258"/>
      <c r="AF326" s="258"/>
      <c r="AG326" s="258"/>
      <c r="AH326" s="258"/>
      <c r="AI326" s="258"/>
      <c r="AJ326" s="258"/>
      <c r="AK326" s="258"/>
      <c r="AL326" s="258"/>
      <c r="AM326" s="259"/>
    </row>
    <row r="327" spans="1:39" s="98" customFormat="1" outlineLevel="1">
      <c r="A327" s="551" t="str">
        <f t="shared" si="61"/>
        <v>1</v>
      </c>
      <c r="L327" s="217">
        <v>3</v>
      </c>
      <c r="M327" s="524" t="s">
        <v>424</v>
      </c>
      <c r="N327" s="224" t="s">
        <v>370</v>
      </c>
      <c r="O327" s="220">
        <f>SUMIF(N328:N329,N327,O328:O329)</f>
        <v>0</v>
      </c>
      <c r="P327" s="220">
        <f>SUMIF(N328:N329,N327,P328:P329)</f>
        <v>0</v>
      </c>
      <c r="Q327" s="220">
        <f>SUMIF(N328:N329,N327,Q328:Q329)</f>
        <v>0</v>
      </c>
      <c r="R327" s="220">
        <f>SUMIF(N328:N329,N327,R328:R329)</f>
        <v>0</v>
      </c>
      <c r="S327" s="220">
        <f>SUMIF(N328:N329,N327,S328:S329)</f>
        <v>0</v>
      </c>
      <c r="T327" s="220">
        <f>SUMIF(N328:N329,N327,T328:T329)</f>
        <v>0</v>
      </c>
      <c r="U327" s="220">
        <f>SUMIF(N328:N329,N327,U328:U329)</f>
        <v>0</v>
      </c>
      <c r="V327" s="220">
        <f>SUMIF(N328:N329,N327,V328:V329)</f>
        <v>0</v>
      </c>
      <c r="W327" s="220">
        <f>SUMIF(N328:N329,N327,W328:W329)</f>
        <v>0</v>
      </c>
      <c r="X327" s="220">
        <f>SUMIF(N328:N329,N327,X328:X329)</f>
        <v>0</v>
      </c>
      <c r="Y327" s="220">
        <f>SUMIF(N328:N329,N327,Y328:Y329)</f>
        <v>0</v>
      </c>
      <c r="Z327" s="220">
        <f>SUMIF(N328:N329,N327,Z328:Z329)</f>
        <v>0</v>
      </c>
      <c r="AA327" s="220">
        <f>SUMIF(N328:N329,N327,AA328:AA329)</f>
        <v>0</v>
      </c>
      <c r="AB327" s="220">
        <f>SUMIF(N328:N329,N327,AB328:AB329)</f>
        <v>0</v>
      </c>
      <c r="AC327" s="220">
        <f>SUMIF(N328:N329,N327,AC328:AC329)</f>
        <v>0</v>
      </c>
      <c r="AD327" s="220">
        <f>SUMIF(N328:N329,N327,AD328:AD329)</f>
        <v>0</v>
      </c>
      <c r="AE327" s="220">
        <f>SUMIF(N328:N329,N327,AE328:AE329)</f>
        <v>0</v>
      </c>
      <c r="AF327" s="220">
        <f>SUMIF(N328:N329,N327,AF328:AF329)</f>
        <v>0</v>
      </c>
      <c r="AG327" s="220">
        <f>SUMIF(N328:N329,N327,AG328:AG329)</f>
        <v>0</v>
      </c>
      <c r="AH327" s="220">
        <f>SUMIF(N328:N329,N327,AH328:AH329)</f>
        <v>0</v>
      </c>
      <c r="AI327" s="220">
        <f>SUMIF(N328:N329,N327,AI328:AI329)</f>
        <v>0</v>
      </c>
      <c r="AJ327" s="220">
        <f>SUMIF(N328:N329,N327,AJ328:AJ329)</f>
        <v>0</v>
      </c>
      <c r="AK327" s="220">
        <f>SUMIF(N328:N329,N327,AK328:AK329)</f>
        <v>0</v>
      </c>
      <c r="AL327" s="220">
        <f>SUMIF(N328:N329,N327,AL328:AL329)</f>
        <v>0</v>
      </c>
      <c r="AM327" s="194"/>
    </row>
    <row r="328" spans="1:39" s="98" customFormat="1" ht="0.2" customHeight="1" outlineLevel="1">
      <c r="A328" s="551" t="str">
        <f t="shared" si="61"/>
        <v>1</v>
      </c>
      <c r="J328" s="240" t="s">
        <v>1075</v>
      </c>
      <c r="L328" s="217"/>
      <c r="M328" s="524"/>
      <c r="N328" s="224"/>
      <c r="O328" s="225"/>
      <c r="P328" s="225"/>
      <c r="Q328" s="225"/>
      <c r="R328" s="225"/>
      <c r="S328" s="225"/>
      <c r="T328" s="225"/>
      <c r="U328" s="225"/>
      <c r="V328" s="225"/>
      <c r="W328" s="225"/>
      <c r="X328" s="225"/>
      <c r="Y328" s="225"/>
      <c r="Z328" s="225"/>
      <c r="AA328" s="225"/>
      <c r="AB328" s="225"/>
      <c r="AC328" s="225"/>
      <c r="AD328" s="225"/>
      <c r="AE328" s="225"/>
      <c r="AF328" s="225"/>
      <c r="AG328" s="225"/>
      <c r="AH328" s="225"/>
      <c r="AI328" s="225"/>
      <c r="AJ328" s="225"/>
      <c r="AK328" s="225"/>
      <c r="AL328" s="225"/>
      <c r="AM328" s="243"/>
    </row>
    <row r="329" spans="1:39" s="98" customFormat="1" outlineLevel="1">
      <c r="A329" s="551" t="str">
        <f t="shared" si="61"/>
        <v>1</v>
      </c>
      <c r="J329" s="241"/>
      <c r="L329" s="257"/>
      <c r="M329" s="258" t="s">
        <v>1077</v>
      </c>
      <c r="N329" s="258"/>
      <c r="O329" s="258"/>
      <c r="P329" s="258"/>
      <c r="Q329" s="258"/>
      <c r="R329" s="258"/>
      <c r="S329" s="258"/>
      <c r="T329" s="258"/>
      <c r="U329" s="258"/>
      <c r="V329" s="258"/>
      <c r="W329" s="258"/>
      <c r="X329" s="258"/>
      <c r="Y329" s="258"/>
      <c r="Z329" s="258"/>
      <c r="AA329" s="258"/>
      <c r="AB329" s="258"/>
      <c r="AC329" s="258"/>
      <c r="AD329" s="258"/>
      <c r="AE329" s="258"/>
      <c r="AF329" s="258"/>
      <c r="AG329" s="258"/>
      <c r="AH329" s="258"/>
      <c r="AI329" s="258"/>
      <c r="AJ329" s="258"/>
      <c r="AK329" s="258"/>
      <c r="AL329" s="258"/>
      <c r="AM329" s="259"/>
    </row>
    <row r="330" spans="1:39" s="98" customFormat="1" outlineLevel="1">
      <c r="A330" s="551" t="str">
        <f t="shared" si="61"/>
        <v>1</v>
      </c>
      <c r="L330" s="217">
        <v>4</v>
      </c>
      <c r="M330" s="524" t="s">
        <v>425</v>
      </c>
      <c r="N330" s="224" t="s">
        <v>370</v>
      </c>
      <c r="O330" s="220">
        <f>SUMIF(N331:N332,N330,O331:O332)</f>
        <v>0</v>
      </c>
      <c r="P330" s="220">
        <f>SUMIF(N331:N332,N330,P331:P332)</f>
        <v>0</v>
      </c>
      <c r="Q330" s="220">
        <f>SUMIF(N331:N332,N330,Q331:Q332)</f>
        <v>0</v>
      </c>
      <c r="R330" s="220">
        <f>SUMIF(N331:N332,N330,R331:R332)</f>
        <v>0</v>
      </c>
      <c r="S330" s="220">
        <f>SUMIF(N331:N332,N330,S331:S332)</f>
        <v>0</v>
      </c>
      <c r="T330" s="220">
        <f>SUMIF(N331:N332,N330,T331:T332)</f>
        <v>0</v>
      </c>
      <c r="U330" s="220">
        <f>SUMIF(N331:N332,N330,U331:U332)</f>
        <v>0</v>
      </c>
      <c r="V330" s="220">
        <f>SUMIF(N331:N332,N330,V331:V332)</f>
        <v>0</v>
      </c>
      <c r="W330" s="220">
        <f>SUMIF(N331:N332,N330,W331:W332)</f>
        <v>0</v>
      </c>
      <c r="X330" s="220">
        <f>SUMIF(N331:N332,N330,X331:X332)</f>
        <v>0</v>
      </c>
      <c r="Y330" s="220">
        <f>SUMIF(N331:N332,N330,Y331:Y332)</f>
        <v>0</v>
      </c>
      <c r="Z330" s="220">
        <f>SUMIF(N331:N332,N330,Z331:Z332)</f>
        <v>0</v>
      </c>
      <c r="AA330" s="220">
        <f>SUMIF(N331:N332,N330,AA331:AA332)</f>
        <v>0</v>
      </c>
      <c r="AB330" s="220">
        <f>SUMIF(N331:N332,N330,AB331:AB332)</f>
        <v>0</v>
      </c>
      <c r="AC330" s="220">
        <f>SUMIF(N331:N332,N330,AC331:AC332)</f>
        <v>0</v>
      </c>
      <c r="AD330" s="220">
        <f>SUMIF(N331:N332,N330,AD331:AD332)</f>
        <v>0</v>
      </c>
      <c r="AE330" s="220">
        <f>SUMIF(N331:N332,N330,AE331:AE332)</f>
        <v>0</v>
      </c>
      <c r="AF330" s="220">
        <f>SUMIF(N331:N332,N330,AF331:AF332)</f>
        <v>0</v>
      </c>
      <c r="AG330" s="220">
        <f>SUMIF(N331:N332,N330,AG331:AG332)</f>
        <v>0</v>
      </c>
      <c r="AH330" s="220">
        <f>SUMIF(N331:N332,N330,AH331:AH332)</f>
        <v>0</v>
      </c>
      <c r="AI330" s="220">
        <f>SUMIF(N331:N332,N330,AI331:AI332)</f>
        <v>0</v>
      </c>
      <c r="AJ330" s="220">
        <f>SUMIF(N331:N332,N330,AJ331:AJ332)</f>
        <v>0</v>
      </c>
      <c r="AK330" s="220">
        <f>SUMIF(N331:N332,N330,AK331:AK332)</f>
        <v>0</v>
      </c>
      <c r="AL330" s="220">
        <f>SUMIF(N331:N332,N330,AL331:AL332)</f>
        <v>0</v>
      </c>
      <c r="AM330" s="194"/>
    </row>
    <row r="331" spans="1:39" s="98" customFormat="1" ht="0.2" customHeight="1" outlineLevel="1">
      <c r="A331" s="551" t="str">
        <f t="shared" si="61"/>
        <v>1</v>
      </c>
      <c r="J331" s="240" t="s">
        <v>1076</v>
      </c>
      <c r="L331" s="217"/>
      <c r="M331" s="524"/>
      <c r="N331" s="224"/>
      <c r="O331" s="225"/>
      <c r="P331" s="225"/>
      <c r="Q331" s="225"/>
      <c r="R331" s="225"/>
      <c r="S331" s="225"/>
      <c r="T331" s="225"/>
      <c r="U331" s="225"/>
      <c r="V331" s="225"/>
      <c r="W331" s="225"/>
      <c r="X331" s="225"/>
      <c r="Y331" s="225"/>
      <c r="Z331" s="225"/>
      <c r="AA331" s="225"/>
      <c r="AB331" s="225"/>
      <c r="AC331" s="225"/>
      <c r="AD331" s="225"/>
      <c r="AE331" s="225"/>
      <c r="AF331" s="225"/>
      <c r="AG331" s="225"/>
      <c r="AH331" s="225"/>
      <c r="AI331" s="225"/>
      <c r="AJ331" s="225"/>
      <c r="AK331" s="225"/>
      <c r="AL331" s="225"/>
      <c r="AM331" s="243"/>
    </row>
    <row r="332" spans="1:39" s="98" customFormat="1" outlineLevel="1">
      <c r="A332" s="551" t="str">
        <f t="shared" si="61"/>
        <v>1</v>
      </c>
      <c r="J332" s="241"/>
      <c r="L332" s="257"/>
      <c r="M332" s="258" t="s">
        <v>1077</v>
      </c>
      <c r="N332" s="258"/>
      <c r="O332" s="258"/>
      <c r="P332" s="258"/>
      <c r="Q332" s="258"/>
      <c r="R332" s="258"/>
      <c r="S332" s="258"/>
      <c r="T332" s="258"/>
      <c r="U332" s="258"/>
      <c r="V332" s="258"/>
      <c r="W332" s="258"/>
      <c r="X332" s="258"/>
      <c r="Y332" s="258"/>
      <c r="Z332" s="258"/>
      <c r="AA332" s="258"/>
      <c r="AB332" s="258"/>
      <c r="AC332" s="258"/>
      <c r="AD332" s="258"/>
      <c r="AE332" s="258"/>
      <c r="AF332" s="258"/>
      <c r="AG332" s="258"/>
      <c r="AH332" s="258"/>
      <c r="AI332" s="258"/>
      <c r="AJ332" s="258"/>
      <c r="AK332" s="258"/>
      <c r="AL332" s="258"/>
      <c r="AM332" s="259"/>
    </row>
    <row r="333" spans="1:39" s="98" customFormat="1" outlineLevel="1">
      <c r="A333" s="551" t="str">
        <f t="shared" si="61"/>
        <v>1</v>
      </c>
      <c r="L333" s="217">
        <v>5</v>
      </c>
      <c r="M333" s="524" t="s">
        <v>1328</v>
      </c>
      <c r="N333" s="224" t="s">
        <v>370</v>
      </c>
      <c r="O333" s="220">
        <f>SUMIF(N334:N335,N333,O334:O335)</f>
        <v>0</v>
      </c>
      <c r="P333" s="220">
        <f>SUMIF(N334:N335,N333,P334:P335)</f>
        <v>0</v>
      </c>
      <c r="Q333" s="220">
        <f>SUMIF(N334:N335,N333,Q334:Q335)</f>
        <v>0</v>
      </c>
      <c r="R333" s="220">
        <f>SUMIF(N334:N335,N333,R334:R335)</f>
        <v>0</v>
      </c>
      <c r="S333" s="220">
        <f>SUMIF(N334:N335,N333,S334:S335)</f>
        <v>0</v>
      </c>
      <c r="T333" s="220">
        <f>SUMIF(N334:N335,N333,T334:T335)</f>
        <v>0</v>
      </c>
      <c r="U333" s="220">
        <f>SUMIF(N334:N335,N333,U334:U335)</f>
        <v>0</v>
      </c>
      <c r="V333" s="220">
        <f>SUMIF(N334:N335,N333,V334:V335)</f>
        <v>0</v>
      </c>
      <c r="W333" s="220">
        <f>SUMIF(N334:N335,N333,W334:W335)</f>
        <v>0</v>
      </c>
      <c r="X333" s="220">
        <f>SUMIF(N334:N335,N333,X334:X335)</f>
        <v>0</v>
      </c>
      <c r="Y333" s="220">
        <f>SUMIF(N334:N335,N333,Y334:Y335)</f>
        <v>0</v>
      </c>
      <c r="Z333" s="220">
        <f>SUMIF(N334:N335,N333,Z334:Z335)</f>
        <v>0</v>
      </c>
      <c r="AA333" s="220">
        <f>SUMIF(N334:N335,N333,AA334:AA335)</f>
        <v>0</v>
      </c>
      <c r="AB333" s="220">
        <f>SUMIF(N334:N335,N333,AB334:AB335)</f>
        <v>0</v>
      </c>
      <c r="AC333" s="220">
        <f>SUMIF(N334:N335,N333,AC334:AC335)</f>
        <v>0</v>
      </c>
      <c r="AD333" s="220">
        <f>SUMIF(N334:N335,N333,AD334:AD335)</f>
        <v>0</v>
      </c>
      <c r="AE333" s="220">
        <f>SUMIF(N334:N335,N333,AE334:AE335)</f>
        <v>0</v>
      </c>
      <c r="AF333" s="220">
        <f>SUMIF(N334:N335,N333,AF334:AF335)</f>
        <v>0</v>
      </c>
      <c r="AG333" s="220">
        <f>SUMIF(N334:N335,N333,AG334:AG335)</f>
        <v>0</v>
      </c>
      <c r="AH333" s="220">
        <f>SUMIF(N334:N335,N333,AH334:AH335)</f>
        <v>0</v>
      </c>
      <c r="AI333" s="220">
        <f>SUMIF(N334:N335,N333,AI334:AI335)</f>
        <v>0</v>
      </c>
      <c r="AJ333" s="220">
        <f>SUMIF(N334:N335,N333,AJ334:AJ335)</f>
        <v>0</v>
      </c>
      <c r="AK333" s="220">
        <f>SUMIF(N334:N335,N333,AK334:AK335)</f>
        <v>0</v>
      </c>
      <c r="AL333" s="220">
        <f>SUMIF(N334:N335,N333,AL334:AL335)</f>
        <v>0</v>
      </c>
      <c r="AM333" s="194"/>
    </row>
    <row r="334" spans="1:39" s="98" customFormat="1" ht="0.2" customHeight="1" outlineLevel="1">
      <c r="A334" s="551" t="str">
        <f t="shared" si="61"/>
        <v>1</v>
      </c>
      <c r="J334" s="240" t="s">
        <v>1349</v>
      </c>
      <c r="L334" s="217"/>
      <c r="M334" s="524"/>
      <c r="N334" s="224"/>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c r="AJ334" s="225"/>
      <c r="AK334" s="225"/>
      <c r="AL334" s="225"/>
      <c r="AM334" s="243"/>
    </row>
    <row r="335" spans="1:39" s="98" customFormat="1" outlineLevel="1">
      <c r="A335" s="551" t="str">
        <f t="shared" si="61"/>
        <v>1</v>
      </c>
      <c r="J335" s="490"/>
      <c r="L335" s="257"/>
      <c r="M335" s="258" t="s">
        <v>1077</v>
      </c>
      <c r="N335" s="258"/>
      <c r="O335" s="258"/>
      <c r="P335" s="258"/>
      <c r="Q335" s="258"/>
      <c r="R335" s="258"/>
      <c r="S335" s="258"/>
      <c r="T335" s="258"/>
      <c r="U335" s="258"/>
      <c r="V335" s="258"/>
      <c r="W335" s="258"/>
      <c r="X335" s="258"/>
      <c r="Y335" s="258"/>
      <c r="Z335" s="258"/>
      <c r="AA335" s="258"/>
      <c r="AB335" s="258"/>
      <c r="AC335" s="258"/>
      <c r="AD335" s="258"/>
      <c r="AE335" s="258"/>
      <c r="AF335" s="258"/>
      <c r="AG335" s="258"/>
      <c r="AH335" s="258"/>
      <c r="AI335" s="258"/>
      <c r="AJ335" s="258"/>
      <c r="AK335" s="258"/>
      <c r="AL335" s="258"/>
      <c r="AM335" s="259"/>
    </row>
    <row r="336" spans="1:39" s="99" customFormat="1" outlineLevel="1">
      <c r="A336" s="551" t="str">
        <f>A332</f>
        <v>1</v>
      </c>
      <c r="L336" s="217">
        <v>6</v>
      </c>
      <c r="M336" s="524" t="s">
        <v>426</v>
      </c>
      <c r="N336" s="224" t="s">
        <v>370</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194"/>
    </row>
    <row r="337" spans="1:39" s="99" customFormat="1" outlineLevel="1">
      <c r="A337" s="551" t="str">
        <f t="shared" si="61"/>
        <v>1</v>
      </c>
      <c r="L337" s="217">
        <v>7</v>
      </c>
      <c r="M337" s="524" t="s">
        <v>427</v>
      </c>
      <c r="N337" s="224" t="s">
        <v>370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194"/>
    </row>
    <row r="338" spans="1:39" s="99" customFormat="1" outlineLevel="1">
      <c r="A338" s="551" t="str">
        <f t="shared" si="61"/>
        <v>1</v>
      </c>
      <c r="L338" s="217">
        <v>8</v>
      </c>
      <c r="M338" s="524" t="s">
        <v>428</v>
      </c>
      <c r="N338" s="224" t="s">
        <v>370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194"/>
    </row>
    <row r="339" spans="1:39">
      <c r="A339" s="146" t="s">
        <v>1080</v>
      </c>
    </row>
    <row r="340" spans="1:39" s="98" customFormat="1" ht="11.25" customHeight="1" outlineLevel="1">
      <c r="A340" s="159" t="str">
        <f ca="1">OFFSET(A340,-1,0)</f>
        <v>et_List09_org1</v>
      </c>
      <c r="J340" s="633" t="s">
        <v>165</v>
      </c>
      <c r="K340" s="147" t="s">
        <v>283</v>
      </c>
      <c r="L340" s="244" t="str">
        <f>J340</f>
        <v>1.1</v>
      </c>
      <c r="M340" s="357"/>
      <c r="N340" s="224" t="s">
        <v>370</v>
      </c>
      <c r="O340" s="223"/>
      <c r="P340" s="223"/>
      <c r="Q340" s="223"/>
      <c r="R340" s="223"/>
      <c r="S340" s="223"/>
      <c r="T340" s="223"/>
      <c r="U340" s="223"/>
      <c r="V340" s="223"/>
      <c r="W340" s="223"/>
      <c r="X340" s="223"/>
      <c r="Y340" s="223"/>
      <c r="Z340" s="223"/>
      <c r="AA340" s="223"/>
      <c r="AB340" s="223"/>
      <c r="AC340" s="223"/>
      <c r="AD340" s="223"/>
      <c r="AE340" s="223"/>
      <c r="AF340" s="223"/>
      <c r="AG340" s="223"/>
      <c r="AH340" s="223"/>
      <c r="AI340" s="223"/>
      <c r="AJ340" s="223"/>
      <c r="AK340" s="223"/>
      <c r="AL340" s="223"/>
      <c r="AM340" s="194"/>
    </row>
    <row r="341" spans="1:39" s="98" customFormat="1" ht="11.25" customHeight="1" outlineLevel="1">
      <c r="A341" s="551" t="str">
        <f ca="1">A340</f>
        <v>et_List09_org1</v>
      </c>
      <c r="J341" s="633"/>
      <c r="L341" s="245" t="str">
        <f>L340&amp;".1"</f>
        <v>1.1.1</v>
      </c>
      <c r="M341" s="246" t="s">
        <v>1176</v>
      </c>
      <c r="N341" s="219" t="s">
        <v>329</v>
      </c>
      <c r="O341" s="223"/>
      <c r="P341" s="223"/>
      <c r="Q341" s="223"/>
      <c r="R341" s="223"/>
      <c r="S341" s="223"/>
      <c r="T341" s="223"/>
      <c r="U341" s="223"/>
      <c r="V341" s="223"/>
      <c r="W341" s="223"/>
      <c r="X341" s="223"/>
      <c r="Y341" s="223"/>
      <c r="Z341" s="223"/>
      <c r="AA341" s="223"/>
      <c r="AB341" s="223"/>
      <c r="AC341" s="223"/>
      <c r="AD341" s="223"/>
      <c r="AE341" s="223"/>
      <c r="AF341" s="223"/>
      <c r="AG341" s="223"/>
      <c r="AH341" s="223"/>
      <c r="AI341" s="223"/>
      <c r="AJ341" s="223"/>
      <c r="AK341" s="223"/>
      <c r="AL341" s="223"/>
      <c r="AM341" s="194"/>
    </row>
    <row r="342" spans="1:39" s="98" customFormat="1" ht="11.25" customHeight="1" outlineLevel="1">
      <c r="A342" s="551" t="str">
        <f ca="1">A341</f>
        <v>et_List09_org1</v>
      </c>
      <c r="J342" s="633"/>
      <c r="L342" s="245" t="str">
        <f>L340&amp;".2"</f>
        <v>1.1.2</v>
      </c>
      <c r="M342" s="246" t="s">
        <v>419</v>
      </c>
      <c r="N342" s="219" t="s">
        <v>679</v>
      </c>
      <c r="O342" s="550">
        <f t="shared" ref="O342:AL342" si="62">IF(OR(AND(O340&lt;&gt;0,O341=0),AND(O340=0,O341&lt;&gt;0)),"Ошибка",IF(O341=0,0,O340/O341))</f>
        <v>0</v>
      </c>
      <c r="P342" s="550">
        <f t="shared" si="62"/>
        <v>0</v>
      </c>
      <c r="Q342" s="550">
        <f t="shared" si="62"/>
        <v>0</v>
      </c>
      <c r="R342" s="550">
        <f t="shared" si="62"/>
        <v>0</v>
      </c>
      <c r="S342" s="550">
        <f t="shared" si="62"/>
        <v>0</v>
      </c>
      <c r="T342" s="550">
        <f t="shared" si="62"/>
        <v>0</v>
      </c>
      <c r="U342" s="550">
        <f t="shared" si="62"/>
        <v>0</v>
      </c>
      <c r="V342" s="550">
        <f t="shared" si="62"/>
        <v>0</v>
      </c>
      <c r="W342" s="550">
        <f t="shared" si="62"/>
        <v>0</v>
      </c>
      <c r="X342" s="550">
        <f t="shared" si="62"/>
        <v>0</v>
      </c>
      <c r="Y342" s="550">
        <f t="shared" si="62"/>
        <v>0</v>
      </c>
      <c r="Z342" s="550">
        <f t="shared" si="62"/>
        <v>0</v>
      </c>
      <c r="AA342" s="550">
        <f t="shared" si="62"/>
        <v>0</v>
      </c>
      <c r="AB342" s="550">
        <f t="shared" si="62"/>
        <v>0</v>
      </c>
      <c r="AC342" s="550">
        <f t="shared" si="62"/>
        <v>0</v>
      </c>
      <c r="AD342" s="550">
        <f t="shared" si="62"/>
        <v>0</v>
      </c>
      <c r="AE342" s="550">
        <f t="shared" si="62"/>
        <v>0</v>
      </c>
      <c r="AF342" s="550">
        <f t="shared" si="62"/>
        <v>0</v>
      </c>
      <c r="AG342" s="550">
        <f t="shared" si="62"/>
        <v>0</v>
      </c>
      <c r="AH342" s="550">
        <f t="shared" si="62"/>
        <v>0</v>
      </c>
      <c r="AI342" s="550">
        <f t="shared" si="62"/>
        <v>0</v>
      </c>
      <c r="AJ342" s="550">
        <f t="shared" si="62"/>
        <v>0</v>
      </c>
      <c r="AK342" s="550">
        <f t="shared" si="62"/>
        <v>0</v>
      </c>
      <c r="AL342" s="550">
        <f t="shared" si="62"/>
        <v>0</v>
      </c>
      <c r="AM342" s="194"/>
    </row>
    <row r="343" spans="1:39">
      <c r="A343" s="146" t="s">
        <v>1081</v>
      </c>
    </row>
    <row r="344" spans="1:39" s="98" customFormat="1" ht="11.25" customHeight="1" outlineLevel="1">
      <c r="A344" s="159" t="str">
        <f ca="1">OFFSET(A344,-1,0)</f>
        <v>et_List09_org2</v>
      </c>
      <c r="J344" s="633" t="s">
        <v>17</v>
      </c>
      <c r="K344" s="147" t="s">
        <v>283</v>
      </c>
      <c r="L344" s="244" t="str">
        <f>J344</f>
        <v>2.1</v>
      </c>
      <c r="M344" s="357"/>
      <c r="N344" s="224" t="s">
        <v>370</v>
      </c>
      <c r="O344" s="223"/>
      <c r="P344" s="223"/>
      <c r="Q344" s="223"/>
      <c r="R344" s="223"/>
      <c r="S344" s="223"/>
      <c r="T344" s="223"/>
      <c r="U344" s="223"/>
      <c r="V344" s="223"/>
      <c r="W344" s="223"/>
      <c r="X344" s="223"/>
      <c r="Y344" s="223"/>
      <c r="Z344" s="223"/>
      <c r="AA344" s="223"/>
      <c r="AB344" s="223"/>
      <c r="AC344" s="223"/>
      <c r="AD344" s="223"/>
      <c r="AE344" s="223"/>
      <c r="AF344" s="223"/>
      <c r="AG344" s="223"/>
      <c r="AH344" s="223"/>
      <c r="AI344" s="223"/>
      <c r="AJ344" s="223"/>
      <c r="AK344" s="223"/>
      <c r="AL344" s="223"/>
      <c r="AM344" s="194"/>
    </row>
    <row r="345" spans="1:39" s="98" customFormat="1" ht="11.25" customHeight="1" outlineLevel="1">
      <c r="A345" s="551" t="str">
        <f ca="1">A344</f>
        <v>et_List09_org2</v>
      </c>
      <c r="J345" s="633"/>
      <c r="L345" s="245" t="str">
        <f>L344&amp;".1"</f>
        <v>2.1.1</v>
      </c>
      <c r="M345" s="246" t="s">
        <v>1177</v>
      </c>
      <c r="N345" s="219" t="s">
        <v>329</v>
      </c>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c r="AJ345" s="223"/>
      <c r="AK345" s="223"/>
      <c r="AL345" s="223"/>
      <c r="AM345" s="194"/>
    </row>
    <row r="346" spans="1:39" s="98" customFormat="1" ht="11.25" customHeight="1" outlineLevel="1">
      <c r="A346" s="551" t="str">
        <f ca="1">A345</f>
        <v>et_List09_org2</v>
      </c>
      <c r="J346" s="633"/>
      <c r="L346" s="245" t="str">
        <f>L344&amp;".2"</f>
        <v>2.1.2</v>
      </c>
      <c r="M346" s="246" t="s">
        <v>421</v>
      </c>
      <c r="N346" s="219" t="s">
        <v>679</v>
      </c>
      <c r="O346" s="550">
        <f t="shared" ref="O346:AL346" si="63">IF(OR(AND(O344&lt;&gt;0,O345=0),AND(O344=0,O345&lt;&gt;0)),"Ошибка",IF(O345=0,0,O344/O345))</f>
        <v>0</v>
      </c>
      <c r="P346" s="550">
        <f t="shared" si="63"/>
        <v>0</v>
      </c>
      <c r="Q346" s="550">
        <f t="shared" si="63"/>
        <v>0</v>
      </c>
      <c r="R346" s="550">
        <f t="shared" si="63"/>
        <v>0</v>
      </c>
      <c r="S346" s="550">
        <f t="shared" si="63"/>
        <v>0</v>
      </c>
      <c r="T346" s="550">
        <f t="shared" si="63"/>
        <v>0</v>
      </c>
      <c r="U346" s="550">
        <f t="shared" si="63"/>
        <v>0</v>
      </c>
      <c r="V346" s="550">
        <f t="shared" si="63"/>
        <v>0</v>
      </c>
      <c r="W346" s="550">
        <f t="shared" si="63"/>
        <v>0</v>
      </c>
      <c r="X346" s="550">
        <f t="shared" si="63"/>
        <v>0</v>
      </c>
      <c r="Y346" s="550">
        <f t="shared" si="63"/>
        <v>0</v>
      </c>
      <c r="Z346" s="550">
        <f t="shared" si="63"/>
        <v>0</v>
      </c>
      <c r="AA346" s="550">
        <f t="shared" si="63"/>
        <v>0</v>
      </c>
      <c r="AB346" s="550">
        <f t="shared" si="63"/>
        <v>0</v>
      </c>
      <c r="AC346" s="550">
        <f t="shared" si="63"/>
        <v>0</v>
      </c>
      <c r="AD346" s="550">
        <f t="shared" si="63"/>
        <v>0</v>
      </c>
      <c r="AE346" s="550">
        <f t="shared" si="63"/>
        <v>0</v>
      </c>
      <c r="AF346" s="550">
        <f t="shared" si="63"/>
        <v>0</v>
      </c>
      <c r="AG346" s="550">
        <f t="shared" si="63"/>
        <v>0</v>
      </c>
      <c r="AH346" s="550">
        <f t="shared" si="63"/>
        <v>0</v>
      </c>
      <c r="AI346" s="550">
        <f t="shared" si="63"/>
        <v>0</v>
      </c>
      <c r="AJ346" s="550">
        <f t="shared" si="63"/>
        <v>0</v>
      </c>
      <c r="AK346" s="550">
        <f t="shared" si="63"/>
        <v>0</v>
      </c>
      <c r="AL346" s="550">
        <f t="shared" si="63"/>
        <v>0</v>
      </c>
      <c r="AM346" s="194"/>
    </row>
    <row r="347" spans="1:39">
      <c r="A347" s="146" t="s">
        <v>1082</v>
      </c>
    </row>
    <row r="348" spans="1:39" s="98" customFormat="1" ht="11.25" customHeight="1" outlineLevel="1">
      <c r="A348" s="159" t="str">
        <f ca="1">OFFSET(A348,-1,0)</f>
        <v>et_List09_org3</v>
      </c>
      <c r="J348" s="633" t="s">
        <v>170</v>
      </c>
      <c r="K348" s="147" t="s">
        <v>283</v>
      </c>
      <c r="L348" s="244" t="str">
        <f>J348</f>
        <v>3.1</v>
      </c>
      <c r="M348" s="357"/>
      <c r="N348" s="224" t="s">
        <v>370</v>
      </c>
      <c r="O348" s="223"/>
      <c r="P348" s="223"/>
      <c r="Q348" s="223"/>
      <c r="R348" s="223"/>
      <c r="S348" s="223"/>
      <c r="T348" s="223"/>
      <c r="U348" s="223"/>
      <c r="V348" s="223"/>
      <c r="W348" s="223"/>
      <c r="X348" s="223"/>
      <c r="Y348" s="223"/>
      <c r="Z348" s="223"/>
      <c r="AA348" s="223"/>
      <c r="AB348" s="223"/>
      <c r="AC348" s="223"/>
      <c r="AD348" s="223"/>
      <c r="AE348" s="223"/>
      <c r="AF348" s="223"/>
      <c r="AG348" s="223"/>
      <c r="AH348" s="223"/>
      <c r="AI348" s="223"/>
      <c r="AJ348" s="223"/>
      <c r="AK348" s="223"/>
      <c r="AL348" s="223"/>
      <c r="AM348" s="194"/>
    </row>
    <row r="349" spans="1:39" s="98" customFormat="1" ht="11.25" customHeight="1" outlineLevel="1">
      <c r="A349" s="551" t="str">
        <f ca="1">A348</f>
        <v>et_List09_org3</v>
      </c>
      <c r="J349" s="633"/>
      <c r="L349" s="245" t="str">
        <f>L348&amp;".1"</f>
        <v>3.1.1</v>
      </c>
      <c r="M349" s="246" t="s">
        <v>1178</v>
      </c>
      <c r="N349" s="219" t="s">
        <v>329</v>
      </c>
      <c r="O349" s="223"/>
      <c r="P349" s="223"/>
      <c r="Q349" s="223"/>
      <c r="R349" s="223"/>
      <c r="S349" s="223"/>
      <c r="T349" s="223"/>
      <c r="U349" s="223"/>
      <c r="V349" s="223"/>
      <c r="W349" s="223"/>
      <c r="X349" s="223"/>
      <c r="Y349" s="223"/>
      <c r="Z349" s="223"/>
      <c r="AA349" s="223"/>
      <c r="AB349" s="223"/>
      <c r="AC349" s="223"/>
      <c r="AD349" s="223"/>
      <c r="AE349" s="223"/>
      <c r="AF349" s="223"/>
      <c r="AG349" s="223"/>
      <c r="AH349" s="223"/>
      <c r="AI349" s="223"/>
      <c r="AJ349" s="223"/>
      <c r="AK349" s="223"/>
      <c r="AL349" s="223"/>
      <c r="AM349" s="194"/>
    </row>
    <row r="350" spans="1:39" s="98" customFormat="1" ht="11.25" customHeight="1" outlineLevel="1">
      <c r="A350" s="551" t="str">
        <f ca="1">A349</f>
        <v>et_List09_org3</v>
      </c>
      <c r="J350" s="633"/>
      <c r="L350" s="245" t="str">
        <f>L348&amp;".2"</f>
        <v>3.1.2</v>
      </c>
      <c r="M350" s="246" t="s">
        <v>423</v>
      </c>
      <c r="N350" s="219" t="s">
        <v>679</v>
      </c>
      <c r="O350" s="550">
        <f t="shared" ref="O350:AL350" si="64">IF(OR(AND(O348&lt;&gt;0,O349=0),AND(O348=0,O349&lt;&gt;0)),"Ошибка",IF(O349=0,0,O348/O349))</f>
        <v>0</v>
      </c>
      <c r="P350" s="550">
        <f t="shared" si="64"/>
        <v>0</v>
      </c>
      <c r="Q350" s="550">
        <f t="shared" si="64"/>
        <v>0</v>
      </c>
      <c r="R350" s="550">
        <f t="shared" si="64"/>
        <v>0</v>
      </c>
      <c r="S350" s="550">
        <f t="shared" si="64"/>
        <v>0</v>
      </c>
      <c r="T350" s="550">
        <f t="shared" si="64"/>
        <v>0</v>
      </c>
      <c r="U350" s="550">
        <f t="shared" si="64"/>
        <v>0</v>
      </c>
      <c r="V350" s="550">
        <f t="shared" si="64"/>
        <v>0</v>
      </c>
      <c r="W350" s="550">
        <f t="shared" si="64"/>
        <v>0</v>
      </c>
      <c r="X350" s="550">
        <f t="shared" si="64"/>
        <v>0</v>
      </c>
      <c r="Y350" s="550">
        <f t="shared" si="64"/>
        <v>0</v>
      </c>
      <c r="Z350" s="550">
        <f t="shared" si="64"/>
        <v>0</v>
      </c>
      <c r="AA350" s="550">
        <f t="shared" si="64"/>
        <v>0</v>
      </c>
      <c r="AB350" s="550">
        <f t="shared" si="64"/>
        <v>0</v>
      </c>
      <c r="AC350" s="550">
        <f t="shared" si="64"/>
        <v>0</v>
      </c>
      <c r="AD350" s="550">
        <f t="shared" si="64"/>
        <v>0</v>
      </c>
      <c r="AE350" s="550">
        <f t="shared" si="64"/>
        <v>0</v>
      </c>
      <c r="AF350" s="550">
        <f t="shared" si="64"/>
        <v>0</v>
      </c>
      <c r="AG350" s="550">
        <f t="shared" si="64"/>
        <v>0</v>
      </c>
      <c r="AH350" s="550">
        <f t="shared" si="64"/>
        <v>0</v>
      </c>
      <c r="AI350" s="550">
        <f t="shared" si="64"/>
        <v>0</v>
      </c>
      <c r="AJ350" s="550">
        <f t="shared" si="64"/>
        <v>0</v>
      </c>
      <c r="AK350" s="550">
        <f t="shared" si="64"/>
        <v>0</v>
      </c>
      <c r="AL350" s="550">
        <f t="shared" si="64"/>
        <v>0</v>
      </c>
      <c r="AM350" s="194"/>
    </row>
    <row r="351" spans="1:39">
      <c r="A351" s="146" t="s">
        <v>1083</v>
      </c>
    </row>
    <row r="352" spans="1:39" s="98" customFormat="1" ht="11.25" customHeight="1" outlineLevel="1">
      <c r="A352" s="159" t="str">
        <f ca="1">OFFSET(A352,-1,0)</f>
        <v>et_List09_org4</v>
      </c>
      <c r="J352" s="633" t="s">
        <v>148</v>
      </c>
      <c r="K352" s="147" t="s">
        <v>283</v>
      </c>
      <c r="L352" s="244" t="str">
        <f>J352</f>
        <v>4.1</v>
      </c>
      <c r="M352" s="357"/>
      <c r="N352" s="224" t="s">
        <v>370</v>
      </c>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194"/>
    </row>
    <row r="353" spans="1:39" s="98" customFormat="1" ht="11.25" customHeight="1" outlineLevel="1">
      <c r="A353" s="551" t="str">
        <f ca="1">A352</f>
        <v>et_List09_org4</v>
      </c>
      <c r="J353" s="633"/>
      <c r="L353" s="245" t="str">
        <f>L352&amp;".1"</f>
        <v>4.1.1</v>
      </c>
      <c r="M353" s="246" t="s">
        <v>1179</v>
      </c>
      <c r="N353" s="219" t="s">
        <v>329</v>
      </c>
      <c r="O353" s="223"/>
      <c r="P353" s="223"/>
      <c r="Q353" s="223"/>
      <c r="R353" s="223"/>
      <c r="S353" s="223"/>
      <c r="T353" s="223"/>
      <c r="U353" s="223"/>
      <c r="V353" s="223"/>
      <c r="W353" s="223"/>
      <c r="X353" s="223"/>
      <c r="Y353" s="223"/>
      <c r="Z353" s="223"/>
      <c r="AA353" s="223"/>
      <c r="AB353" s="223"/>
      <c r="AC353" s="223"/>
      <c r="AD353" s="223"/>
      <c r="AE353" s="223"/>
      <c r="AF353" s="223"/>
      <c r="AG353" s="223"/>
      <c r="AH353" s="223"/>
      <c r="AI353" s="223"/>
      <c r="AJ353" s="223"/>
      <c r="AK353" s="223"/>
      <c r="AL353" s="223"/>
      <c r="AM353" s="194"/>
    </row>
    <row r="354" spans="1:39" s="98" customFormat="1" ht="11.25" customHeight="1" outlineLevel="1">
      <c r="A354" s="551" t="str">
        <f ca="1">A353</f>
        <v>et_List09_org4</v>
      </c>
      <c r="J354" s="633"/>
      <c r="L354" s="245" t="str">
        <f>L352&amp;".2"</f>
        <v>4.1.2</v>
      </c>
      <c r="M354" s="246" t="s">
        <v>1125</v>
      </c>
      <c r="N354" s="219" t="s">
        <v>679</v>
      </c>
      <c r="O354" s="550">
        <f t="shared" ref="O354:AL354" si="65">IF(OR(AND(O352&lt;&gt;0,O353=0),AND(O352=0,O353&lt;&gt;0)),"Ошибка",IF(O353=0,0,O352/O353))</f>
        <v>0</v>
      </c>
      <c r="P354" s="550">
        <f t="shared" si="65"/>
        <v>0</v>
      </c>
      <c r="Q354" s="550">
        <f t="shared" si="65"/>
        <v>0</v>
      </c>
      <c r="R354" s="550">
        <f t="shared" si="65"/>
        <v>0</v>
      </c>
      <c r="S354" s="550">
        <f t="shared" si="65"/>
        <v>0</v>
      </c>
      <c r="T354" s="550">
        <f t="shared" si="65"/>
        <v>0</v>
      </c>
      <c r="U354" s="550">
        <f t="shared" si="65"/>
        <v>0</v>
      </c>
      <c r="V354" s="550">
        <f t="shared" si="65"/>
        <v>0</v>
      </c>
      <c r="W354" s="550">
        <f t="shared" si="65"/>
        <v>0</v>
      </c>
      <c r="X354" s="550">
        <f t="shared" si="65"/>
        <v>0</v>
      </c>
      <c r="Y354" s="550">
        <f t="shared" si="65"/>
        <v>0</v>
      </c>
      <c r="Z354" s="550">
        <f t="shared" si="65"/>
        <v>0</v>
      </c>
      <c r="AA354" s="550">
        <f t="shared" si="65"/>
        <v>0</v>
      </c>
      <c r="AB354" s="550">
        <f t="shared" si="65"/>
        <v>0</v>
      </c>
      <c r="AC354" s="550">
        <f t="shared" si="65"/>
        <v>0</v>
      </c>
      <c r="AD354" s="550">
        <f t="shared" si="65"/>
        <v>0</v>
      </c>
      <c r="AE354" s="550">
        <f t="shared" si="65"/>
        <v>0</v>
      </c>
      <c r="AF354" s="550">
        <f t="shared" si="65"/>
        <v>0</v>
      </c>
      <c r="AG354" s="550">
        <f t="shared" si="65"/>
        <v>0</v>
      </c>
      <c r="AH354" s="550">
        <f t="shared" si="65"/>
        <v>0</v>
      </c>
      <c r="AI354" s="550">
        <f t="shared" si="65"/>
        <v>0</v>
      </c>
      <c r="AJ354" s="550">
        <f t="shared" si="65"/>
        <v>0</v>
      </c>
      <c r="AK354" s="550">
        <f t="shared" si="65"/>
        <v>0</v>
      </c>
      <c r="AL354" s="550">
        <f t="shared" si="65"/>
        <v>0</v>
      </c>
      <c r="AM354" s="194"/>
    </row>
    <row r="355" spans="1:39">
      <c r="A355" s="146" t="s">
        <v>1348</v>
      </c>
    </row>
    <row r="356" spans="1:39" s="98" customFormat="1" ht="11.25" customHeight="1" outlineLevel="1">
      <c r="A356" s="159" t="str">
        <f ca="1">OFFSET(A356,-1,0)</f>
        <v>et_List09_org5</v>
      </c>
      <c r="J356" s="633" t="s">
        <v>122</v>
      </c>
      <c r="K356" s="147" t="s">
        <v>283</v>
      </c>
      <c r="L356" s="244" t="str">
        <f>J356</f>
        <v>5.1</v>
      </c>
      <c r="M356" s="357"/>
      <c r="N356" s="224" t="s">
        <v>370</v>
      </c>
      <c r="O356" s="223"/>
      <c r="P356" s="223"/>
      <c r="Q356" s="223"/>
      <c r="R356" s="223"/>
      <c r="S356" s="223"/>
      <c r="T356" s="223"/>
      <c r="U356" s="223"/>
      <c r="V356" s="223"/>
      <c r="W356" s="223"/>
      <c r="X356" s="223"/>
      <c r="Y356" s="223"/>
      <c r="Z356" s="223"/>
      <c r="AA356" s="223"/>
      <c r="AB356" s="223"/>
      <c r="AC356" s="223"/>
      <c r="AD356" s="223"/>
      <c r="AE356" s="223"/>
      <c r="AF356" s="223"/>
      <c r="AG356" s="223"/>
      <c r="AH356" s="223"/>
      <c r="AI356" s="223"/>
      <c r="AJ356" s="223"/>
      <c r="AK356" s="223"/>
      <c r="AL356" s="223"/>
      <c r="AM356" s="194"/>
    </row>
    <row r="357" spans="1:39" s="98" customFormat="1" ht="11.25" customHeight="1" outlineLevel="1">
      <c r="A357" s="551" t="str">
        <f ca="1">A356</f>
        <v>et_List09_org5</v>
      </c>
      <c r="J357" s="633"/>
      <c r="L357" s="245" t="str">
        <f>L356&amp;".1"</f>
        <v>5.1.1</v>
      </c>
      <c r="M357" s="246" t="s">
        <v>1350</v>
      </c>
      <c r="N357" s="219" t="s">
        <v>329</v>
      </c>
      <c r="O357" s="223"/>
      <c r="P357" s="223"/>
      <c r="Q357" s="223"/>
      <c r="R357" s="223"/>
      <c r="S357" s="223"/>
      <c r="T357" s="223"/>
      <c r="U357" s="223"/>
      <c r="V357" s="223"/>
      <c r="W357" s="223"/>
      <c r="X357" s="223"/>
      <c r="Y357" s="223"/>
      <c r="Z357" s="223"/>
      <c r="AA357" s="223"/>
      <c r="AB357" s="223"/>
      <c r="AC357" s="223"/>
      <c r="AD357" s="223"/>
      <c r="AE357" s="223"/>
      <c r="AF357" s="223"/>
      <c r="AG357" s="223"/>
      <c r="AH357" s="223"/>
      <c r="AI357" s="223"/>
      <c r="AJ357" s="223"/>
      <c r="AK357" s="223"/>
      <c r="AL357" s="223"/>
      <c r="AM357" s="194"/>
    </row>
    <row r="358" spans="1:39" s="98" customFormat="1" ht="11.25" customHeight="1" outlineLevel="1">
      <c r="A358" s="551" t="str">
        <f ca="1">A357</f>
        <v>et_List09_org5</v>
      </c>
      <c r="J358" s="633"/>
      <c r="L358" s="245" t="str">
        <f>L356&amp;".2"</f>
        <v>5.1.2</v>
      </c>
      <c r="M358" s="246" t="s">
        <v>1351</v>
      </c>
      <c r="N358" s="219" t="s">
        <v>679</v>
      </c>
      <c r="O358" s="550">
        <f t="shared" ref="O358:AL358" si="66">IF(OR(AND(O356&lt;&gt;0,O357=0),AND(O356=0,O357&lt;&gt;0)),"Ошибка",IF(O357=0,0,O356/O357))</f>
        <v>0</v>
      </c>
      <c r="P358" s="550">
        <f t="shared" si="66"/>
        <v>0</v>
      </c>
      <c r="Q358" s="550">
        <f t="shared" si="66"/>
        <v>0</v>
      </c>
      <c r="R358" s="550">
        <f t="shared" si="66"/>
        <v>0</v>
      </c>
      <c r="S358" s="550">
        <f t="shared" si="66"/>
        <v>0</v>
      </c>
      <c r="T358" s="550">
        <f t="shared" si="66"/>
        <v>0</v>
      </c>
      <c r="U358" s="550">
        <f t="shared" si="66"/>
        <v>0</v>
      </c>
      <c r="V358" s="550">
        <f t="shared" si="66"/>
        <v>0</v>
      </c>
      <c r="W358" s="550">
        <f t="shared" si="66"/>
        <v>0</v>
      </c>
      <c r="X358" s="550">
        <f t="shared" si="66"/>
        <v>0</v>
      </c>
      <c r="Y358" s="550">
        <f t="shared" si="66"/>
        <v>0</v>
      </c>
      <c r="Z358" s="550">
        <f t="shared" si="66"/>
        <v>0</v>
      </c>
      <c r="AA358" s="550">
        <f t="shared" si="66"/>
        <v>0</v>
      </c>
      <c r="AB358" s="550">
        <f t="shared" si="66"/>
        <v>0</v>
      </c>
      <c r="AC358" s="550">
        <f t="shared" si="66"/>
        <v>0</v>
      </c>
      <c r="AD358" s="550">
        <f t="shared" si="66"/>
        <v>0</v>
      </c>
      <c r="AE358" s="550">
        <f t="shared" si="66"/>
        <v>0</v>
      </c>
      <c r="AF358" s="550">
        <f t="shared" si="66"/>
        <v>0</v>
      </c>
      <c r="AG358" s="550">
        <f t="shared" si="66"/>
        <v>0</v>
      </c>
      <c r="AH358" s="550">
        <f t="shared" si="66"/>
        <v>0</v>
      </c>
      <c r="AI358" s="550">
        <f t="shared" si="66"/>
        <v>0</v>
      </c>
      <c r="AJ358" s="550">
        <f t="shared" si="66"/>
        <v>0</v>
      </c>
      <c r="AK358" s="550">
        <f t="shared" si="66"/>
        <v>0</v>
      </c>
      <c r="AL358" s="550">
        <f t="shared" si="66"/>
        <v>0</v>
      </c>
      <c r="AM358" s="194"/>
    </row>
    <row r="360" spans="1:39" s="143" customFormat="1" ht="30" customHeight="1">
      <c r="A360" s="142" t="s">
        <v>1086</v>
      </c>
      <c r="M360" s="144"/>
      <c r="N360" s="144"/>
      <c r="O360" s="144"/>
      <c r="P360" s="144"/>
      <c r="AA360" s="145"/>
    </row>
    <row r="361" spans="1:39">
      <c r="A361" s="146" t="s">
        <v>1084</v>
      </c>
    </row>
    <row r="362" spans="1:39" s="82" customFormat="1" ht="15" customHeight="1">
      <c r="A362" s="183" t="s">
        <v>18</v>
      </c>
      <c r="L362" s="237" t="str">
        <f>INDEX('Общие сведения'!$J$113:$J$146,MATCH($A362,'Общие сведения'!$D$113:$D$146,0))</f>
        <v>Тариф 1 (Водоснабжение) - тариф на техническую воду (нет)</v>
      </c>
      <c r="M362" s="158"/>
      <c r="N362" s="158"/>
      <c r="O362" s="158"/>
      <c r="P362" s="158"/>
      <c r="Q362" s="158"/>
      <c r="R362" s="158"/>
      <c r="S362" s="158"/>
      <c r="T362" s="158"/>
      <c r="U362" s="158"/>
      <c r="V362" s="158"/>
      <c r="W362" s="158"/>
      <c r="X362" s="158"/>
      <c r="Y362" s="158"/>
      <c r="Z362" s="158"/>
      <c r="AA362" s="158"/>
      <c r="AB362" s="158"/>
      <c r="AC362" s="158"/>
      <c r="AD362" s="158"/>
      <c r="AE362" s="158"/>
      <c r="AF362" s="158"/>
      <c r="AG362" s="158"/>
      <c r="AH362" s="158"/>
      <c r="AI362" s="158"/>
      <c r="AJ362" s="158"/>
      <c r="AK362" s="158"/>
      <c r="AL362" s="158"/>
      <c r="AM362" s="158"/>
    </row>
    <row r="363" spans="1:39" s="82" customFormat="1" ht="22.5" outlineLevel="1">
      <c r="A363" s="551" t="str">
        <f t="shared" ref="A363:A374" si="67">A362</f>
        <v>1</v>
      </c>
      <c r="L363" s="260">
        <v>0</v>
      </c>
      <c r="M363" s="562" t="s">
        <v>429</v>
      </c>
      <c r="N363" s="229" t="s">
        <v>370</v>
      </c>
      <c r="O363" s="253">
        <f>SUM(O364:O372)</f>
        <v>0</v>
      </c>
      <c r="P363" s="253">
        <f t="shared" ref="P363:AL363" si="68">SUM(P364:P372)</f>
        <v>0</v>
      </c>
      <c r="Q363" s="253">
        <f t="shared" si="68"/>
        <v>0</v>
      </c>
      <c r="R363" s="253">
        <f t="shared" si="68"/>
        <v>0</v>
      </c>
      <c r="S363" s="253">
        <f t="shared" si="68"/>
        <v>0</v>
      </c>
      <c r="T363" s="253">
        <f t="shared" si="68"/>
        <v>0</v>
      </c>
      <c r="U363" s="253">
        <f t="shared" si="68"/>
        <v>0</v>
      </c>
      <c r="V363" s="253">
        <f t="shared" si="68"/>
        <v>0</v>
      </c>
      <c r="W363" s="253">
        <f t="shared" si="68"/>
        <v>0</v>
      </c>
      <c r="X363" s="253">
        <f t="shared" si="68"/>
        <v>0</v>
      </c>
      <c r="Y363" s="253">
        <f t="shared" si="68"/>
        <v>0</v>
      </c>
      <c r="Z363" s="253">
        <f t="shared" si="68"/>
        <v>0</v>
      </c>
      <c r="AA363" s="253">
        <f t="shared" si="68"/>
        <v>0</v>
      </c>
      <c r="AB363" s="253">
        <f t="shared" si="68"/>
        <v>0</v>
      </c>
      <c r="AC363" s="253">
        <f t="shared" si="68"/>
        <v>0</v>
      </c>
      <c r="AD363" s="253">
        <f t="shared" si="68"/>
        <v>0</v>
      </c>
      <c r="AE363" s="253">
        <f t="shared" si="68"/>
        <v>0</v>
      </c>
      <c r="AF363" s="253">
        <f t="shared" si="68"/>
        <v>0</v>
      </c>
      <c r="AG363" s="253">
        <f t="shared" si="68"/>
        <v>0</v>
      </c>
      <c r="AH363" s="253">
        <f t="shared" si="68"/>
        <v>0</v>
      </c>
      <c r="AI363" s="253">
        <f t="shared" si="68"/>
        <v>0</v>
      </c>
      <c r="AJ363" s="253">
        <f t="shared" si="68"/>
        <v>0</v>
      </c>
      <c r="AK363" s="253">
        <f t="shared" si="68"/>
        <v>0</v>
      </c>
      <c r="AL363" s="253">
        <f t="shared" si="68"/>
        <v>0</v>
      </c>
      <c r="AM363" s="194"/>
    </row>
    <row r="364" spans="1:39" s="82" customFormat="1" outlineLevel="1">
      <c r="A364" s="551" t="str">
        <f t="shared" si="67"/>
        <v>1</v>
      </c>
      <c r="L364" s="230" t="s">
        <v>18</v>
      </c>
      <c r="M364" s="540" t="s">
        <v>430</v>
      </c>
      <c r="N364" s="232" t="s">
        <v>370</v>
      </c>
      <c r="O364" s="254"/>
      <c r="P364" s="255"/>
      <c r="Q364" s="255"/>
      <c r="R364" s="255"/>
      <c r="S364" s="255"/>
      <c r="T364" s="255"/>
      <c r="U364" s="255"/>
      <c r="V364" s="255"/>
      <c r="W364" s="255"/>
      <c r="X364" s="255"/>
      <c r="Y364" s="255"/>
      <c r="Z364" s="255"/>
      <c r="AA364" s="255"/>
      <c r="AB364" s="255"/>
      <c r="AC364" s="255"/>
      <c r="AD364" s="255"/>
      <c r="AE364" s="255"/>
      <c r="AF364" s="255"/>
      <c r="AG364" s="255"/>
      <c r="AH364" s="255"/>
      <c r="AI364" s="255"/>
      <c r="AJ364" s="255"/>
      <c r="AK364" s="255"/>
      <c r="AL364" s="255"/>
      <c r="AM364" s="194"/>
    </row>
    <row r="365" spans="1:39" s="82" customFormat="1" outlineLevel="1">
      <c r="A365" s="551" t="str">
        <f t="shared" si="67"/>
        <v>1</v>
      </c>
      <c r="L365" s="230" t="s">
        <v>102</v>
      </c>
      <c r="M365" s="540" t="s">
        <v>431</v>
      </c>
      <c r="N365" s="232" t="s">
        <v>370</v>
      </c>
      <c r="O365" s="254"/>
      <c r="P365" s="255"/>
      <c r="Q365" s="255"/>
      <c r="R365" s="255"/>
      <c r="S365" s="255"/>
      <c r="T365" s="255"/>
      <c r="U365" s="255"/>
      <c r="V365" s="255"/>
      <c r="W365" s="255"/>
      <c r="X365" s="255"/>
      <c r="Y365" s="255"/>
      <c r="Z365" s="255"/>
      <c r="AA365" s="255"/>
      <c r="AB365" s="255"/>
      <c r="AC365" s="255"/>
      <c r="AD365" s="255"/>
      <c r="AE365" s="255"/>
      <c r="AF365" s="255"/>
      <c r="AG365" s="255"/>
      <c r="AH365" s="255"/>
      <c r="AI365" s="255"/>
      <c r="AJ365" s="255"/>
      <c r="AK365" s="255"/>
      <c r="AL365" s="255"/>
      <c r="AM365" s="194"/>
    </row>
    <row r="366" spans="1:39" s="82" customFormat="1" outlineLevel="1">
      <c r="A366" s="551" t="str">
        <f t="shared" si="67"/>
        <v>1</v>
      </c>
      <c r="L366" s="230" t="s">
        <v>103</v>
      </c>
      <c r="M366" s="540" t="s">
        <v>1372</v>
      </c>
      <c r="N366" s="232" t="s">
        <v>370</v>
      </c>
      <c r="O366" s="254"/>
      <c r="P366" s="255"/>
      <c r="Q366" s="255"/>
      <c r="R366" s="255"/>
      <c r="S366" s="255"/>
      <c r="T366" s="255"/>
      <c r="U366" s="255"/>
      <c r="V366" s="255"/>
      <c r="W366" s="255"/>
      <c r="X366" s="255"/>
      <c r="Y366" s="255"/>
      <c r="Z366" s="255"/>
      <c r="AA366" s="255"/>
      <c r="AB366" s="255"/>
      <c r="AC366" s="255"/>
      <c r="AD366" s="255"/>
      <c r="AE366" s="255"/>
      <c r="AF366" s="255"/>
      <c r="AG366" s="255"/>
      <c r="AH366" s="255"/>
      <c r="AI366" s="255"/>
      <c r="AJ366" s="255"/>
      <c r="AK366" s="255"/>
      <c r="AL366" s="255"/>
      <c r="AM366" s="194"/>
    </row>
    <row r="367" spans="1:39" s="96" customFormat="1" outlineLevel="1">
      <c r="A367" s="551" t="str">
        <f t="shared" si="67"/>
        <v>1</v>
      </c>
      <c r="L367" s="250">
        <v>4</v>
      </c>
      <c r="M367" s="540" t="s">
        <v>432</v>
      </c>
      <c r="N367" s="232" t="s">
        <v>370</v>
      </c>
      <c r="O367" s="256"/>
      <c r="P367" s="256"/>
      <c r="Q367" s="256"/>
      <c r="R367" s="256"/>
      <c r="S367" s="256"/>
      <c r="T367" s="256"/>
      <c r="U367" s="256"/>
      <c r="V367" s="256"/>
      <c r="W367" s="256"/>
      <c r="X367" s="256"/>
      <c r="Y367" s="256"/>
      <c r="Z367" s="256"/>
      <c r="AA367" s="256"/>
      <c r="AB367" s="256"/>
      <c r="AC367" s="256"/>
      <c r="AD367" s="256"/>
      <c r="AE367" s="256"/>
      <c r="AF367" s="256"/>
      <c r="AG367" s="256"/>
      <c r="AH367" s="256"/>
      <c r="AI367" s="256"/>
      <c r="AJ367" s="256"/>
      <c r="AK367" s="256"/>
      <c r="AL367" s="256"/>
      <c r="AM367" s="194"/>
    </row>
    <row r="368" spans="1:39" s="82" customFormat="1" outlineLevel="1">
      <c r="A368" s="551" t="str">
        <f t="shared" si="67"/>
        <v>1</v>
      </c>
      <c r="L368" s="230" t="s">
        <v>120</v>
      </c>
      <c r="M368" s="540" t="s">
        <v>433</v>
      </c>
      <c r="N368" s="232" t="s">
        <v>370</v>
      </c>
      <c r="O368" s="254"/>
      <c r="P368" s="254"/>
      <c r="Q368" s="254"/>
      <c r="R368" s="254"/>
      <c r="S368" s="254"/>
      <c r="T368" s="254"/>
      <c r="U368" s="254"/>
      <c r="V368" s="254"/>
      <c r="W368" s="254"/>
      <c r="X368" s="254"/>
      <c r="Y368" s="254"/>
      <c r="Z368" s="254"/>
      <c r="AA368" s="254"/>
      <c r="AB368" s="254"/>
      <c r="AC368" s="254"/>
      <c r="AD368" s="254"/>
      <c r="AE368" s="254"/>
      <c r="AF368" s="254"/>
      <c r="AG368" s="254"/>
      <c r="AH368" s="254"/>
      <c r="AI368" s="254"/>
      <c r="AJ368" s="254"/>
      <c r="AK368" s="254"/>
      <c r="AL368" s="254"/>
      <c r="AM368" s="194"/>
    </row>
    <row r="369" spans="1:41" s="82" customFormat="1" outlineLevel="1">
      <c r="A369" s="551" t="str">
        <f t="shared" si="67"/>
        <v>1</v>
      </c>
      <c r="L369" s="230" t="s">
        <v>124</v>
      </c>
      <c r="M369" s="540" t="s">
        <v>137</v>
      </c>
      <c r="N369" s="232" t="s">
        <v>370</v>
      </c>
      <c r="O369" s="254"/>
      <c r="P369" s="254"/>
      <c r="Q369" s="254"/>
      <c r="R369" s="254"/>
      <c r="S369" s="254"/>
      <c r="T369" s="254"/>
      <c r="U369" s="254"/>
      <c r="V369" s="254"/>
      <c r="W369" s="254"/>
      <c r="X369" s="254"/>
      <c r="Y369" s="254"/>
      <c r="Z369" s="254"/>
      <c r="AA369" s="254"/>
      <c r="AB369" s="254"/>
      <c r="AC369" s="254"/>
      <c r="AD369" s="254"/>
      <c r="AE369" s="254"/>
      <c r="AF369" s="254"/>
      <c r="AG369" s="254"/>
      <c r="AH369" s="254"/>
      <c r="AI369" s="254"/>
      <c r="AJ369" s="254"/>
      <c r="AK369" s="254"/>
      <c r="AL369" s="254"/>
      <c r="AM369" s="194"/>
    </row>
    <row r="370" spans="1:41" s="82" customFormat="1" outlineLevel="1">
      <c r="A370" s="551" t="str">
        <f t="shared" si="67"/>
        <v>1</v>
      </c>
      <c r="L370" s="230" t="s">
        <v>125</v>
      </c>
      <c r="M370" s="540" t="s">
        <v>136</v>
      </c>
      <c r="N370" s="232" t="s">
        <v>370</v>
      </c>
      <c r="O370" s="254"/>
      <c r="P370" s="254"/>
      <c r="Q370" s="254"/>
      <c r="R370" s="254"/>
      <c r="S370" s="254"/>
      <c r="T370" s="254"/>
      <c r="U370" s="254"/>
      <c r="V370" s="254"/>
      <c r="W370" s="254"/>
      <c r="X370" s="254"/>
      <c r="Y370" s="254"/>
      <c r="Z370" s="254"/>
      <c r="AA370" s="254"/>
      <c r="AB370" s="254"/>
      <c r="AC370" s="254"/>
      <c r="AD370" s="254"/>
      <c r="AE370" s="254"/>
      <c r="AF370" s="254"/>
      <c r="AG370" s="254"/>
      <c r="AH370" s="254"/>
      <c r="AI370" s="254"/>
      <c r="AJ370" s="254"/>
      <c r="AK370" s="254"/>
      <c r="AL370" s="254"/>
      <c r="AM370" s="194"/>
    </row>
    <row r="371" spans="1:41" s="82" customFormat="1" outlineLevel="1">
      <c r="A371" s="551" t="str">
        <f t="shared" si="67"/>
        <v>1</v>
      </c>
      <c r="L371" s="230" t="s">
        <v>126</v>
      </c>
      <c r="M371" s="540" t="s">
        <v>1373</v>
      </c>
      <c r="N371" s="232" t="s">
        <v>370</v>
      </c>
      <c r="O371" s="254"/>
      <c r="P371" s="254"/>
      <c r="Q371" s="254"/>
      <c r="R371" s="254"/>
      <c r="S371" s="254"/>
      <c r="T371" s="254"/>
      <c r="U371" s="254"/>
      <c r="V371" s="254"/>
      <c r="W371" s="254"/>
      <c r="X371" s="254"/>
      <c r="Y371" s="254"/>
      <c r="Z371" s="254"/>
      <c r="AA371" s="254"/>
      <c r="AB371" s="254"/>
      <c r="AC371" s="254"/>
      <c r="AD371" s="254"/>
      <c r="AE371" s="254"/>
      <c r="AF371" s="254"/>
      <c r="AG371" s="254"/>
      <c r="AH371" s="254"/>
      <c r="AI371" s="254"/>
      <c r="AJ371" s="254"/>
      <c r="AK371" s="254"/>
      <c r="AL371" s="254"/>
      <c r="AM371" s="194"/>
    </row>
    <row r="372" spans="1:41" s="96" customFormat="1" outlineLevel="1">
      <c r="A372" s="551" t="str">
        <f>A370</f>
        <v>1</v>
      </c>
      <c r="L372" s="250">
        <v>9</v>
      </c>
      <c r="M372" s="540" t="s">
        <v>434</v>
      </c>
      <c r="N372" s="232" t="s">
        <v>370</v>
      </c>
      <c r="O372" s="261">
        <f>SUM(O373:O374)</f>
        <v>0</v>
      </c>
      <c r="P372" s="261">
        <f t="shared" ref="P372:AL372" si="69">SUM(P373:P374)</f>
        <v>0</v>
      </c>
      <c r="Q372" s="261">
        <f t="shared" si="69"/>
        <v>0</v>
      </c>
      <c r="R372" s="261">
        <f t="shared" si="69"/>
        <v>0</v>
      </c>
      <c r="S372" s="261">
        <f t="shared" si="69"/>
        <v>0</v>
      </c>
      <c r="T372" s="261">
        <f t="shared" si="69"/>
        <v>0</v>
      </c>
      <c r="U372" s="261">
        <f t="shared" si="69"/>
        <v>0</v>
      </c>
      <c r="V372" s="261">
        <f t="shared" si="69"/>
        <v>0</v>
      </c>
      <c r="W372" s="261">
        <f t="shared" si="69"/>
        <v>0</v>
      </c>
      <c r="X372" s="261">
        <f t="shared" si="69"/>
        <v>0</v>
      </c>
      <c r="Y372" s="261">
        <f t="shared" si="69"/>
        <v>0</v>
      </c>
      <c r="Z372" s="261">
        <f t="shared" si="69"/>
        <v>0</v>
      </c>
      <c r="AA372" s="261">
        <f t="shared" si="69"/>
        <v>0</v>
      </c>
      <c r="AB372" s="261">
        <f t="shared" si="69"/>
        <v>0</v>
      </c>
      <c r="AC372" s="261">
        <f t="shared" si="69"/>
        <v>0</v>
      </c>
      <c r="AD372" s="261">
        <f t="shared" si="69"/>
        <v>0</v>
      </c>
      <c r="AE372" s="261">
        <f t="shared" si="69"/>
        <v>0</v>
      </c>
      <c r="AF372" s="261">
        <f t="shared" si="69"/>
        <v>0</v>
      </c>
      <c r="AG372" s="261">
        <f t="shared" si="69"/>
        <v>0</v>
      </c>
      <c r="AH372" s="261">
        <f t="shared" si="69"/>
        <v>0</v>
      </c>
      <c r="AI372" s="261">
        <f t="shared" si="69"/>
        <v>0</v>
      </c>
      <c r="AJ372" s="261">
        <f t="shared" si="69"/>
        <v>0</v>
      </c>
      <c r="AK372" s="261">
        <f t="shared" si="69"/>
        <v>0</v>
      </c>
      <c r="AL372" s="261">
        <f t="shared" si="69"/>
        <v>0</v>
      </c>
      <c r="AM372" s="194"/>
    </row>
    <row r="373" spans="1:41" s="96" customFormat="1" ht="0.2" customHeight="1" outlineLevel="1">
      <c r="A373" s="551" t="str">
        <f t="shared" si="67"/>
        <v>1</v>
      </c>
      <c r="L373" s="250" t="s">
        <v>1347</v>
      </c>
      <c r="M373" s="231"/>
      <c r="N373" s="232"/>
      <c r="O373" s="251"/>
      <c r="P373" s="251"/>
      <c r="Q373" s="251"/>
      <c r="R373" s="251"/>
      <c r="S373" s="251"/>
      <c r="T373" s="251"/>
      <c r="U373" s="251"/>
      <c r="V373" s="251"/>
      <c r="W373" s="251"/>
      <c r="X373" s="251"/>
      <c r="Y373" s="251"/>
      <c r="Z373" s="251"/>
      <c r="AA373" s="251"/>
      <c r="AB373" s="251"/>
      <c r="AC373" s="251"/>
      <c r="AD373" s="251"/>
      <c r="AE373" s="251"/>
      <c r="AF373" s="251"/>
      <c r="AG373" s="251"/>
      <c r="AH373" s="251"/>
      <c r="AI373" s="251"/>
      <c r="AJ373" s="251"/>
      <c r="AK373" s="251"/>
      <c r="AL373" s="251"/>
      <c r="AM373" s="252"/>
    </row>
    <row r="374" spans="1:41" s="82" customFormat="1" outlineLevel="1">
      <c r="A374" s="551" t="str">
        <f t="shared" si="67"/>
        <v>1</v>
      </c>
      <c r="L374" s="257"/>
      <c r="M374" s="258" t="s">
        <v>371</v>
      </c>
      <c r="N374" s="258"/>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9"/>
    </row>
    <row r="375" spans="1:41">
      <c r="A375" s="146" t="s">
        <v>1085</v>
      </c>
    </row>
    <row r="376" spans="1:41" s="82" customFormat="1" ht="14.25" outlineLevel="1">
      <c r="A376" s="263" t="str">
        <f>A375</f>
        <v>et_List10_nalog</v>
      </c>
      <c r="K376" s="147" t="s">
        <v>283</v>
      </c>
      <c r="L376" s="230" t="s">
        <v>18</v>
      </c>
      <c r="M376" s="262"/>
      <c r="N376" s="232" t="s">
        <v>370</v>
      </c>
      <c r="O376" s="254"/>
      <c r="P376" s="255"/>
      <c r="Q376" s="255"/>
      <c r="R376" s="255"/>
      <c r="S376" s="255"/>
      <c r="T376" s="255"/>
      <c r="U376" s="255"/>
      <c r="V376" s="255"/>
      <c r="W376" s="255"/>
      <c r="X376" s="255"/>
      <c r="Y376" s="255"/>
      <c r="Z376" s="255"/>
      <c r="AA376" s="255"/>
      <c r="AB376" s="255"/>
      <c r="AC376" s="255"/>
      <c r="AD376" s="255"/>
      <c r="AE376" s="255"/>
      <c r="AF376" s="255"/>
      <c r="AG376" s="255"/>
      <c r="AH376" s="255"/>
      <c r="AI376" s="255"/>
      <c r="AJ376" s="255"/>
      <c r="AK376" s="255"/>
      <c r="AL376" s="255"/>
      <c r="AM376" s="194"/>
    </row>
    <row r="378" spans="1:41" s="143" customFormat="1" ht="30" customHeight="1">
      <c r="A378" s="142" t="s">
        <v>1089</v>
      </c>
      <c r="M378" s="144"/>
      <c r="N378" s="144"/>
      <c r="O378" s="144"/>
      <c r="P378" s="144"/>
      <c r="AA378" s="145"/>
    </row>
    <row r="379" spans="1:41">
      <c r="A379" s="146" t="s">
        <v>1090</v>
      </c>
    </row>
    <row r="380" spans="1:41" s="82" customFormat="1" ht="15" customHeight="1">
      <c r="A380" s="183" t="s">
        <v>18</v>
      </c>
      <c r="B380" s="102" t="b">
        <f>'ИП + источники'!$N$14&lt;&gt;"да"</f>
        <v>1</v>
      </c>
      <c r="L380" s="279" t="str">
        <f>INDEX('Общие сведения'!$J$113:$J$146,MATCH($A380,'Общие сведения'!$D$113:$D$146,0))</f>
        <v>Тариф 1 (Водоснабжение) - тариф на техническую воду (нет)</v>
      </c>
      <c r="M380" s="280"/>
      <c r="N380" s="280"/>
      <c r="O380" s="280"/>
      <c r="P380" s="280"/>
      <c r="Q380" s="280"/>
      <c r="R380" s="280"/>
      <c r="S380" s="280"/>
      <c r="T380" s="280"/>
      <c r="U380" s="280"/>
      <c r="V380" s="280"/>
      <c r="W380" s="280"/>
      <c r="X380" s="280"/>
      <c r="Y380" s="280"/>
      <c r="Z380" s="280"/>
      <c r="AA380" s="280"/>
      <c r="AB380" s="280"/>
      <c r="AC380" s="280"/>
      <c r="AD380" s="280"/>
      <c r="AE380" s="280"/>
      <c r="AF380" s="280"/>
      <c r="AG380" s="280"/>
      <c r="AH380" s="280"/>
      <c r="AI380" s="280"/>
      <c r="AJ380" s="280"/>
      <c r="AK380" s="280"/>
      <c r="AL380" s="280"/>
      <c r="AM380" s="280"/>
      <c r="AN380" s="280"/>
      <c r="AO380" s="280"/>
    </row>
    <row r="381" spans="1:41" s="278" customFormat="1" ht="22.5" outlineLevel="1">
      <c r="A381" s="551" t="str">
        <f t="shared" ref="A381:A403" si="70">A380</f>
        <v>1</v>
      </c>
      <c r="B381" s="102" t="b">
        <f>'ИП + источники'!$N$14&lt;&gt;"да"</f>
        <v>1</v>
      </c>
      <c r="L381" s="276">
        <v>1</v>
      </c>
      <c r="M381" s="271" t="s">
        <v>438</v>
      </c>
      <c r="N381" s="277" t="s">
        <v>370</v>
      </c>
      <c r="O381" s="267">
        <f>O382+O387+O391+O395</f>
        <v>0</v>
      </c>
      <c r="P381" s="267">
        <f t="shared" ref="P381:AN381" si="71">P382+P387+P391+P395</f>
        <v>0</v>
      </c>
      <c r="Q381" s="267">
        <f t="shared" si="71"/>
        <v>0</v>
      </c>
      <c r="R381" s="267">
        <f t="shared" si="71"/>
        <v>0</v>
      </c>
      <c r="S381" s="267">
        <f t="shared" si="71"/>
        <v>0</v>
      </c>
      <c r="T381" s="267">
        <f t="shared" si="71"/>
        <v>0</v>
      </c>
      <c r="U381" s="267">
        <f t="shared" si="71"/>
        <v>0</v>
      </c>
      <c r="V381" s="267">
        <f t="shared" si="71"/>
        <v>0</v>
      </c>
      <c r="W381" s="267">
        <f t="shared" si="71"/>
        <v>0</v>
      </c>
      <c r="X381" s="267">
        <f t="shared" si="71"/>
        <v>0</v>
      </c>
      <c r="Y381" s="267">
        <f t="shared" si="71"/>
        <v>0</v>
      </c>
      <c r="Z381" s="267">
        <f t="shared" si="71"/>
        <v>0</v>
      </c>
      <c r="AA381" s="267">
        <f t="shared" si="71"/>
        <v>0</v>
      </c>
      <c r="AB381" s="267">
        <f t="shared" si="71"/>
        <v>0</v>
      </c>
      <c r="AC381" s="267">
        <f t="shared" si="71"/>
        <v>0</v>
      </c>
      <c r="AD381" s="267">
        <f t="shared" si="71"/>
        <v>0</v>
      </c>
      <c r="AE381" s="267">
        <f t="shared" si="71"/>
        <v>0</v>
      </c>
      <c r="AF381" s="267">
        <f t="shared" si="71"/>
        <v>0</v>
      </c>
      <c r="AG381" s="267">
        <f t="shared" si="71"/>
        <v>0</v>
      </c>
      <c r="AH381" s="267">
        <f t="shared" si="71"/>
        <v>0</v>
      </c>
      <c r="AI381" s="267">
        <f t="shared" si="71"/>
        <v>0</v>
      </c>
      <c r="AJ381" s="267">
        <f t="shared" si="71"/>
        <v>0</v>
      </c>
      <c r="AK381" s="267">
        <f t="shared" si="71"/>
        <v>0</v>
      </c>
      <c r="AL381" s="267">
        <f t="shared" si="71"/>
        <v>0</v>
      </c>
      <c r="AM381" s="267">
        <f t="shared" si="71"/>
        <v>0</v>
      </c>
      <c r="AN381" s="267">
        <f t="shared" si="71"/>
        <v>0</v>
      </c>
      <c r="AO381" s="194"/>
    </row>
    <row r="382" spans="1:41" s="102" customFormat="1" outlineLevel="1">
      <c r="A382" s="551" t="str">
        <f t="shared" si="70"/>
        <v>1</v>
      </c>
      <c r="B382" s="102" t="b">
        <f>'ИП + источники'!$N$14&lt;&gt;"да"</f>
        <v>1</v>
      </c>
      <c r="L382" s="273" t="s">
        <v>165</v>
      </c>
      <c r="M382" s="274" t="s">
        <v>439</v>
      </c>
      <c r="N382" s="270" t="s">
        <v>370</v>
      </c>
      <c r="O382" s="268">
        <f>O383+O384+O385+O386</f>
        <v>0</v>
      </c>
      <c r="P382" s="268">
        <f t="shared" ref="P382:AN382" si="72">P383+P384+P385+P386</f>
        <v>0</v>
      </c>
      <c r="Q382" s="268">
        <f t="shared" si="72"/>
        <v>0</v>
      </c>
      <c r="R382" s="268">
        <f t="shared" si="72"/>
        <v>0</v>
      </c>
      <c r="S382" s="268">
        <f t="shared" si="72"/>
        <v>0</v>
      </c>
      <c r="T382" s="268">
        <f t="shared" si="72"/>
        <v>0</v>
      </c>
      <c r="U382" s="268">
        <f t="shared" si="72"/>
        <v>0</v>
      </c>
      <c r="V382" s="268">
        <f t="shared" si="72"/>
        <v>0</v>
      </c>
      <c r="W382" s="268">
        <f t="shared" si="72"/>
        <v>0</v>
      </c>
      <c r="X382" s="268">
        <f t="shared" si="72"/>
        <v>0</v>
      </c>
      <c r="Y382" s="268">
        <f t="shared" si="72"/>
        <v>0</v>
      </c>
      <c r="Z382" s="268">
        <f t="shared" si="72"/>
        <v>0</v>
      </c>
      <c r="AA382" s="268">
        <f t="shared" si="72"/>
        <v>0</v>
      </c>
      <c r="AB382" s="268">
        <f t="shared" si="72"/>
        <v>0</v>
      </c>
      <c r="AC382" s="268">
        <f t="shared" si="72"/>
        <v>0</v>
      </c>
      <c r="AD382" s="268">
        <f t="shared" si="72"/>
        <v>0</v>
      </c>
      <c r="AE382" s="268">
        <f t="shared" si="72"/>
        <v>0</v>
      </c>
      <c r="AF382" s="268">
        <f t="shared" si="72"/>
        <v>0</v>
      </c>
      <c r="AG382" s="268">
        <f t="shared" si="72"/>
        <v>0</v>
      </c>
      <c r="AH382" s="268">
        <f t="shared" si="72"/>
        <v>0</v>
      </c>
      <c r="AI382" s="268">
        <f t="shared" si="72"/>
        <v>0</v>
      </c>
      <c r="AJ382" s="268">
        <f t="shared" si="72"/>
        <v>0</v>
      </c>
      <c r="AK382" s="268">
        <f t="shared" si="72"/>
        <v>0</v>
      </c>
      <c r="AL382" s="268">
        <f t="shared" si="72"/>
        <v>0</v>
      </c>
      <c r="AM382" s="268">
        <f t="shared" si="72"/>
        <v>0</v>
      </c>
      <c r="AN382" s="268">
        <f t="shared" si="72"/>
        <v>0</v>
      </c>
      <c r="AO382" s="194"/>
    </row>
    <row r="383" spans="1:41" s="102" customFormat="1" outlineLevel="1">
      <c r="A383" s="551" t="str">
        <f t="shared" si="70"/>
        <v>1</v>
      </c>
      <c r="B383" s="102" t="b">
        <f>'ИП + источники'!$N$14&lt;&gt;"да"</f>
        <v>1</v>
      </c>
      <c r="L383" s="273" t="s">
        <v>412</v>
      </c>
      <c r="M383" s="275" t="s">
        <v>440</v>
      </c>
      <c r="N383" s="270" t="s">
        <v>370</v>
      </c>
      <c r="O383" s="269"/>
      <c r="P383" s="269"/>
      <c r="Q383" s="269"/>
      <c r="R383" s="269"/>
      <c r="S383" s="269"/>
      <c r="T383" s="269"/>
      <c r="U383" s="269"/>
      <c r="V383" s="269"/>
      <c r="W383" s="269"/>
      <c r="X383" s="269"/>
      <c r="Y383" s="269"/>
      <c r="Z383" s="269"/>
      <c r="AA383" s="269"/>
      <c r="AB383" s="269"/>
      <c r="AC383" s="269"/>
      <c r="AD383" s="269"/>
      <c r="AE383" s="269"/>
      <c r="AF383" s="269"/>
      <c r="AG383" s="269"/>
      <c r="AH383" s="269"/>
      <c r="AI383" s="269"/>
      <c r="AJ383" s="269"/>
      <c r="AK383" s="269"/>
      <c r="AL383" s="269"/>
      <c r="AM383" s="269"/>
      <c r="AN383" s="269"/>
      <c r="AO383" s="194"/>
    </row>
    <row r="384" spans="1:41" s="102" customFormat="1" outlineLevel="1">
      <c r="A384" s="551" t="str">
        <f t="shared" si="70"/>
        <v>1</v>
      </c>
      <c r="B384" s="102" t="b">
        <f>'ИП + источники'!$N$14&lt;&gt;"да"</f>
        <v>1</v>
      </c>
      <c r="L384" s="273" t="s">
        <v>414</v>
      </c>
      <c r="M384" s="275" t="s">
        <v>1126</v>
      </c>
      <c r="N384" s="270" t="s">
        <v>370</v>
      </c>
      <c r="O384" s="269"/>
      <c r="P384" s="269"/>
      <c r="Q384" s="269"/>
      <c r="R384" s="269"/>
      <c r="S384" s="269"/>
      <c r="T384" s="269"/>
      <c r="U384" s="269"/>
      <c r="V384" s="269"/>
      <c r="W384" s="269"/>
      <c r="X384" s="269"/>
      <c r="Y384" s="269"/>
      <c r="Z384" s="269"/>
      <c r="AA384" s="269"/>
      <c r="AB384" s="269"/>
      <c r="AC384" s="269"/>
      <c r="AD384" s="269"/>
      <c r="AE384" s="269"/>
      <c r="AF384" s="269"/>
      <c r="AG384" s="269"/>
      <c r="AH384" s="269"/>
      <c r="AI384" s="269"/>
      <c r="AJ384" s="269"/>
      <c r="AK384" s="269"/>
      <c r="AL384" s="269"/>
      <c r="AM384" s="269"/>
      <c r="AN384" s="269"/>
      <c r="AO384" s="194"/>
    </row>
    <row r="385" spans="1:41" s="102" customFormat="1" outlineLevel="1">
      <c r="A385" s="551" t="str">
        <f t="shared" si="70"/>
        <v>1</v>
      </c>
      <c r="B385" s="102" t="b">
        <f>'ИП + источники'!$N$14&lt;&gt;"да"</f>
        <v>1</v>
      </c>
      <c r="L385" s="273" t="s">
        <v>1087</v>
      </c>
      <c r="M385" s="275" t="s">
        <v>441</v>
      </c>
      <c r="N385" s="270" t="s">
        <v>370</v>
      </c>
      <c r="O385" s="269"/>
      <c r="P385" s="269"/>
      <c r="Q385" s="269"/>
      <c r="R385" s="269"/>
      <c r="S385" s="269"/>
      <c r="T385" s="269"/>
      <c r="U385" s="269"/>
      <c r="V385" s="269"/>
      <c r="W385" s="269"/>
      <c r="X385" s="269"/>
      <c r="Y385" s="269"/>
      <c r="Z385" s="269"/>
      <c r="AA385" s="269"/>
      <c r="AB385" s="269"/>
      <c r="AC385" s="269"/>
      <c r="AD385" s="269"/>
      <c r="AE385" s="269"/>
      <c r="AF385" s="269"/>
      <c r="AG385" s="269"/>
      <c r="AH385" s="269"/>
      <c r="AI385" s="269"/>
      <c r="AJ385" s="269"/>
      <c r="AK385" s="269"/>
      <c r="AL385" s="269"/>
      <c r="AM385" s="269"/>
      <c r="AN385" s="269"/>
      <c r="AO385" s="194"/>
    </row>
    <row r="386" spans="1:41" s="102" customFormat="1" outlineLevel="1">
      <c r="A386" s="551" t="str">
        <f t="shared" si="70"/>
        <v>1</v>
      </c>
      <c r="B386" s="102" t="b">
        <f>'ИП + источники'!$N$14&lt;&gt;"да"</f>
        <v>1</v>
      </c>
      <c r="L386" s="273" t="s">
        <v>1088</v>
      </c>
      <c r="M386" s="275" t="s">
        <v>442</v>
      </c>
      <c r="N386" s="270" t="s">
        <v>370</v>
      </c>
      <c r="O386" s="269"/>
      <c r="P386" s="269"/>
      <c r="Q386" s="269"/>
      <c r="R386" s="269"/>
      <c r="S386" s="269"/>
      <c r="T386" s="269"/>
      <c r="U386" s="269"/>
      <c r="V386" s="269"/>
      <c r="W386" s="269"/>
      <c r="X386" s="269"/>
      <c r="Y386" s="269"/>
      <c r="Z386" s="269"/>
      <c r="AA386" s="269"/>
      <c r="AB386" s="269"/>
      <c r="AC386" s="269"/>
      <c r="AD386" s="269"/>
      <c r="AE386" s="269"/>
      <c r="AF386" s="269"/>
      <c r="AG386" s="269"/>
      <c r="AH386" s="269"/>
      <c r="AI386" s="269"/>
      <c r="AJ386" s="269"/>
      <c r="AK386" s="269"/>
      <c r="AL386" s="269"/>
      <c r="AM386" s="269"/>
      <c r="AN386" s="269"/>
      <c r="AO386" s="194"/>
    </row>
    <row r="387" spans="1:41" s="102" customFormat="1" outlineLevel="1">
      <c r="A387" s="551" t="str">
        <f t="shared" si="70"/>
        <v>1</v>
      </c>
      <c r="B387" s="102" t="b">
        <f>'ИП + источники'!$N$14&lt;&gt;"да"</f>
        <v>1</v>
      </c>
      <c r="L387" s="273" t="s">
        <v>166</v>
      </c>
      <c r="M387" s="274" t="s">
        <v>443</v>
      </c>
      <c r="N387" s="270" t="s">
        <v>370</v>
      </c>
      <c r="O387" s="268">
        <f>O388+O389+O390</f>
        <v>0</v>
      </c>
      <c r="P387" s="268">
        <f t="shared" ref="P387:AN387" si="73">P388+P389+P390</f>
        <v>0</v>
      </c>
      <c r="Q387" s="268">
        <f t="shared" si="73"/>
        <v>0</v>
      </c>
      <c r="R387" s="268">
        <f t="shared" si="73"/>
        <v>0</v>
      </c>
      <c r="S387" s="268">
        <f t="shared" si="73"/>
        <v>0</v>
      </c>
      <c r="T387" s="268">
        <f t="shared" si="73"/>
        <v>0</v>
      </c>
      <c r="U387" s="268">
        <f t="shared" si="73"/>
        <v>0</v>
      </c>
      <c r="V387" s="268">
        <f t="shared" si="73"/>
        <v>0</v>
      </c>
      <c r="W387" s="268">
        <f t="shared" si="73"/>
        <v>0</v>
      </c>
      <c r="X387" s="268">
        <f t="shared" si="73"/>
        <v>0</v>
      </c>
      <c r="Y387" s="268">
        <f t="shared" si="73"/>
        <v>0</v>
      </c>
      <c r="Z387" s="268">
        <f t="shared" si="73"/>
        <v>0</v>
      </c>
      <c r="AA387" s="268">
        <f t="shared" si="73"/>
        <v>0</v>
      </c>
      <c r="AB387" s="268">
        <f t="shared" si="73"/>
        <v>0</v>
      </c>
      <c r="AC387" s="268">
        <f t="shared" si="73"/>
        <v>0</v>
      </c>
      <c r="AD387" s="268">
        <f t="shared" si="73"/>
        <v>0</v>
      </c>
      <c r="AE387" s="268">
        <f t="shared" si="73"/>
        <v>0</v>
      </c>
      <c r="AF387" s="268">
        <f t="shared" si="73"/>
        <v>0</v>
      </c>
      <c r="AG387" s="268">
        <f t="shared" si="73"/>
        <v>0</v>
      </c>
      <c r="AH387" s="268">
        <f t="shared" si="73"/>
        <v>0</v>
      </c>
      <c r="AI387" s="268">
        <f t="shared" si="73"/>
        <v>0</v>
      </c>
      <c r="AJ387" s="268">
        <f t="shared" si="73"/>
        <v>0</v>
      </c>
      <c r="AK387" s="268">
        <f t="shared" si="73"/>
        <v>0</v>
      </c>
      <c r="AL387" s="268">
        <f t="shared" si="73"/>
        <v>0</v>
      </c>
      <c r="AM387" s="268">
        <f t="shared" si="73"/>
        <v>0</v>
      </c>
      <c r="AN387" s="268">
        <f t="shared" si="73"/>
        <v>0</v>
      </c>
      <c r="AO387" s="194"/>
    </row>
    <row r="388" spans="1:41" s="102" customFormat="1" outlineLevel="1">
      <c r="A388" s="551" t="str">
        <f t="shared" si="70"/>
        <v>1</v>
      </c>
      <c r="B388" s="102" t="b">
        <f>'ИП + источники'!$N$14&lt;&gt;"да"</f>
        <v>1</v>
      </c>
      <c r="L388" s="273" t="s">
        <v>534</v>
      </c>
      <c r="M388" s="275" t="s">
        <v>444</v>
      </c>
      <c r="N388" s="270" t="s">
        <v>370</v>
      </c>
      <c r="O388" s="269"/>
      <c r="P388" s="269"/>
      <c r="Q388" s="269"/>
      <c r="R388" s="269"/>
      <c r="S388" s="269"/>
      <c r="T388" s="269"/>
      <c r="U388" s="269"/>
      <c r="V388" s="269"/>
      <c r="W388" s="269"/>
      <c r="X388" s="269"/>
      <c r="Y388" s="269"/>
      <c r="Z388" s="269"/>
      <c r="AA388" s="269"/>
      <c r="AB388" s="269"/>
      <c r="AC388" s="269"/>
      <c r="AD388" s="269"/>
      <c r="AE388" s="269"/>
      <c r="AF388" s="269"/>
      <c r="AG388" s="269"/>
      <c r="AH388" s="269"/>
      <c r="AI388" s="269"/>
      <c r="AJ388" s="269"/>
      <c r="AK388" s="269"/>
      <c r="AL388" s="269"/>
      <c r="AM388" s="269"/>
      <c r="AN388" s="269"/>
      <c r="AO388" s="194"/>
    </row>
    <row r="389" spans="1:41" s="102" customFormat="1" outlineLevel="1">
      <c r="A389" s="551" t="str">
        <f t="shared" si="70"/>
        <v>1</v>
      </c>
      <c r="B389" s="102" t="b">
        <f>'ИП + источники'!$N$14&lt;&gt;"да"</f>
        <v>1</v>
      </c>
      <c r="L389" s="273" t="s">
        <v>540</v>
      </c>
      <c r="M389" s="275" t="s">
        <v>445</v>
      </c>
      <c r="N389" s="270" t="s">
        <v>370</v>
      </c>
      <c r="O389" s="269"/>
      <c r="P389" s="269"/>
      <c r="Q389" s="269"/>
      <c r="R389" s="269"/>
      <c r="S389" s="269"/>
      <c r="T389" s="269"/>
      <c r="U389" s="269"/>
      <c r="V389" s="269"/>
      <c r="W389" s="269"/>
      <c r="X389" s="269"/>
      <c r="Y389" s="269"/>
      <c r="Z389" s="269"/>
      <c r="AA389" s="269"/>
      <c r="AB389" s="269"/>
      <c r="AC389" s="269"/>
      <c r="AD389" s="269"/>
      <c r="AE389" s="269"/>
      <c r="AF389" s="269"/>
      <c r="AG389" s="269"/>
      <c r="AH389" s="269"/>
      <c r="AI389" s="269"/>
      <c r="AJ389" s="269"/>
      <c r="AK389" s="269"/>
      <c r="AL389" s="269"/>
      <c r="AM389" s="269"/>
      <c r="AN389" s="269"/>
      <c r="AO389" s="194"/>
    </row>
    <row r="390" spans="1:41" s="102" customFormat="1" outlineLevel="1">
      <c r="A390" s="551" t="str">
        <f t="shared" si="70"/>
        <v>1</v>
      </c>
      <c r="B390" s="102" t="b">
        <f>'ИП + источники'!$N$14&lt;&gt;"да"</f>
        <v>1</v>
      </c>
      <c r="L390" s="273" t="s">
        <v>542</v>
      </c>
      <c r="M390" s="275" t="s">
        <v>446</v>
      </c>
      <c r="N390" s="270" t="s">
        <v>370</v>
      </c>
      <c r="O390" s="269"/>
      <c r="P390" s="269"/>
      <c r="Q390" s="269"/>
      <c r="R390" s="269"/>
      <c r="S390" s="269"/>
      <c r="T390" s="269"/>
      <c r="U390" s="269"/>
      <c r="V390" s="269"/>
      <c r="W390" s="269"/>
      <c r="X390" s="269"/>
      <c r="Y390" s="269"/>
      <c r="Z390" s="269"/>
      <c r="AA390" s="269"/>
      <c r="AB390" s="269"/>
      <c r="AC390" s="269"/>
      <c r="AD390" s="269"/>
      <c r="AE390" s="269"/>
      <c r="AF390" s="269"/>
      <c r="AG390" s="269"/>
      <c r="AH390" s="269"/>
      <c r="AI390" s="269"/>
      <c r="AJ390" s="269"/>
      <c r="AK390" s="269"/>
      <c r="AL390" s="269"/>
      <c r="AM390" s="269"/>
      <c r="AN390" s="269"/>
      <c r="AO390" s="194"/>
    </row>
    <row r="391" spans="1:41" s="102" customFormat="1" outlineLevel="1">
      <c r="A391" s="551" t="str">
        <f t="shared" si="70"/>
        <v>1</v>
      </c>
      <c r="B391" s="102" t="b">
        <f>'ИП + источники'!$N$14&lt;&gt;"да"</f>
        <v>1</v>
      </c>
      <c r="L391" s="273" t="s">
        <v>378</v>
      </c>
      <c r="M391" s="274" t="s">
        <v>447</v>
      </c>
      <c r="N391" s="270" t="s">
        <v>370</v>
      </c>
      <c r="O391" s="268">
        <f>O392+O393+O394</f>
        <v>0</v>
      </c>
      <c r="P391" s="268">
        <f t="shared" ref="P391:AN391" si="74">P392+P393+P394</f>
        <v>0</v>
      </c>
      <c r="Q391" s="268">
        <f t="shared" si="74"/>
        <v>0</v>
      </c>
      <c r="R391" s="268">
        <f t="shared" si="74"/>
        <v>0</v>
      </c>
      <c r="S391" s="268">
        <f t="shared" si="74"/>
        <v>0</v>
      </c>
      <c r="T391" s="268">
        <f t="shared" si="74"/>
        <v>0</v>
      </c>
      <c r="U391" s="268">
        <f t="shared" si="74"/>
        <v>0</v>
      </c>
      <c r="V391" s="268">
        <f t="shared" si="74"/>
        <v>0</v>
      </c>
      <c r="W391" s="268">
        <f t="shared" si="74"/>
        <v>0</v>
      </c>
      <c r="X391" s="268">
        <f t="shared" si="74"/>
        <v>0</v>
      </c>
      <c r="Y391" s="268">
        <f t="shared" si="74"/>
        <v>0</v>
      </c>
      <c r="Z391" s="268">
        <f t="shared" si="74"/>
        <v>0</v>
      </c>
      <c r="AA391" s="268">
        <f t="shared" si="74"/>
        <v>0</v>
      </c>
      <c r="AB391" s="268">
        <f t="shared" si="74"/>
        <v>0</v>
      </c>
      <c r="AC391" s="268">
        <f t="shared" si="74"/>
        <v>0</v>
      </c>
      <c r="AD391" s="268">
        <f t="shared" si="74"/>
        <v>0</v>
      </c>
      <c r="AE391" s="268">
        <f t="shared" si="74"/>
        <v>0</v>
      </c>
      <c r="AF391" s="268">
        <f t="shared" si="74"/>
        <v>0</v>
      </c>
      <c r="AG391" s="268">
        <f t="shared" si="74"/>
        <v>0</v>
      </c>
      <c r="AH391" s="268">
        <f t="shared" si="74"/>
        <v>0</v>
      </c>
      <c r="AI391" s="268">
        <f t="shared" si="74"/>
        <v>0</v>
      </c>
      <c r="AJ391" s="268">
        <f t="shared" si="74"/>
        <v>0</v>
      </c>
      <c r="AK391" s="268">
        <f t="shared" si="74"/>
        <v>0</v>
      </c>
      <c r="AL391" s="268">
        <f t="shared" si="74"/>
        <v>0</v>
      </c>
      <c r="AM391" s="268">
        <f t="shared" si="74"/>
        <v>0</v>
      </c>
      <c r="AN391" s="268">
        <f t="shared" si="74"/>
        <v>0</v>
      </c>
      <c r="AO391" s="194"/>
    </row>
    <row r="392" spans="1:41" s="102" customFormat="1" outlineLevel="1">
      <c r="A392" s="551" t="str">
        <f t="shared" si="70"/>
        <v>1</v>
      </c>
      <c r="B392" s="102" t="b">
        <f>'ИП + источники'!$N$14&lt;&gt;"да"</f>
        <v>1</v>
      </c>
      <c r="L392" s="273" t="s">
        <v>564</v>
      </c>
      <c r="M392" s="275" t="s">
        <v>448</v>
      </c>
      <c r="N392" s="270" t="s">
        <v>370</v>
      </c>
      <c r="O392" s="269"/>
      <c r="P392" s="269"/>
      <c r="Q392" s="269"/>
      <c r="R392" s="269"/>
      <c r="S392" s="269"/>
      <c r="T392" s="269"/>
      <c r="U392" s="269"/>
      <c r="V392" s="269"/>
      <c r="W392" s="269"/>
      <c r="X392" s="269"/>
      <c r="Y392" s="269"/>
      <c r="Z392" s="269"/>
      <c r="AA392" s="269"/>
      <c r="AB392" s="269"/>
      <c r="AC392" s="269"/>
      <c r="AD392" s="269"/>
      <c r="AE392" s="269"/>
      <c r="AF392" s="269"/>
      <c r="AG392" s="269"/>
      <c r="AH392" s="269"/>
      <c r="AI392" s="269"/>
      <c r="AJ392" s="269"/>
      <c r="AK392" s="269"/>
      <c r="AL392" s="269"/>
      <c r="AM392" s="269"/>
      <c r="AN392" s="269"/>
      <c r="AO392" s="194"/>
    </row>
    <row r="393" spans="1:41" s="102" customFormat="1" outlineLevel="1">
      <c r="A393" s="551" t="str">
        <f t="shared" si="70"/>
        <v>1</v>
      </c>
      <c r="B393" s="102" t="b">
        <f>'ИП + источники'!$N$14&lt;&gt;"да"</f>
        <v>1</v>
      </c>
      <c r="L393" s="273" t="s">
        <v>566</v>
      </c>
      <c r="M393" s="275" t="s">
        <v>449</v>
      </c>
      <c r="N393" s="270" t="s">
        <v>370</v>
      </c>
      <c r="O393" s="269"/>
      <c r="P393" s="269"/>
      <c r="Q393" s="269"/>
      <c r="R393" s="269"/>
      <c r="S393" s="269"/>
      <c r="T393" s="269"/>
      <c r="U393" s="269"/>
      <c r="V393" s="269"/>
      <c r="W393" s="269"/>
      <c r="X393" s="269"/>
      <c r="Y393" s="269"/>
      <c r="Z393" s="269"/>
      <c r="AA393" s="269"/>
      <c r="AB393" s="269"/>
      <c r="AC393" s="269"/>
      <c r="AD393" s="269"/>
      <c r="AE393" s="269"/>
      <c r="AF393" s="269"/>
      <c r="AG393" s="269"/>
      <c r="AH393" s="269"/>
      <c r="AI393" s="269"/>
      <c r="AJ393" s="269"/>
      <c r="AK393" s="269"/>
      <c r="AL393" s="269"/>
      <c r="AM393" s="269"/>
      <c r="AN393" s="269"/>
      <c r="AO393" s="194"/>
    </row>
    <row r="394" spans="1:41" s="102" customFormat="1" outlineLevel="1">
      <c r="A394" s="551" t="str">
        <f t="shared" si="70"/>
        <v>1</v>
      </c>
      <c r="B394" s="102" t="b">
        <f>'ИП + источники'!$N$14&lt;&gt;"да"</f>
        <v>1</v>
      </c>
      <c r="L394" s="273" t="s">
        <v>568</v>
      </c>
      <c r="M394" s="275" t="s">
        <v>450</v>
      </c>
      <c r="N394" s="270" t="s">
        <v>370</v>
      </c>
      <c r="O394" s="269"/>
      <c r="P394" s="269"/>
      <c r="Q394" s="269"/>
      <c r="R394" s="269"/>
      <c r="S394" s="269"/>
      <c r="T394" s="269"/>
      <c r="U394" s="269"/>
      <c r="V394" s="269"/>
      <c r="W394" s="269"/>
      <c r="X394" s="269"/>
      <c r="Y394" s="269"/>
      <c r="Z394" s="269"/>
      <c r="AA394" s="269"/>
      <c r="AB394" s="269"/>
      <c r="AC394" s="269"/>
      <c r="AD394" s="269"/>
      <c r="AE394" s="269"/>
      <c r="AF394" s="269"/>
      <c r="AG394" s="269"/>
      <c r="AH394" s="269"/>
      <c r="AI394" s="269"/>
      <c r="AJ394" s="269"/>
      <c r="AK394" s="269"/>
      <c r="AL394" s="269"/>
      <c r="AM394" s="269"/>
      <c r="AN394" s="269"/>
      <c r="AO394" s="194"/>
    </row>
    <row r="395" spans="1:41" s="102" customFormat="1" outlineLevel="1">
      <c r="A395" s="551" t="str">
        <f t="shared" si="70"/>
        <v>1</v>
      </c>
      <c r="B395" s="102" t="b">
        <f>'ИП + источники'!$N$14&lt;&gt;"да"</f>
        <v>1</v>
      </c>
      <c r="L395" s="273" t="s">
        <v>380</v>
      </c>
      <c r="M395" s="274" t="s">
        <v>451</v>
      </c>
      <c r="N395" s="270" t="s">
        <v>370</v>
      </c>
      <c r="O395" s="268">
        <f>O396+O397+O398+O399</f>
        <v>0</v>
      </c>
      <c r="P395" s="268">
        <f t="shared" ref="P395:AN395" si="75">P396+P397+P398+P399</f>
        <v>0</v>
      </c>
      <c r="Q395" s="268">
        <f t="shared" si="75"/>
        <v>0</v>
      </c>
      <c r="R395" s="268">
        <f t="shared" si="75"/>
        <v>0</v>
      </c>
      <c r="S395" s="268">
        <f t="shared" si="75"/>
        <v>0</v>
      </c>
      <c r="T395" s="268">
        <f t="shared" si="75"/>
        <v>0</v>
      </c>
      <c r="U395" s="268">
        <f t="shared" si="75"/>
        <v>0</v>
      </c>
      <c r="V395" s="268">
        <f t="shared" si="75"/>
        <v>0</v>
      </c>
      <c r="W395" s="268">
        <f t="shared" si="75"/>
        <v>0</v>
      </c>
      <c r="X395" s="268">
        <f t="shared" si="75"/>
        <v>0</v>
      </c>
      <c r="Y395" s="268">
        <f t="shared" si="75"/>
        <v>0</v>
      </c>
      <c r="Z395" s="268">
        <f t="shared" si="75"/>
        <v>0</v>
      </c>
      <c r="AA395" s="268">
        <f t="shared" si="75"/>
        <v>0</v>
      </c>
      <c r="AB395" s="268">
        <f t="shared" si="75"/>
        <v>0</v>
      </c>
      <c r="AC395" s="268">
        <f t="shared" si="75"/>
        <v>0</v>
      </c>
      <c r="AD395" s="268">
        <f t="shared" si="75"/>
        <v>0</v>
      </c>
      <c r="AE395" s="268">
        <f t="shared" si="75"/>
        <v>0</v>
      </c>
      <c r="AF395" s="268">
        <f t="shared" si="75"/>
        <v>0</v>
      </c>
      <c r="AG395" s="268">
        <f t="shared" si="75"/>
        <v>0</v>
      </c>
      <c r="AH395" s="268">
        <f t="shared" si="75"/>
        <v>0</v>
      </c>
      <c r="AI395" s="268">
        <f t="shared" si="75"/>
        <v>0</v>
      </c>
      <c r="AJ395" s="268">
        <f t="shared" si="75"/>
        <v>0</v>
      </c>
      <c r="AK395" s="268">
        <f t="shared" si="75"/>
        <v>0</v>
      </c>
      <c r="AL395" s="268">
        <f t="shared" si="75"/>
        <v>0</v>
      </c>
      <c r="AM395" s="268">
        <f t="shared" si="75"/>
        <v>0</v>
      </c>
      <c r="AN395" s="268">
        <f t="shared" si="75"/>
        <v>0</v>
      </c>
      <c r="AO395" s="194"/>
    </row>
    <row r="396" spans="1:41" s="102" customFormat="1" outlineLevel="1">
      <c r="A396" s="551" t="str">
        <f t="shared" si="70"/>
        <v>1</v>
      </c>
      <c r="B396" s="102" t="b">
        <f>'ИП + источники'!$N$14&lt;&gt;"да"</f>
        <v>1</v>
      </c>
      <c r="L396" s="273" t="s">
        <v>573</v>
      </c>
      <c r="M396" s="275" t="s">
        <v>452</v>
      </c>
      <c r="N396" s="270" t="s">
        <v>370</v>
      </c>
      <c r="O396" s="269"/>
      <c r="P396" s="269"/>
      <c r="Q396" s="269"/>
      <c r="R396" s="269"/>
      <c r="S396" s="269"/>
      <c r="T396" s="269"/>
      <c r="U396" s="269"/>
      <c r="V396" s="269"/>
      <c r="W396" s="269"/>
      <c r="X396" s="269"/>
      <c r="Y396" s="269"/>
      <c r="Z396" s="269"/>
      <c r="AA396" s="269"/>
      <c r="AB396" s="269"/>
      <c r="AC396" s="269"/>
      <c r="AD396" s="269"/>
      <c r="AE396" s="269"/>
      <c r="AF396" s="269"/>
      <c r="AG396" s="269"/>
      <c r="AH396" s="269"/>
      <c r="AI396" s="269"/>
      <c r="AJ396" s="269"/>
      <c r="AK396" s="269"/>
      <c r="AL396" s="269"/>
      <c r="AM396" s="269"/>
      <c r="AN396" s="269"/>
      <c r="AO396" s="194"/>
    </row>
    <row r="397" spans="1:41" s="102" customFormat="1" ht="22.5" outlineLevel="1">
      <c r="A397" s="551" t="str">
        <f t="shared" si="70"/>
        <v>1</v>
      </c>
      <c r="B397" s="102" t="b">
        <f>'ИП + источники'!$N$14&lt;&gt;"да"</f>
        <v>1</v>
      </c>
      <c r="L397" s="273" t="s">
        <v>587</v>
      </c>
      <c r="M397" s="275" t="s">
        <v>1180</v>
      </c>
      <c r="N397" s="270" t="s">
        <v>370</v>
      </c>
      <c r="O397" s="269"/>
      <c r="P397" s="269"/>
      <c r="Q397" s="269"/>
      <c r="R397" s="269"/>
      <c r="S397" s="269"/>
      <c r="T397" s="269"/>
      <c r="U397" s="269"/>
      <c r="V397" s="269"/>
      <c r="W397" s="269"/>
      <c r="X397" s="269"/>
      <c r="Y397" s="269"/>
      <c r="Z397" s="269"/>
      <c r="AA397" s="269"/>
      <c r="AB397" s="269"/>
      <c r="AC397" s="269"/>
      <c r="AD397" s="269"/>
      <c r="AE397" s="269"/>
      <c r="AF397" s="269"/>
      <c r="AG397" s="269"/>
      <c r="AH397" s="269"/>
      <c r="AI397" s="269"/>
      <c r="AJ397" s="269"/>
      <c r="AK397" s="269"/>
      <c r="AL397" s="269"/>
      <c r="AM397" s="269"/>
      <c r="AN397" s="269"/>
      <c r="AO397" s="194"/>
    </row>
    <row r="398" spans="1:41" s="102" customFormat="1" ht="22.5" outlineLevel="1">
      <c r="A398" s="551" t="str">
        <f t="shared" si="70"/>
        <v>1</v>
      </c>
      <c r="B398" s="102" t="b">
        <f>'ИП + источники'!$N$14&lt;&gt;"да"</f>
        <v>1</v>
      </c>
      <c r="L398" s="273" t="s">
        <v>593</v>
      </c>
      <c r="M398" s="275" t="s">
        <v>453</v>
      </c>
      <c r="N398" s="270" t="s">
        <v>370</v>
      </c>
      <c r="O398" s="269"/>
      <c r="P398" s="269"/>
      <c r="Q398" s="269"/>
      <c r="R398" s="269"/>
      <c r="S398" s="269"/>
      <c r="T398" s="269"/>
      <c r="U398" s="269"/>
      <c r="V398" s="269"/>
      <c r="W398" s="269"/>
      <c r="X398" s="269"/>
      <c r="Y398" s="269"/>
      <c r="Z398" s="269"/>
      <c r="AA398" s="269"/>
      <c r="AB398" s="269"/>
      <c r="AC398" s="269"/>
      <c r="AD398" s="269"/>
      <c r="AE398" s="269"/>
      <c r="AF398" s="269"/>
      <c r="AG398" s="269"/>
      <c r="AH398" s="269"/>
      <c r="AI398" s="269"/>
      <c r="AJ398" s="269"/>
      <c r="AK398" s="269"/>
      <c r="AL398" s="269"/>
      <c r="AM398" s="269"/>
      <c r="AN398" s="269"/>
      <c r="AO398" s="194"/>
    </row>
    <row r="399" spans="1:41" s="102" customFormat="1" outlineLevel="1">
      <c r="A399" s="551" t="str">
        <f t="shared" si="70"/>
        <v>1</v>
      </c>
      <c r="B399" s="102" t="b">
        <f>'ИП + источники'!$N$14&lt;&gt;"да"</f>
        <v>1</v>
      </c>
      <c r="L399" s="273" t="s">
        <v>595</v>
      </c>
      <c r="M399" s="275" t="s">
        <v>454</v>
      </c>
      <c r="N399" s="270" t="s">
        <v>370</v>
      </c>
      <c r="O399" s="269"/>
      <c r="P399" s="269"/>
      <c r="Q399" s="269"/>
      <c r="R399" s="269"/>
      <c r="S399" s="269"/>
      <c r="T399" s="269"/>
      <c r="U399" s="269"/>
      <c r="V399" s="269"/>
      <c r="W399" s="269"/>
      <c r="X399" s="269"/>
      <c r="Y399" s="269"/>
      <c r="Z399" s="269"/>
      <c r="AA399" s="269"/>
      <c r="AB399" s="269"/>
      <c r="AC399" s="269"/>
      <c r="AD399" s="269"/>
      <c r="AE399" s="269"/>
      <c r="AF399" s="269"/>
      <c r="AG399" s="269"/>
      <c r="AH399" s="269"/>
      <c r="AI399" s="269"/>
      <c r="AJ399" s="269"/>
      <c r="AK399" s="269"/>
      <c r="AL399" s="269"/>
      <c r="AM399" s="269"/>
      <c r="AN399" s="269"/>
      <c r="AO399" s="194"/>
    </row>
    <row r="400" spans="1:41" s="278" customFormat="1" ht="22.5" outlineLevel="1">
      <c r="A400" s="551" t="str">
        <f t="shared" si="70"/>
        <v>1</v>
      </c>
      <c r="B400" s="102" t="b">
        <f>'ИП + источники'!$N$14&lt;&gt;"да"</f>
        <v>1</v>
      </c>
      <c r="L400" s="276" t="s">
        <v>102</v>
      </c>
      <c r="M400" s="272" t="s">
        <v>455</v>
      </c>
      <c r="N400" s="277" t="s">
        <v>370</v>
      </c>
      <c r="O400" s="267">
        <f>O401+O402+O403</f>
        <v>0</v>
      </c>
      <c r="P400" s="267">
        <f t="shared" ref="P400:AN400" si="76">P401+P402+P403</f>
        <v>0</v>
      </c>
      <c r="Q400" s="267">
        <f t="shared" si="76"/>
        <v>0</v>
      </c>
      <c r="R400" s="267">
        <f t="shared" si="76"/>
        <v>0</v>
      </c>
      <c r="S400" s="267">
        <f t="shared" si="76"/>
        <v>0</v>
      </c>
      <c r="T400" s="267">
        <f t="shared" si="76"/>
        <v>0</v>
      </c>
      <c r="U400" s="267">
        <f t="shared" si="76"/>
        <v>0</v>
      </c>
      <c r="V400" s="267">
        <f t="shared" si="76"/>
        <v>0</v>
      </c>
      <c r="W400" s="267">
        <f t="shared" si="76"/>
        <v>0</v>
      </c>
      <c r="X400" s="267">
        <f t="shared" si="76"/>
        <v>0</v>
      </c>
      <c r="Y400" s="267">
        <f t="shared" si="76"/>
        <v>0</v>
      </c>
      <c r="Z400" s="267">
        <f t="shared" si="76"/>
        <v>0</v>
      </c>
      <c r="AA400" s="267">
        <f t="shared" si="76"/>
        <v>0</v>
      </c>
      <c r="AB400" s="267">
        <f t="shared" si="76"/>
        <v>0</v>
      </c>
      <c r="AC400" s="267">
        <f t="shared" si="76"/>
        <v>0</v>
      </c>
      <c r="AD400" s="267">
        <f t="shared" si="76"/>
        <v>0</v>
      </c>
      <c r="AE400" s="267">
        <f t="shared" si="76"/>
        <v>0</v>
      </c>
      <c r="AF400" s="267">
        <f t="shared" si="76"/>
        <v>0</v>
      </c>
      <c r="AG400" s="267">
        <f t="shared" si="76"/>
        <v>0</v>
      </c>
      <c r="AH400" s="267">
        <f t="shared" si="76"/>
        <v>0</v>
      </c>
      <c r="AI400" s="267">
        <f t="shared" si="76"/>
        <v>0</v>
      </c>
      <c r="AJ400" s="267">
        <f t="shared" si="76"/>
        <v>0</v>
      </c>
      <c r="AK400" s="267">
        <f t="shared" si="76"/>
        <v>0</v>
      </c>
      <c r="AL400" s="267">
        <f t="shared" si="76"/>
        <v>0</v>
      </c>
      <c r="AM400" s="267">
        <f t="shared" si="76"/>
        <v>0</v>
      </c>
      <c r="AN400" s="267">
        <f t="shared" si="76"/>
        <v>0</v>
      </c>
      <c r="AO400" s="194"/>
    </row>
    <row r="401" spans="1:41" s="102" customFormat="1" outlineLevel="1">
      <c r="A401" s="551" t="str">
        <f t="shared" si="70"/>
        <v>1</v>
      </c>
      <c r="B401" s="102" t="b">
        <f>'ИП + источники'!$N$14&lt;&gt;"да"</f>
        <v>1</v>
      </c>
      <c r="L401" s="273" t="s">
        <v>17</v>
      </c>
      <c r="M401" s="274" t="s">
        <v>1191</v>
      </c>
      <c r="N401" s="270" t="s">
        <v>370</v>
      </c>
      <c r="O401" s="269"/>
      <c r="P401" s="269"/>
      <c r="Q401" s="269"/>
      <c r="R401" s="269"/>
      <c r="S401" s="269"/>
      <c r="T401" s="269"/>
      <c r="U401" s="269"/>
      <c r="V401" s="269"/>
      <c r="W401" s="269"/>
      <c r="X401" s="269"/>
      <c r="Y401" s="269"/>
      <c r="Z401" s="269"/>
      <c r="AA401" s="269"/>
      <c r="AB401" s="269"/>
      <c r="AC401" s="269"/>
      <c r="AD401" s="269"/>
      <c r="AE401" s="269"/>
      <c r="AF401" s="269"/>
      <c r="AG401" s="269"/>
      <c r="AH401" s="269"/>
      <c r="AI401" s="269"/>
      <c r="AJ401" s="269"/>
      <c r="AK401" s="269"/>
      <c r="AL401" s="269"/>
      <c r="AM401" s="269"/>
      <c r="AN401" s="269"/>
      <c r="AO401" s="194"/>
    </row>
    <row r="402" spans="1:41" s="102" customFormat="1" outlineLevel="1">
      <c r="A402" s="551" t="str">
        <f t="shared" si="70"/>
        <v>1</v>
      </c>
      <c r="B402" s="102" t="b">
        <f>'ИП + источники'!$N$14&lt;&gt;"да"</f>
        <v>1</v>
      </c>
      <c r="L402" s="273" t="s">
        <v>146</v>
      </c>
      <c r="M402" s="274" t="s">
        <v>1192</v>
      </c>
      <c r="N402" s="270" t="s">
        <v>370</v>
      </c>
      <c r="O402" s="269"/>
      <c r="P402" s="269"/>
      <c r="Q402" s="269"/>
      <c r="R402" s="269"/>
      <c r="S402" s="269"/>
      <c r="T402" s="269"/>
      <c r="U402" s="269"/>
      <c r="V402" s="269"/>
      <c r="W402" s="269"/>
      <c r="X402" s="269"/>
      <c r="Y402" s="269"/>
      <c r="Z402" s="269"/>
      <c r="AA402" s="269"/>
      <c r="AB402" s="269"/>
      <c r="AC402" s="269"/>
      <c r="AD402" s="269"/>
      <c r="AE402" s="269"/>
      <c r="AF402" s="269"/>
      <c r="AG402" s="269"/>
      <c r="AH402" s="269"/>
      <c r="AI402" s="269"/>
      <c r="AJ402" s="269"/>
      <c r="AK402" s="269"/>
      <c r="AL402" s="269"/>
      <c r="AM402" s="269"/>
      <c r="AN402" s="269"/>
      <c r="AO402" s="194"/>
    </row>
    <row r="403" spans="1:41" s="102" customFormat="1" outlineLevel="1">
      <c r="A403" s="551" t="str">
        <f t="shared" si="70"/>
        <v>1</v>
      </c>
      <c r="B403" s="102" t="b">
        <f>'ИП + источники'!$N$14&lt;&gt;"да"</f>
        <v>1</v>
      </c>
      <c r="L403" s="273" t="s">
        <v>167</v>
      </c>
      <c r="M403" s="274" t="s">
        <v>456</v>
      </c>
      <c r="N403" s="270" t="s">
        <v>370</v>
      </c>
      <c r="O403" s="269"/>
      <c r="P403" s="269"/>
      <c r="Q403" s="269"/>
      <c r="R403" s="269"/>
      <c r="S403" s="269"/>
      <c r="T403" s="269"/>
      <c r="U403" s="269"/>
      <c r="V403" s="269"/>
      <c r="W403" s="269"/>
      <c r="X403" s="269"/>
      <c r="Y403" s="269"/>
      <c r="Z403" s="269"/>
      <c r="AA403" s="269"/>
      <c r="AB403" s="269"/>
      <c r="AC403" s="269"/>
      <c r="AD403" s="269"/>
      <c r="AE403" s="269"/>
      <c r="AF403" s="269"/>
      <c r="AG403" s="269"/>
      <c r="AH403" s="269"/>
      <c r="AI403" s="269"/>
      <c r="AJ403" s="269"/>
      <c r="AK403" s="269"/>
      <c r="AL403" s="269"/>
      <c r="AM403" s="269"/>
      <c r="AN403" s="269"/>
      <c r="AO403" s="194"/>
    </row>
    <row r="404" spans="1:41">
      <c r="A404" s="551"/>
    </row>
    <row r="405" spans="1:41" s="143" customFormat="1" ht="30" customHeight="1">
      <c r="A405" s="142" t="s">
        <v>1091</v>
      </c>
      <c r="M405" s="144"/>
      <c r="N405" s="144"/>
      <c r="O405" s="144"/>
      <c r="P405" s="144"/>
      <c r="AA405" s="145"/>
    </row>
    <row r="406" spans="1:41">
      <c r="A406" s="146" t="s">
        <v>1092</v>
      </c>
    </row>
    <row r="407" spans="1:41" s="82" customFormat="1">
      <c r="A407" s="183" t="s">
        <v>18</v>
      </c>
      <c r="L407" s="279" t="str">
        <f>INDEX('Общие сведения'!$J$113:$J$146,MATCH($A407,'Общие сведения'!$D$113:$D$146,0))</f>
        <v>Тариф 1 (Водоснабжение) - тариф на техническую воду (нет)</v>
      </c>
      <c r="M407" s="280"/>
      <c r="N407" s="280"/>
      <c r="O407" s="280"/>
      <c r="P407" s="280"/>
      <c r="Q407" s="280"/>
      <c r="R407" s="280"/>
      <c r="S407" s="280"/>
      <c r="T407" s="280"/>
      <c r="U407" s="280"/>
      <c r="V407" s="280"/>
      <c r="W407" s="280"/>
      <c r="X407" s="280"/>
      <c r="Y407" s="280"/>
      <c r="Z407" s="280"/>
      <c r="AA407" s="280"/>
      <c r="AB407" s="280"/>
      <c r="AC407" s="280"/>
      <c r="AD407" s="280"/>
      <c r="AE407" s="280"/>
      <c r="AF407" s="280"/>
      <c r="AG407" s="280"/>
      <c r="AH407" s="280"/>
      <c r="AI407" s="280"/>
    </row>
    <row r="408" spans="1:41" s="278" customFormat="1" outlineLevel="1">
      <c r="A408" s="551" t="str">
        <f t="shared" ref="A408:A414" si="77">A407</f>
        <v>1</v>
      </c>
      <c r="L408" s="294" t="s">
        <v>18</v>
      </c>
      <c r="M408" s="285" t="s">
        <v>458</v>
      </c>
      <c r="N408" s="286" t="s">
        <v>370</v>
      </c>
      <c r="O408" s="290">
        <f t="shared" ref="O408:AH408" si="78">O409+O410+O411</f>
        <v>0</v>
      </c>
      <c r="P408" s="291">
        <f t="shared" si="78"/>
        <v>0</v>
      </c>
      <c r="Q408" s="291">
        <f t="shared" si="78"/>
        <v>0</v>
      </c>
      <c r="R408" s="291">
        <f t="shared" si="78"/>
        <v>0</v>
      </c>
      <c r="S408" s="291">
        <f t="shared" si="78"/>
        <v>0</v>
      </c>
      <c r="T408" s="291">
        <f t="shared" si="78"/>
        <v>0</v>
      </c>
      <c r="U408" s="291">
        <f t="shared" si="78"/>
        <v>0</v>
      </c>
      <c r="V408" s="291">
        <f t="shared" si="78"/>
        <v>0</v>
      </c>
      <c r="W408" s="291">
        <f t="shared" si="78"/>
        <v>0</v>
      </c>
      <c r="X408" s="291">
        <f t="shared" si="78"/>
        <v>0</v>
      </c>
      <c r="Y408" s="290">
        <f t="shared" si="78"/>
        <v>0</v>
      </c>
      <c r="Z408" s="291">
        <f t="shared" si="78"/>
        <v>0</v>
      </c>
      <c r="AA408" s="291">
        <f t="shared" si="78"/>
        <v>0</v>
      </c>
      <c r="AB408" s="291">
        <f t="shared" si="78"/>
        <v>0</v>
      </c>
      <c r="AC408" s="291">
        <f t="shared" si="78"/>
        <v>0</v>
      </c>
      <c r="AD408" s="291">
        <f t="shared" si="78"/>
        <v>0</v>
      </c>
      <c r="AE408" s="291">
        <f t="shared" si="78"/>
        <v>0</v>
      </c>
      <c r="AF408" s="291">
        <f t="shared" si="78"/>
        <v>0</v>
      </c>
      <c r="AG408" s="291">
        <f t="shared" si="78"/>
        <v>0</v>
      </c>
      <c r="AH408" s="291">
        <f t="shared" si="78"/>
        <v>0</v>
      </c>
      <c r="AI408" s="194"/>
    </row>
    <row r="409" spans="1:41" s="102" customFormat="1" outlineLevel="1">
      <c r="A409" s="551" t="str">
        <f t="shared" si="77"/>
        <v>1</v>
      </c>
      <c r="L409" s="281" t="s">
        <v>165</v>
      </c>
      <c r="M409" s="289" t="s">
        <v>459</v>
      </c>
      <c r="N409" s="288" t="s">
        <v>370</v>
      </c>
      <c r="O409" s="292"/>
      <c r="P409" s="293"/>
      <c r="Q409" s="293"/>
      <c r="R409" s="293"/>
      <c r="S409" s="293"/>
      <c r="T409" s="293"/>
      <c r="U409" s="293"/>
      <c r="V409" s="293"/>
      <c r="W409" s="293"/>
      <c r="X409" s="293"/>
      <c r="Y409" s="292"/>
      <c r="Z409" s="293"/>
      <c r="AA409" s="293"/>
      <c r="AB409" s="293"/>
      <c r="AC409" s="293"/>
      <c r="AD409" s="293"/>
      <c r="AE409" s="293"/>
      <c r="AF409" s="293"/>
      <c r="AG409" s="293"/>
      <c r="AH409" s="293"/>
      <c r="AI409" s="194"/>
    </row>
    <row r="410" spans="1:41" s="102" customFormat="1" ht="22.5" outlineLevel="1">
      <c r="A410" s="551" t="str">
        <f t="shared" si="77"/>
        <v>1</v>
      </c>
      <c r="L410" s="281" t="s">
        <v>166</v>
      </c>
      <c r="M410" s="289" t="s">
        <v>460</v>
      </c>
      <c r="N410" s="288" t="s">
        <v>370</v>
      </c>
      <c r="O410" s="292"/>
      <c r="P410" s="293"/>
      <c r="Q410" s="293"/>
      <c r="R410" s="293"/>
      <c r="S410" s="293"/>
      <c r="T410" s="293"/>
      <c r="U410" s="293"/>
      <c r="V410" s="293"/>
      <c r="W410" s="293"/>
      <c r="X410" s="293"/>
      <c r="Y410" s="292"/>
      <c r="Z410" s="293"/>
      <c r="AA410" s="293"/>
      <c r="AB410" s="293"/>
      <c r="AC410" s="293"/>
      <c r="AD410" s="293"/>
      <c r="AE410" s="293"/>
      <c r="AF410" s="293"/>
      <c r="AG410" s="293"/>
      <c r="AH410" s="293"/>
      <c r="AI410" s="194"/>
    </row>
    <row r="411" spans="1:41" s="102" customFormat="1" ht="22.5" outlineLevel="1">
      <c r="A411" s="551" t="str">
        <f t="shared" si="77"/>
        <v>1</v>
      </c>
      <c r="L411" s="281" t="s">
        <v>378</v>
      </c>
      <c r="M411" s="289" t="s">
        <v>461</v>
      </c>
      <c r="N411" s="288" t="s">
        <v>370</v>
      </c>
      <c r="O411" s="292"/>
      <c r="P411" s="293"/>
      <c r="Q411" s="293"/>
      <c r="R411" s="293"/>
      <c r="S411" s="293"/>
      <c r="T411" s="293"/>
      <c r="U411" s="293"/>
      <c r="V411" s="293"/>
      <c r="W411" s="293"/>
      <c r="X411" s="293"/>
      <c r="Y411" s="292"/>
      <c r="Z411" s="293"/>
      <c r="AA411" s="293"/>
      <c r="AB411" s="293"/>
      <c r="AC411" s="293"/>
      <c r="AD411" s="293"/>
      <c r="AE411" s="293"/>
      <c r="AF411" s="293"/>
      <c r="AG411" s="293"/>
      <c r="AH411" s="293"/>
      <c r="AI411" s="194"/>
    </row>
    <row r="412" spans="1:41" s="102" customFormat="1" outlineLevel="1">
      <c r="A412" s="551" t="str">
        <f t="shared" si="77"/>
        <v>1</v>
      </c>
      <c r="L412" s="281" t="s">
        <v>102</v>
      </c>
      <c r="M412" s="287" t="s">
        <v>462</v>
      </c>
      <c r="N412" s="288" t="s">
        <v>145</v>
      </c>
      <c r="O412" s="376">
        <f>SUMIFS(Сценарии!$T$15:$T$35,Сценарии!$A$15:$A$35,$A412,Сценарии!$M$15:$M$35,"Индекс потребительских цен")</f>
        <v>4.7</v>
      </c>
      <c r="P412" s="376">
        <f>SUMIFS(Сценарии!$Y$15:$Y$35,Сценарии!$A$15:$A$35,$A412,Сценарии!$M$15:$M$35,"Индекс потребительских цен")</f>
        <v>0</v>
      </c>
      <c r="Q412" s="376">
        <f>SUMIFS(Сценарии!$AA$15:$AA$35,Сценарии!$A$15:$A$35,$A412,Сценарии!$M$15:$M$35,"Индекс потребительских цен")</f>
        <v>0</v>
      </c>
      <c r="R412" s="376">
        <f>SUMIFS(Сценарии!$AC$15:$AC$35,Сценарии!$A$15:$A$35,$A412,Сценарии!$M$15:$M$35,"Индекс потребительских цен")</f>
        <v>0</v>
      </c>
      <c r="S412" s="376">
        <f>SUMIFS(Сценарии!$AE$15:$AE$35,Сценарии!$A$15:$A$35,$A412,Сценарии!$M$15:$M$35,"Индекс потребительских цен")</f>
        <v>0</v>
      </c>
      <c r="T412" s="376">
        <f>SUMIFS(Сценарии!$AG$15:$AG$35,Сценарии!$A$15:$A$35,$A412,Сценарии!$M$15:$M$35,"Индекс потребительских цен")</f>
        <v>0</v>
      </c>
      <c r="U412" s="376">
        <f>SUMIFS(Сценарии!$AI$15:$AI$35,Сценарии!$A$15:$A$35,$A412,Сценарии!$M$15:$M$35,"Индекс потребительских цен")</f>
        <v>0</v>
      </c>
      <c r="V412" s="376">
        <f>SUMIFS(Сценарии!$AK$15:$AK$35,Сценарии!$A$15:$A$35,$A412,Сценарии!$M$15:$M$35,"Индекс потребительских цен")</f>
        <v>0</v>
      </c>
      <c r="W412" s="376">
        <f>SUMIFS(Сценарии!$AM$15:$AM$35,Сценарии!$A$15:$A$35,$A412,Сценарии!$M$15:$M$35,"Индекс потребительских цен")</f>
        <v>0</v>
      </c>
      <c r="X412" s="376">
        <f>SUMIFS(Сценарии!$AO$15:$AO$35,Сценарии!$A$15:$A$35,$A412,Сценарии!$M$15:$M$35,"Индекс потребительских цен")</f>
        <v>0</v>
      </c>
      <c r="Y412" s="376">
        <f>SUMIFS(Сценарии!$U$15:$U$35,Сценарии!$A$15:$A$35,$A412,Сценарии!$M$15:$M$35,"Индекс потребительских цен")</f>
        <v>7.2</v>
      </c>
      <c r="Z412" s="376">
        <f>SUMIFS(Сценарии!$Z$15:$Z$35,Сценарии!$A$15:$A$35,$A412,Сценарии!$M$15:$M$35,"Индекс потребительских цен")</f>
        <v>0</v>
      </c>
      <c r="AA412" s="376">
        <f>SUMIFS(Сценарии!$AB$15:$AB$35,Сценарии!$A$15:$A$35,$A412,Сценарии!$M$15:$M$35,"Индекс потребительских цен")</f>
        <v>0</v>
      </c>
      <c r="AB412" s="376">
        <f>SUMIFS(Сценарии!$AD$15:$AD$35,Сценарии!$A$15:$A$35,$A412,Сценарии!$M$15:$M$35,"Индекс потребительских цен")</f>
        <v>0</v>
      </c>
      <c r="AC412" s="376">
        <f>SUMIFS(Сценарии!$AF$15:$AF$35,Сценарии!$A$15:$A$35,$A412,Сценарии!$M$15:$M$35,"Индекс потребительских цен")</f>
        <v>0</v>
      </c>
      <c r="AD412" s="376">
        <f>SUMIFS(Сценарии!$AH$15:$AH$35,Сценарии!$A$15:$A$35,$A412,Сценарии!$M$15:$M$35,"Индекс потребительских цен")</f>
        <v>0</v>
      </c>
      <c r="AE412" s="376">
        <f>SUMIFS(Сценарии!$AJ$15:$AJ$35,Сценарии!$A$15:$A$35,$A412,Сценарии!$M$15:$M$35,"Индекс потребительских цен")</f>
        <v>0</v>
      </c>
      <c r="AF412" s="376">
        <f>SUMIFS(Сценарии!$AL$15:$AL$35,Сценарии!$A$15:$A$35,$A412,Сценарии!$M$15:$M$35,"Индекс потребительских цен")</f>
        <v>0</v>
      </c>
      <c r="AG412" s="376">
        <f>SUMIFS(Сценарии!$AN$15:$AN$35,Сценарии!$A$15:$A$35,$A412,Сценарии!$M$15:$M$35,"Индекс потребительских цен")</f>
        <v>0</v>
      </c>
      <c r="AH412" s="376">
        <f>SUMIFS(Сценарии!$AP$15:$AP$35,Сценарии!$A$15:$A$35,$A412,Сценарии!$M$15:$M$35,"Индекс потребительских цен")</f>
        <v>0</v>
      </c>
      <c r="AI412" s="194"/>
    </row>
    <row r="413" spans="1:41" s="102" customFormat="1" outlineLevel="1">
      <c r="A413" s="551" t="str">
        <f t="shared" si="77"/>
        <v>1</v>
      </c>
      <c r="L413" s="283">
        <v>3</v>
      </c>
      <c r="M413" s="287" t="s">
        <v>463</v>
      </c>
      <c r="N413" s="288" t="s">
        <v>145</v>
      </c>
      <c r="O413" s="478">
        <f>O412</f>
        <v>4.7</v>
      </c>
      <c r="P413" s="479">
        <f>O413*P412/100</f>
        <v>0</v>
      </c>
      <c r="Q413" s="479">
        <f t="shared" ref="Q413:AH413" si="79">P413*Q412/100</f>
        <v>0</v>
      </c>
      <c r="R413" s="479">
        <f t="shared" si="79"/>
        <v>0</v>
      </c>
      <c r="S413" s="479">
        <f t="shared" si="79"/>
        <v>0</v>
      </c>
      <c r="T413" s="479">
        <f t="shared" si="79"/>
        <v>0</v>
      </c>
      <c r="U413" s="479">
        <f t="shared" si="79"/>
        <v>0</v>
      </c>
      <c r="V413" s="479">
        <f t="shared" si="79"/>
        <v>0</v>
      </c>
      <c r="W413" s="479">
        <f t="shared" si="79"/>
        <v>0</v>
      </c>
      <c r="X413" s="479">
        <f t="shared" si="79"/>
        <v>0</v>
      </c>
      <c r="Y413" s="479">
        <f t="shared" si="79"/>
        <v>0</v>
      </c>
      <c r="Z413" s="479">
        <f t="shared" si="79"/>
        <v>0</v>
      </c>
      <c r="AA413" s="479">
        <f t="shared" si="79"/>
        <v>0</v>
      </c>
      <c r="AB413" s="479">
        <f t="shared" si="79"/>
        <v>0</v>
      </c>
      <c r="AC413" s="479">
        <f t="shared" si="79"/>
        <v>0</v>
      </c>
      <c r="AD413" s="479">
        <f t="shared" si="79"/>
        <v>0</v>
      </c>
      <c r="AE413" s="479">
        <f t="shared" si="79"/>
        <v>0</v>
      </c>
      <c r="AF413" s="479">
        <f t="shared" si="79"/>
        <v>0</v>
      </c>
      <c r="AG413" s="479">
        <f t="shared" si="79"/>
        <v>0</v>
      </c>
      <c r="AH413" s="479">
        <f t="shared" si="79"/>
        <v>0</v>
      </c>
      <c r="AI413" s="194"/>
    </row>
    <row r="414" spans="1:41" s="278" customFormat="1" outlineLevel="1">
      <c r="A414" s="551" t="str">
        <f t="shared" si="77"/>
        <v>1</v>
      </c>
      <c r="L414" s="294" t="s">
        <v>104</v>
      </c>
      <c r="M414" s="285" t="s">
        <v>464</v>
      </c>
      <c r="N414" s="286" t="s">
        <v>370</v>
      </c>
      <c r="O414" s="290">
        <f>O408*O413/100</f>
        <v>0</v>
      </c>
      <c r="P414" s="290">
        <f t="shared" ref="P414:AH414" si="80">P408*P413/100</f>
        <v>0</v>
      </c>
      <c r="Q414" s="290">
        <f t="shared" si="80"/>
        <v>0</v>
      </c>
      <c r="R414" s="290">
        <f t="shared" si="80"/>
        <v>0</v>
      </c>
      <c r="S414" s="290">
        <f t="shared" si="80"/>
        <v>0</v>
      </c>
      <c r="T414" s="290">
        <f t="shared" si="80"/>
        <v>0</v>
      </c>
      <c r="U414" s="290">
        <f t="shared" si="80"/>
        <v>0</v>
      </c>
      <c r="V414" s="290">
        <f t="shared" si="80"/>
        <v>0</v>
      </c>
      <c r="W414" s="290">
        <f t="shared" si="80"/>
        <v>0</v>
      </c>
      <c r="X414" s="290">
        <f t="shared" si="80"/>
        <v>0</v>
      </c>
      <c r="Y414" s="290">
        <f t="shared" si="80"/>
        <v>0</v>
      </c>
      <c r="Z414" s="290">
        <f t="shared" si="80"/>
        <v>0</v>
      </c>
      <c r="AA414" s="290">
        <f t="shared" si="80"/>
        <v>0</v>
      </c>
      <c r="AB414" s="290">
        <f t="shared" si="80"/>
        <v>0</v>
      </c>
      <c r="AC414" s="290">
        <f t="shared" si="80"/>
        <v>0</v>
      </c>
      <c r="AD414" s="290">
        <f t="shared" si="80"/>
        <v>0</v>
      </c>
      <c r="AE414" s="290">
        <f t="shared" si="80"/>
        <v>0</v>
      </c>
      <c r="AF414" s="290">
        <f t="shared" si="80"/>
        <v>0</v>
      </c>
      <c r="AG414" s="290">
        <f t="shared" si="80"/>
        <v>0</v>
      </c>
      <c r="AH414" s="290">
        <f t="shared" si="80"/>
        <v>0</v>
      </c>
      <c r="AI414" s="194"/>
    </row>
    <row r="416" spans="1:41" s="143" customFormat="1" ht="30" customHeight="1">
      <c r="A416" s="142" t="s">
        <v>1093</v>
      </c>
      <c r="M416" s="144"/>
      <c r="N416" s="144"/>
      <c r="O416" s="144"/>
      <c r="P416" s="144"/>
      <c r="AA416" s="145"/>
    </row>
    <row r="417" spans="1:27">
      <c r="A417" s="146" t="s">
        <v>1094</v>
      </c>
    </row>
    <row r="418" spans="1:27" s="82" customFormat="1" ht="15" customHeight="1">
      <c r="A418" s="183" t="s">
        <v>18</v>
      </c>
      <c r="L418" s="279" t="str">
        <f>INDEX('Общие сведения'!$J$113:$J$146,MATCH($A418,'Общие сведения'!$D$113:$D$146,0))</f>
        <v>Тариф 1 (Водоснабжение) - тариф на техническую воду (нет)</v>
      </c>
      <c r="M418" s="280"/>
      <c r="N418" s="280"/>
      <c r="O418" s="356">
        <f t="shared" ref="O418:V418" si="81">O419+O420</f>
        <v>0</v>
      </c>
      <c r="P418" s="356">
        <f t="shared" si="81"/>
        <v>0</v>
      </c>
      <c r="Q418" s="356">
        <f t="shared" si="81"/>
        <v>0</v>
      </c>
      <c r="R418" s="356">
        <f t="shared" si="81"/>
        <v>0</v>
      </c>
      <c r="S418" s="356">
        <f t="shared" si="81"/>
        <v>0</v>
      </c>
      <c r="T418" s="356">
        <f t="shared" si="81"/>
        <v>0</v>
      </c>
      <c r="U418" s="356">
        <f t="shared" si="81"/>
        <v>0</v>
      </c>
      <c r="V418" s="356">
        <f t="shared" si="81"/>
        <v>0</v>
      </c>
    </row>
    <row r="419" spans="1:27" s="102" customFormat="1" ht="33.950000000000003" customHeight="1" outlineLevel="1">
      <c r="A419" s="551" t="str">
        <f>A418</f>
        <v>1</v>
      </c>
      <c r="L419" s="281" t="s">
        <v>18</v>
      </c>
      <c r="M419" s="282" t="s">
        <v>1181</v>
      </c>
      <c r="N419" s="281" t="s">
        <v>370</v>
      </c>
      <c r="O419" s="292">
        <f>SUMIFS('ИП + источники'!$R$17:$R$65,'ИП + источники'!$A$17:$A$65,$A419,'ИП + источники'!$L$17:$L$65,"1.4.2")</f>
        <v>0</v>
      </c>
      <c r="P419" s="293"/>
      <c r="Q419" s="293"/>
      <c r="R419" s="293"/>
      <c r="S419" s="293"/>
      <c r="T419" s="293"/>
      <c r="U419" s="293"/>
      <c r="V419" s="293">
        <f>O419-P419-Q419-R419-S419-T419-U419</f>
        <v>0</v>
      </c>
    </row>
    <row r="420" spans="1:27" s="102" customFormat="1" ht="33.950000000000003" customHeight="1" outlineLevel="1">
      <c r="A420" s="551" t="str">
        <f>A419</f>
        <v>1</v>
      </c>
      <c r="L420" s="281" t="s">
        <v>102</v>
      </c>
      <c r="M420" s="282" t="s">
        <v>470</v>
      </c>
      <c r="N420" s="281" t="s">
        <v>370</v>
      </c>
      <c r="O420" s="292">
        <f>SUMIFS('ИП + источники'!$R$17:$R$65,'ИП + источники'!$A$17:$A$65,$A420,'ИП + источники'!$L$17:$L$65,"1.4.3")</f>
        <v>0</v>
      </c>
      <c r="P420" s="293"/>
      <c r="Q420" s="293"/>
      <c r="R420" s="293"/>
      <c r="S420" s="297"/>
      <c r="T420" s="297"/>
      <c r="U420" s="297"/>
      <c r="V420" s="293">
        <f>O420-P420-Q420-R420-S420-T420-U420</f>
        <v>0</v>
      </c>
    </row>
    <row r="422" spans="1:27" s="143" customFormat="1" ht="30" customHeight="1">
      <c r="A422" s="142" t="s">
        <v>1098</v>
      </c>
      <c r="M422" s="144"/>
      <c r="N422" s="144"/>
      <c r="O422" s="144"/>
      <c r="P422" s="144"/>
      <c r="AA422" s="145"/>
    </row>
    <row r="423" spans="1:27">
      <c r="A423" s="146" t="s">
        <v>1099</v>
      </c>
    </row>
    <row r="424" spans="1:27" s="102" customFormat="1" ht="15" customHeight="1">
      <c r="A424" s="183" t="s">
        <v>18</v>
      </c>
      <c r="L424" s="279" t="str">
        <f>INDEX('Общие сведения'!$J$113:$J$146,MATCH($A424,'Общие сведения'!$D$113:$D$146,0))</f>
        <v>Тариф 1 (Водоснабжение) - тариф на техническую воду (нет)</v>
      </c>
      <c r="M424" s="280"/>
      <c r="N424" s="280"/>
      <c r="O424" s="280"/>
      <c r="P424" s="280"/>
      <c r="Q424" s="280"/>
      <c r="R424" s="280"/>
    </row>
    <row r="425" spans="1:27" s="278" customFormat="1" ht="56.25" outlineLevel="1">
      <c r="A425" s="551" t="str">
        <f>A424</f>
        <v>1</v>
      </c>
      <c r="L425" s="104" t="s">
        <v>471</v>
      </c>
      <c r="M425" s="105" t="s">
        <v>472</v>
      </c>
      <c r="N425" s="104" t="s">
        <v>1095</v>
      </c>
      <c r="O425" s="315" t="s">
        <v>370</v>
      </c>
      <c r="P425" s="314">
        <f>P427-P426</f>
        <v>1937.74</v>
      </c>
      <c r="Q425" s="467">
        <f>Q427-Q426</f>
        <v>2430.12</v>
      </c>
      <c r="R425" s="472"/>
    </row>
    <row r="426" spans="1:27" s="278" customFormat="1" ht="14.25" outlineLevel="1">
      <c r="A426" s="551" t="str">
        <f t="shared" ref="A426:A457" si="82">A425</f>
        <v>1</v>
      </c>
      <c r="L426" s="306" t="s">
        <v>18</v>
      </c>
      <c r="M426" s="106" t="s">
        <v>473</v>
      </c>
      <c r="N426" s="108" t="s">
        <v>1096</v>
      </c>
      <c r="O426" s="313" t="s">
        <v>370</v>
      </c>
      <c r="P426" s="316"/>
      <c r="Q426" s="468"/>
      <c r="R426" s="472"/>
    </row>
    <row r="427" spans="1:27" s="278" customFormat="1" ht="22.5" outlineLevel="1">
      <c r="A427" s="551" t="str">
        <f t="shared" si="82"/>
        <v>1</v>
      </c>
      <c r="L427" s="306" t="s">
        <v>102</v>
      </c>
      <c r="M427" s="302" t="s">
        <v>474</v>
      </c>
      <c r="N427" s="108" t="s">
        <v>1097</v>
      </c>
      <c r="O427" s="313" t="s">
        <v>370</v>
      </c>
      <c r="P427" s="314">
        <f>P428+P429+P441+P445+P446+P447+P448-P449+P450+P451</f>
        <v>1937.74</v>
      </c>
      <c r="Q427" s="314">
        <f>Q428+Q429+Q441+Q445+Q446+Q447+Q448-Q449+Q450+Q451</f>
        <v>2430.12</v>
      </c>
      <c r="R427" s="472"/>
    </row>
    <row r="428" spans="1:27" s="102" customFormat="1" ht="22.5" outlineLevel="1">
      <c r="A428" s="551" t="str">
        <f t="shared" si="82"/>
        <v>1</v>
      </c>
      <c r="L428" s="307" t="s">
        <v>17</v>
      </c>
      <c r="M428" s="303" t="s">
        <v>475</v>
      </c>
      <c r="N428" s="103" t="s">
        <v>476</v>
      </c>
      <c r="O428" s="151" t="s">
        <v>370</v>
      </c>
      <c r="P428" s="301"/>
      <c r="Q428" s="469"/>
      <c r="R428" s="473"/>
    </row>
    <row r="429" spans="1:27" s="102" customFormat="1" ht="22.5" outlineLevel="1">
      <c r="A429" s="551" t="str">
        <f t="shared" si="82"/>
        <v>1</v>
      </c>
      <c r="L429" s="307" t="s">
        <v>146</v>
      </c>
      <c r="M429" s="303" t="s">
        <v>477</v>
      </c>
      <c r="N429" s="103" t="s">
        <v>478</v>
      </c>
      <c r="O429" s="151" t="s">
        <v>370</v>
      </c>
      <c r="P429" s="300">
        <f>SUM(P430:P440)</f>
        <v>1937.74</v>
      </c>
      <c r="Q429" s="470">
        <f>SUM(Q430:Q440)</f>
        <v>1613.49</v>
      </c>
      <c r="R429" s="473"/>
    </row>
    <row r="430" spans="1:27" s="102" customFormat="1" ht="33.75" outlineLevel="1">
      <c r="A430" s="551" t="str">
        <f t="shared" si="82"/>
        <v>1</v>
      </c>
      <c r="L430" s="589" t="s">
        <v>147</v>
      </c>
      <c r="M430" s="590" t="s">
        <v>479</v>
      </c>
      <c r="N430" s="591"/>
      <c r="O430" s="151" t="s">
        <v>370</v>
      </c>
      <c r="P430" s="301">
        <f>SUMIFS(Покупка!P$15:P$30,Покупка!$A$15:$A$30,$A430,Покупка!$B$15:$B$30,"Итого")</f>
        <v>0</v>
      </c>
      <c r="Q430" s="469">
        <f>SUMIFS(Покупка!Q$15:Q$30,Покупка!$A$15:$A$30,$A430,Покупка!$B$15:$B$30,"Итого")</f>
        <v>0</v>
      </c>
      <c r="R430" s="473"/>
    </row>
    <row r="431" spans="1:27" s="102" customFormat="1" outlineLevel="1">
      <c r="A431" s="551" t="str">
        <f t="shared" si="82"/>
        <v>1</v>
      </c>
      <c r="L431" s="589" t="s">
        <v>480</v>
      </c>
      <c r="M431" s="590" t="s">
        <v>481</v>
      </c>
      <c r="N431" s="591"/>
      <c r="O431" s="151" t="s">
        <v>370</v>
      </c>
      <c r="P431" s="301"/>
      <c r="Q431" s="469">
        <f>SUMIFS(Реагенты!Q$15:Q$19,Реагенты!$A$15:$A$19,$A431,Реагенты!$M$15:$M$19,"Всего по тарифу")</f>
        <v>0</v>
      </c>
      <c r="R431" s="473"/>
    </row>
    <row r="432" spans="1:27" s="102" customFormat="1" ht="22.5" outlineLevel="1">
      <c r="A432" s="551" t="str">
        <f t="shared" si="82"/>
        <v>1</v>
      </c>
      <c r="L432" s="589" t="s">
        <v>482</v>
      </c>
      <c r="M432" s="590" t="s">
        <v>483</v>
      </c>
      <c r="N432" s="591"/>
      <c r="O432" s="151" t="s">
        <v>370</v>
      </c>
      <c r="P432" s="301">
        <f>SUMIFS(Налоги!P$15:P$29,Налоги!$A$15:$A$29,$A432,Налоги!$L$15:$L$29,"0")</f>
        <v>1937.74</v>
      </c>
      <c r="Q432" s="469">
        <f>SUMIFS(Налоги!Q$15:Q$29,Налоги!$A$15:$A$29,$A432,Налоги!$L$15:$L$29,"0")</f>
        <v>1613.49</v>
      </c>
      <c r="R432" s="473"/>
    </row>
    <row r="433" spans="1:18" s="102" customFormat="1" ht="78.75" outlineLevel="1">
      <c r="A433" s="551" t="str">
        <f t="shared" si="82"/>
        <v>1</v>
      </c>
      <c r="B433" s="111" t="s">
        <v>1396</v>
      </c>
      <c r="L433" s="589" t="s">
        <v>484</v>
      </c>
      <c r="M433" s="590" t="s">
        <v>485</v>
      </c>
      <c r="N433" s="591"/>
      <c r="O433" s="151" t="s">
        <v>370</v>
      </c>
      <c r="P433" s="301"/>
      <c r="Q433" s="469">
        <f>SUMIFS(Калькуляция!Q$15:Q$139,Калькуляция!$A$15:$A$139,$A433,Калькуляция!$B$15:$B$139,$B433)</f>
        <v>0</v>
      </c>
      <c r="R433" s="473"/>
    </row>
    <row r="434" spans="1:18" s="102" customFormat="1" ht="22.5" outlineLevel="1">
      <c r="A434" s="551" t="str">
        <f t="shared" si="82"/>
        <v>1</v>
      </c>
      <c r="B434" s="111" t="s">
        <v>643</v>
      </c>
      <c r="L434" s="592" t="s">
        <v>486</v>
      </c>
      <c r="M434" s="593" t="s">
        <v>487</v>
      </c>
      <c r="N434" s="151"/>
      <c r="O434" s="151" t="s">
        <v>370</v>
      </c>
      <c r="P434" s="301"/>
      <c r="Q434" s="469">
        <f>SUMIFS(Калькуляция!Q$15:Q$139,Калькуляция!$A$15:$A$139,$A434,Калькуляция!$B$15:$B$139,$B434)</f>
        <v>0</v>
      </c>
      <c r="R434" s="473"/>
    </row>
    <row r="435" spans="1:18" s="102" customFormat="1" ht="22.5" outlineLevel="1">
      <c r="A435" s="551" t="str">
        <f t="shared" si="82"/>
        <v>1</v>
      </c>
      <c r="B435" s="111" t="s">
        <v>646</v>
      </c>
      <c r="L435" s="308" t="s">
        <v>488</v>
      </c>
      <c r="M435" s="304" t="s">
        <v>1193</v>
      </c>
      <c r="N435" s="151"/>
      <c r="O435" s="151" t="s">
        <v>370</v>
      </c>
      <c r="P435" s="301"/>
      <c r="Q435" s="469">
        <f>SUMIFS(Калькуляция!Q$15:Q$139,Калькуляция!$A$15:$A$139,$A435,Калькуляция!$B$15:$B$139,$B435)</f>
        <v>0</v>
      </c>
      <c r="R435" s="473"/>
    </row>
    <row r="436" spans="1:18" s="102" customFormat="1" ht="22.5" outlineLevel="1">
      <c r="A436" s="551" t="str">
        <f t="shared" si="82"/>
        <v>1</v>
      </c>
      <c r="B436" s="111" t="s">
        <v>647</v>
      </c>
      <c r="L436" s="308" t="s">
        <v>489</v>
      </c>
      <c r="M436" s="304" t="s">
        <v>1194</v>
      </c>
      <c r="N436" s="151"/>
      <c r="O436" s="151" t="s">
        <v>370</v>
      </c>
      <c r="P436" s="301"/>
      <c r="Q436" s="469">
        <f>SUMIFS(Калькуляция!Q$15:Q$139,Калькуляция!$A$15:$A$139,$A436,Калькуляция!$B$15:$B$139,$B436)</f>
        <v>0</v>
      </c>
      <c r="R436" s="473"/>
    </row>
    <row r="437" spans="1:18" s="102" customFormat="1" ht="22.5" outlineLevel="1">
      <c r="A437" s="551" t="str">
        <f t="shared" si="82"/>
        <v>1</v>
      </c>
      <c r="B437" s="111" t="s">
        <v>648</v>
      </c>
      <c r="L437" s="308" t="s">
        <v>490</v>
      </c>
      <c r="M437" s="304" t="s">
        <v>491</v>
      </c>
      <c r="N437" s="107"/>
      <c r="O437" s="151" t="s">
        <v>370</v>
      </c>
      <c r="P437" s="301"/>
      <c r="Q437" s="469">
        <f>SUMIFS(Калькуляция!Q$15:Q$139,Калькуляция!$A$15:$A$139,$A437,Калькуляция!$B$15:$B$139,$B437)</f>
        <v>0</v>
      </c>
      <c r="R437" s="473"/>
    </row>
    <row r="438" spans="1:18" s="102" customFormat="1" ht="22.5" outlineLevel="1">
      <c r="A438" s="551" t="str">
        <f t="shared" si="82"/>
        <v>1</v>
      </c>
      <c r="B438" s="111" t="s">
        <v>649</v>
      </c>
      <c r="L438" s="308" t="s">
        <v>492</v>
      </c>
      <c r="M438" s="304" t="s">
        <v>493</v>
      </c>
      <c r="N438" s="107"/>
      <c r="O438" s="151" t="s">
        <v>370</v>
      </c>
      <c r="P438" s="301"/>
      <c r="Q438" s="469">
        <f>SUMIFS(Калькуляция!Q$15:Q$139,Калькуляция!$A$15:$A$139,$A438,Калькуляция!$B$15:$B$139,$B438)</f>
        <v>0</v>
      </c>
      <c r="R438" s="473"/>
    </row>
    <row r="439" spans="1:18" s="102" customFormat="1" outlineLevel="1">
      <c r="A439" s="551" t="str">
        <f t="shared" si="82"/>
        <v>1</v>
      </c>
      <c r="B439" s="111" t="s">
        <v>651</v>
      </c>
      <c r="L439" s="308" t="s">
        <v>494</v>
      </c>
      <c r="M439" s="304" t="s">
        <v>495</v>
      </c>
      <c r="N439" s="107"/>
      <c r="O439" s="151" t="s">
        <v>370</v>
      </c>
      <c r="P439" s="301"/>
      <c r="Q439" s="469">
        <f>SUMIFS(Калькуляция!Q$15:Q$139,Калькуляция!$A$15:$A$139,$A439,Калькуляция!$B$15:$B$139,$B439)</f>
        <v>0</v>
      </c>
      <c r="R439" s="473"/>
    </row>
    <row r="440" spans="1:18" s="102" customFormat="1" ht="33.75" outlineLevel="1">
      <c r="A440" s="551" t="str">
        <f t="shared" si="82"/>
        <v>1</v>
      </c>
      <c r="B440" s="111" t="s">
        <v>1397</v>
      </c>
      <c r="L440" s="308" t="s">
        <v>496</v>
      </c>
      <c r="M440" s="304" t="s">
        <v>497</v>
      </c>
      <c r="N440" s="107"/>
      <c r="O440" s="151" t="s">
        <v>370</v>
      </c>
      <c r="P440" s="301"/>
      <c r="Q440" s="469">
        <f>SUMIFS(Калькуляция!Q$15:Q$139,Калькуляция!$A$15:$A$139,$A440,Калькуляция!$B$15:$B$139,$B440)</f>
        <v>0</v>
      </c>
      <c r="R440" s="473"/>
    </row>
    <row r="441" spans="1:18" s="102" customFormat="1" ht="14.25" outlineLevel="1">
      <c r="A441" s="551" t="str">
        <f t="shared" si="82"/>
        <v>1</v>
      </c>
      <c r="L441" s="307" t="s">
        <v>167</v>
      </c>
      <c r="M441" s="309" t="s">
        <v>498</v>
      </c>
      <c r="N441" s="103" t="s">
        <v>499</v>
      </c>
      <c r="O441" s="151" t="s">
        <v>370</v>
      </c>
      <c r="P441" s="300">
        <f>P442*P443*P444</f>
        <v>0</v>
      </c>
      <c r="Q441" s="470">
        <f>Q442*Q443*Q444</f>
        <v>0</v>
      </c>
      <c r="R441" s="473"/>
    </row>
    <row r="442" spans="1:18" s="102" customFormat="1" ht="22.5" outlineLevel="1">
      <c r="A442" s="551" t="str">
        <f t="shared" si="82"/>
        <v>1</v>
      </c>
      <c r="L442" s="307" t="s">
        <v>168</v>
      </c>
      <c r="M442" s="310" t="s">
        <v>500</v>
      </c>
      <c r="N442" s="103" t="s">
        <v>501</v>
      </c>
      <c r="O442" s="151" t="s">
        <v>502</v>
      </c>
      <c r="P442" s="301"/>
      <c r="Q442" s="469">
        <f>SUMIFS(ЭЭ!O$15:O$27,ЭЭ!$A$15:$A$27,$A442,ЭЭ!$M$15:$M$27,"Удельный расход электроэнергии")</f>
        <v>0</v>
      </c>
      <c r="R442" s="473"/>
    </row>
    <row r="443" spans="1:18" s="102" customFormat="1" ht="22.5" outlineLevel="1">
      <c r="A443" s="551" t="str">
        <f t="shared" si="82"/>
        <v>1</v>
      </c>
      <c r="L443" s="307" t="s">
        <v>628</v>
      </c>
      <c r="M443" s="310" t="s">
        <v>1182</v>
      </c>
      <c r="N443" s="103" t="s">
        <v>503</v>
      </c>
      <c r="O443" s="151" t="s">
        <v>504</v>
      </c>
      <c r="P443" s="301"/>
      <c r="Q443" s="469">
        <f>SUMIFS(ЭЭ!Q$15:Q$27,ЭЭ!$A$15:$A$27,$A443,ЭЭ!$M$15:$M$27,"Объём воды/сточных вод")</f>
        <v>2139.91</v>
      </c>
      <c r="R443" s="473"/>
    </row>
    <row r="444" spans="1:18" s="102" customFormat="1" ht="22.5" outlineLevel="1">
      <c r="A444" s="551" t="str">
        <f t="shared" si="82"/>
        <v>1</v>
      </c>
      <c r="L444" s="307" t="s">
        <v>630</v>
      </c>
      <c r="M444" s="310" t="s">
        <v>1122</v>
      </c>
      <c r="N444" s="103" t="s">
        <v>505</v>
      </c>
      <c r="O444" s="151" t="s">
        <v>506</v>
      </c>
      <c r="P444" s="301"/>
      <c r="Q444" s="469">
        <f>SUMIFS(ЭЭ!Q$15:Q$27,ЭЭ!$A$15:$A$27,$A444,ЭЭ!$M$15:$M$27,"Средний (расчетный) тариф")</f>
        <v>3.3899299033307373</v>
      </c>
      <c r="R444" s="473"/>
    </row>
    <row r="445" spans="1:18" s="102" customFormat="1" ht="22.5" outlineLevel="1">
      <c r="A445" s="551" t="str">
        <f t="shared" si="82"/>
        <v>1</v>
      </c>
      <c r="B445" s="102" t="s">
        <v>1106</v>
      </c>
      <c r="L445" s="307" t="s">
        <v>169</v>
      </c>
      <c r="M445" s="303" t="s">
        <v>507</v>
      </c>
      <c r="N445" s="103" t="s">
        <v>508</v>
      </c>
      <c r="O445" s="151" t="s">
        <v>370</v>
      </c>
      <c r="P445" s="301"/>
      <c r="Q445" s="469">
        <f>SUMIFS(Калькуляция!Q$15:Q$139,Калькуляция!$A$15:$A$139,$A445,Калькуляция!$B$15:$B$139,$B445)</f>
        <v>240.9</v>
      </c>
      <c r="R445" s="473"/>
    </row>
    <row r="446" spans="1:18" s="102" customFormat="1" ht="14.25" outlineLevel="1">
      <c r="A446" s="551" t="str">
        <f t="shared" si="82"/>
        <v>1</v>
      </c>
      <c r="L446" s="307" t="s">
        <v>385</v>
      </c>
      <c r="M446" s="311" t="s">
        <v>509</v>
      </c>
      <c r="N446" s="103" t="s">
        <v>510</v>
      </c>
      <c r="O446" s="151" t="s">
        <v>370</v>
      </c>
      <c r="P446" s="301"/>
      <c r="Q446" s="469">
        <f>SUMIFS(Калькуляция!O$15:O$139,Калькуляция!$A$15:$A$139,$A446,Калькуляция!$B$15:$B$139,"Нормативная прибыль")-SUMIFS(Калькуляция!O$15:O$139,Калькуляция!$A$15:$A$139,$A446,Калькуляция!$B$15:$B$139,"иные экономически обоснованные расходы на социальные нужды")+SUMIFS(Калькуляция!Q$15:Q$139,Калькуляция!$A$15:$A$139,$A446,Калькуляция!$B$15:$B$139,"иные экономически обоснованные расходы на социальные нужды")</f>
        <v>575.73</v>
      </c>
      <c r="R446" s="473"/>
    </row>
    <row r="447" spans="1:18" s="102" customFormat="1" ht="22.5" outlineLevel="1">
      <c r="A447" s="551" t="str">
        <f t="shared" si="82"/>
        <v>1</v>
      </c>
      <c r="B447" s="111" t="s">
        <v>665</v>
      </c>
      <c r="L447" s="307" t="s">
        <v>511</v>
      </c>
      <c r="M447" s="303" t="s">
        <v>1195</v>
      </c>
      <c r="N447" s="103" t="s">
        <v>512</v>
      </c>
      <c r="O447" s="151" t="s">
        <v>370</v>
      </c>
      <c r="P447" s="301"/>
      <c r="Q447" s="469">
        <f>SUMIFS(Калькуляция!Q$15:Q$139,Калькуляция!$A$15:$A$139,$A447,Калькуляция!$B$15:$B$139,$B447)</f>
        <v>0</v>
      </c>
      <c r="R447" s="473"/>
    </row>
    <row r="448" spans="1:18" s="102" customFormat="1" ht="33.75" outlineLevel="1">
      <c r="A448" s="551" t="str">
        <f t="shared" si="82"/>
        <v>1</v>
      </c>
      <c r="L448" s="307" t="s">
        <v>513</v>
      </c>
      <c r="M448" s="309" t="s">
        <v>514</v>
      </c>
      <c r="N448" s="103" t="s">
        <v>515</v>
      </c>
      <c r="O448" s="151" t="s">
        <v>370</v>
      </c>
      <c r="P448" s="301"/>
      <c r="Q448" s="469"/>
      <c r="R448" s="473"/>
    </row>
    <row r="449" spans="1:53" s="102" customFormat="1" ht="22.5" outlineLevel="1">
      <c r="A449" s="551" t="str">
        <f t="shared" si="82"/>
        <v>1</v>
      </c>
      <c r="L449" s="307" t="s">
        <v>516</v>
      </c>
      <c r="M449" s="309" t="s">
        <v>517</v>
      </c>
      <c r="N449" s="103" t="s">
        <v>518</v>
      </c>
      <c r="O449" s="151" t="s">
        <v>370</v>
      </c>
      <c r="P449" s="301"/>
      <c r="Q449" s="469"/>
      <c r="R449" s="473"/>
    </row>
    <row r="450" spans="1:53" s="102" customFormat="1" ht="22.5" outlineLevel="1">
      <c r="A450" s="551" t="str">
        <f t="shared" si="82"/>
        <v>1</v>
      </c>
      <c r="L450" s="307" t="s">
        <v>519</v>
      </c>
      <c r="M450" s="309" t="s">
        <v>1247</v>
      </c>
      <c r="N450" s="151" t="s">
        <v>1248</v>
      </c>
      <c r="O450" s="151" t="s">
        <v>370</v>
      </c>
      <c r="P450" s="301"/>
      <c r="Q450" s="469"/>
      <c r="R450" s="473"/>
    </row>
    <row r="451" spans="1:53" s="102" customFormat="1" ht="56.25" outlineLevel="1">
      <c r="A451" s="551" t="str">
        <f t="shared" si="82"/>
        <v>1</v>
      </c>
      <c r="L451" s="307" t="s">
        <v>650</v>
      </c>
      <c r="M451" s="309" t="s">
        <v>1250</v>
      </c>
      <c r="N451" s="151" t="s">
        <v>1249</v>
      </c>
      <c r="O451" s="151" t="s">
        <v>370</v>
      </c>
      <c r="P451" s="301"/>
      <c r="Q451" s="469"/>
      <c r="R451" s="473"/>
    </row>
    <row r="452" spans="1:53" s="278" customFormat="1" ht="33.75" outlineLevel="1">
      <c r="A452" s="551" t="str">
        <f t="shared" si="82"/>
        <v>1</v>
      </c>
      <c r="L452" s="108" t="s">
        <v>520</v>
      </c>
      <c r="M452" s="302" t="s">
        <v>521</v>
      </c>
      <c r="N452" s="108" t="s">
        <v>1095</v>
      </c>
      <c r="O452" s="313" t="s">
        <v>370</v>
      </c>
      <c r="P452" s="314">
        <f>P453</f>
        <v>0</v>
      </c>
      <c r="Q452" s="467">
        <f>Q453</f>
        <v>0</v>
      </c>
      <c r="R452" s="472"/>
    </row>
    <row r="453" spans="1:53" s="102" customFormat="1" ht="33.75" outlineLevel="1">
      <c r="A453" s="551" t="str">
        <f t="shared" si="82"/>
        <v>1</v>
      </c>
      <c r="L453" s="307" t="s">
        <v>18</v>
      </c>
      <c r="M453" s="312" t="s">
        <v>522</v>
      </c>
      <c r="N453" s="103" t="s">
        <v>523</v>
      </c>
      <c r="O453" s="151" t="s">
        <v>370</v>
      </c>
      <c r="P453" s="300">
        <f>P454+P455</f>
        <v>0</v>
      </c>
      <c r="Q453" s="470">
        <f>Q454+Q455</f>
        <v>0</v>
      </c>
      <c r="R453" s="473"/>
    </row>
    <row r="454" spans="1:53" s="102" customFormat="1" ht="56.25" outlineLevel="1">
      <c r="A454" s="551" t="str">
        <f t="shared" si="82"/>
        <v>1</v>
      </c>
      <c r="L454" s="307" t="s">
        <v>165</v>
      </c>
      <c r="M454" s="309" t="s">
        <v>524</v>
      </c>
      <c r="N454" s="103" t="s">
        <v>525</v>
      </c>
      <c r="O454" s="151" t="s">
        <v>370</v>
      </c>
      <c r="P454" s="301"/>
      <c r="Q454" s="469"/>
      <c r="R454" s="473"/>
    </row>
    <row r="455" spans="1:53" s="102" customFormat="1" ht="45" outlineLevel="1">
      <c r="A455" s="551" t="str">
        <f t="shared" si="82"/>
        <v>1</v>
      </c>
      <c r="L455" s="307" t="s">
        <v>166</v>
      </c>
      <c r="M455" s="309" t="s">
        <v>526</v>
      </c>
      <c r="N455" s="103" t="s">
        <v>527</v>
      </c>
      <c r="O455" s="151" t="s">
        <v>370</v>
      </c>
      <c r="P455" s="301"/>
      <c r="Q455" s="469"/>
      <c r="R455" s="473"/>
    </row>
    <row r="456" spans="1:53" s="102" customFormat="1" ht="33.75" outlineLevel="1">
      <c r="A456" s="551" t="str">
        <f t="shared" si="82"/>
        <v>1</v>
      </c>
      <c r="L456" s="313" t="s">
        <v>1159</v>
      </c>
      <c r="M456" s="302" t="s">
        <v>1227</v>
      </c>
      <c r="N456" s="108" t="s">
        <v>1161</v>
      </c>
      <c r="O456" s="313" t="s">
        <v>370</v>
      </c>
      <c r="P456" s="375"/>
      <c r="Q456" s="471"/>
      <c r="R456" s="473"/>
    </row>
    <row r="457" spans="1:53" s="102" customFormat="1" ht="157.5" outlineLevel="1">
      <c r="A457" s="551" t="str">
        <f t="shared" si="82"/>
        <v>1</v>
      </c>
      <c r="L457" s="313" t="s">
        <v>1160</v>
      </c>
      <c r="M457" s="302" t="s">
        <v>528</v>
      </c>
      <c r="N457" s="108" t="s">
        <v>1162</v>
      </c>
      <c r="O457" s="313" t="s">
        <v>370</v>
      </c>
      <c r="P457" s="375"/>
      <c r="Q457" s="471"/>
      <c r="R457" s="473"/>
    </row>
    <row r="459" spans="1:53" s="143" customFormat="1" ht="30" customHeight="1">
      <c r="A459" s="142" t="s">
        <v>1100</v>
      </c>
      <c r="M459" s="144"/>
      <c r="N459" s="144"/>
      <c r="O459" s="144"/>
      <c r="P459" s="144"/>
      <c r="AA459" s="145"/>
    </row>
    <row r="460" spans="1:53">
      <c r="A460" s="146" t="s">
        <v>1101</v>
      </c>
    </row>
    <row r="461" spans="1:53" s="82" customFormat="1">
      <c r="A461" s="183" t="s">
        <v>18</v>
      </c>
      <c r="B461" s="322" t="str">
        <f>INDEX('Общие сведения'!$N$113:$N$146,MATCH($A461,'Общие сведения'!$D$113:$D$146,0))</f>
        <v>одноставочный</v>
      </c>
      <c r="L461" s="318" t="str">
        <f>INDEX('Общие сведения'!$J$113:$J$146,MATCH($A461,'Общие сведения'!$D$113:$D$146,0))</f>
        <v>Тариф 1 (Водоснабжение) - тариф на техническую воду (нет)</v>
      </c>
      <c r="M461" s="319"/>
      <c r="N461" s="319"/>
      <c r="O461" s="319"/>
      <c r="P461" s="319"/>
      <c r="Q461" s="319"/>
      <c r="R461" s="319"/>
      <c r="S461" s="319"/>
      <c r="T461" s="319"/>
      <c r="U461" s="319"/>
      <c r="V461" s="319"/>
      <c r="W461" s="319"/>
      <c r="X461" s="319"/>
      <c r="Y461" s="319"/>
      <c r="Z461" s="319"/>
      <c r="AA461" s="319"/>
      <c r="AB461" s="319"/>
      <c r="AC461" s="319"/>
      <c r="AD461" s="319"/>
      <c r="AE461" s="319"/>
      <c r="AF461" s="319"/>
      <c r="AG461" s="319"/>
      <c r="AH461" s="319"/>
      <c r="AI461" s="319"/>
      <c r="AJ461" s="319"/>
      <c r="AK461" s="319"/>
      <c r="AL461" s="319"/>
      <c r="AM461" s="319"/>
      <c r="AN461" s="319"/>
      <c r="AO461" s="319"/>
      <c r="AP461" s="319"/>
      <c r="AQ461" s="319"/>
      <c r="AR461" s="319"/>
      <c r="AS461" s="319"/>
      <c r="AT461" s="319"/>
      <c r="AU461" s="319"/>
      <c r="AV461" s="319"/>
      <c r="AW461" s="319"/>
      <c r="AX461" s="319"/>
      <c r="AY461" s="319"/>
      <c r="AZ461" s="319"/>
    </row>
    <row r="462" spans="1:53" s="114" customFormat="1" outlineLevel="1">
      <c r="A462" s="551" t="str">
        <f t="shared" ref="A462:A513" si="83">A461</f>
        <v>1</v>
      </c>
      <c r="L462" s="407" t="s">
        <v>18</v>
      </c>
      <c r="M462" s="408" t="s">
        <v>531</v>
      </c>
      <c r="N462" s="409" t="s">
        <v>370</v>
      </c>
      <c r="O462" s="434" t="e">
        <f>SUM(O464,O481,O487,O507,O508,O509)</f>
        <v>#N/A</v>
      </c>
      <c r="P462" s="410" t="e">
        <f>SUM(P464,P481,P487,P507,P508,P509)</f>
        <v>#N/A</v>
      </c>
      <c r="Q462" s="410" t="e">
        <f>SUM(Q464,Q481,Q487,Q507,Q508,Q509)</f>
        <v>#N/A</v>
      </c>
      <c r="R462" s="410" t="e">
        <f t="shared" ref="R462:R507" si="84">Q462-P462</f>
        <v>#N/A</v>
      </c>
      <c r="S462" s="438" t="e">
        <f>O462*S463</f>
        <v>#N/A</v>
      </c>
      <c r="T462" s="438" t="e">
        <f>S462*T463</f>
        <v>#N/A</v>
      </c>
      <c r="U462" s="438" t="e">
        <f t="shared" ref="U462:AM462" si="85">T462*U463</f>
        <v>#N/A</v>
      </c>
      <c r="V462" s="438" t="e">
        <f t="shared" si="85"/>
        <v>#N/A</v>
      </c>
      <c r="W462" s="438" t="e">
        <f t="shared" si="85"/>
        <v>#N/A</v>
      </c>
      <c r="X462" s="438" t="e">
        <f t="shared" si="85"/>
        <v>#N/A</v>
      </c>
      <c r="Y462" s="438" t="e">
        <f t="shared" si="85"/>
        <v>#N/A</v>
      </c>
      <c r="Z462" s="438" t="e">
        <f t="shared" si="85"/>
        <v>#N/A</v>
      </c>
      <c r="AA462" s="438" t="e">
        <f t="shared" si="85"/>
        <v>#N/A</v>
      </c>
      <c r="AB462" s="438" t="e">
        <f t="shared" si="85"/>
        <v>#N/A</v>
      </c>
      <c r="AC462" s="438" t="e">
        <f t="shared" si="85"/>
        <v>#N/A</v>
      </c>
      <c r="AD462" s="438" t="e">
        <f>S462*AD463</f>
        <v>#N/A</v>
      </c>
      <c r="AE462" s="438" t="e">
        <f t="shared" si="85"/>
        <v>#N/A</v>
      </c>
      <c r="AF462" s="438" t="e">
        <f t="shared" si="85"/>
        <v>#N/A</v>
      </c>
      <c r="AG462" s="438" t="e">
        <f t="shared" si="85"/>
        <v>#N/A</v>
      </c>
      <c r="AH462" s="438" t="e">
        <f t="shared" si="85"/>
        <v>#N/A</v>
      </c>
      <c r="AI462" s="438" t="e">
        <f t="shared" si="85"/>
        <v>#N/A</v>
      </c>
      <c r="AJ462" s="438" t="e">
        <f t="shared" si="85"/>
        <v>#N/A</v>
      </c>
      <c r="AK462" s="438" t="e">
        <f t="shared" si="85"/>
        <v>#N/A</v>
      </c>
      <c r="AL462" s="438" t="e">
        <f t="shared" si="85"/>
        <v>#N/A</v>
      </c>
      <c r="AM462" s="438" t="e">
        <f t="shared" si="85"/>
        <v>#N/A</v>
      </c>
      <c r="AN462" s="410" t="e">
        <f>IF(S462=0,0,(AD462-S462)/S462*100)</f>
        <v>#N/A</v>
      </c>
      <c r="AO462" s="410" t="e">
        <f t="shared" ref="AO462:AW462" si="86">IF(AD462=0,0,(AE462-AD462)/AD462*100)</f>
        <v>#N/A</v>
      </c>
      <c r="AP462" s="410" t="e">
        <f t="shared" si="86"/>
        <v>#N/A</v>
      </c>
      <c r="AQ462" s="410" t="e">
        <f t="shared" si="86"/>
        <v>#N/A</v>
      </c>
      <c r="AR462" s="410" t="e">
        <f t="shared" si="86"/>
        <v>#N/A</v>
      </c>
      <c r="AS462" s="410" t="e">
        <f t="shared" si="86"/>
        <v>#N/A</v>
      </c>
      <c r="AT462" s="410" t="e">
        <f t="shared" si="86"/>
        <v>#N/A</v>
      </c>
      <c r="AU462" s="410" t="e">
        <f t="shared" si="86"/>
        <v>#N/A</v>
      </c>
      <c r="AV462" s="410" t="e">
        <f t="shared" si="86"/>
        <v>#N/A</v>
      </c>
      <c r="AW462" s="410" t="e">
        <f t="shared" si="86"/>
        <v>#N/A</v>
      </c>
      <c r="AX462" s="194"/>
      <c r="AY462" s="194"/>
      <c r="AZ462" s="194"/>
      <c r="BA462" s="113"/>
    </row>
    <row r="463" spans="1:53" s="111" customFormat="1" outlineLevel="1">
      <c r="A463" s="551" t="str">
        <f t="shared" si="83"/>
        <v>1</v>
      </c>
      <c r="L463" s="412" t="s">
        <v>165</v>
      </c>
      <c r="M463" s="413" t="s">
        <v>532</v>
      </c>
      <c r="N463" s="414"/>
      <c r="O463" s="463"/>
      <c r="P463" s="463"/>
      <c r="Q463" s="463"/>
      <c r="R463" s="464">
        <f t="shared" si="84"/>
        <v>0</v>
      </c>
      <c r="S463" s="463" t="e">
        <f>SUMIFS(INDEX(Сценарии!$O$15:$AP$35,,MATCH(S$3,Сценарии!$O$3:$AP$3,0)),Сценарии!$A$15:$A$35,$A463,Сценарии!$B$15:$B$35,"ИОР")</f>
        <v>#N/A</v>
      </c>
      <c r="T463" s="463" t="e">
        <f>SUMIFS(INDEX(Сценарии!$O$15:$AP$35,,MATCH(T$3,Сценарии!$O$3:$AP$3,0)),Сценарии!$A$15:$A$35,$A463,Сценарии!$B$15:$B$35,"ИОР")</f>
        <v>#N/A</v>
      </c>
      <c r="U463" s="463" t="e">
        <f>SUMIFS(INDEX(Сценарии!$O$15:$AP$35,,MATCH(U$3,Сценарии!$O$3:$AP$3,0)),Сценарии!$A$15:$A$35,$A463,Сценарии!$B$15:$B$35,"ИОР")</f>
        <v>#N/A</v>
      </c>
      <c r="V463" s="463" t="e">
        <f>SUMIFS(INDEX(Сценарии!$O$15:$AP$35,,MATCH(V$3,Сценарии!$O$3:$AP$3,0)),Сценарии!$A$15:$A$35,$A463,Сценарии!$B$15:$B$35,"ИОР")</f>
        <v>#N/A</v>
      </c>
      <c r="W463" s="463" t="e">
        <f>SUMIFS(INDEX(Сценарии!$O$15:$AP$35,,MATCH(W$3,Сценарии!$O$3:$AP$3,0)),Сценарии!$A$15:$A$35,$A463,Сценарии!$B$15:$B$35,"ИОР")</f>
        <v>#N/A</v>
      </c>
      <c r="X463" s="463" t="e">
        <f>SUMIFS(INDEX(Сценарии!$O$15:$AP$35,,MATCH(X$3,Сценарии!$O$3:$AP$3,0)),Сценарии!$A$15:$A$35,$A463,Сценарии!$B$15:$B$35,"ИОР")</f>
        <v>#N/A</v>
      </c>
      <c r="Y463" s="463" t="e">
        <f>SUMIFS(INDEX(Сценарии!$O$15:$AP$35,,MATCH(Y$3,Сценарии!$O$3:$AP$3,0)),Сценарии!$A$15:$A$35,$A463,Сценарии!$B$15:$B$35,"ИОР")</f>
        <v>#N/A</v>
      </c>
      <c r="Z463" s="463" t="e">
        <f>SUMIFS(INDEX(Сценарии!$O$15:$AP$35,,MATCH(Z$3,Сценарии!$O$3:$AP$3,0)),Сценарии!$A$15:$A$35,$A463,Сценарии!$B$15:$B$35,"ИОР")</f>
        <v>#N/A</v>
      </c>
      <c r="AA463" s="463" t="e">
        <f>SUMIFS(INDEX(Сценарии!$O$15:$AP$35,,MATCH(AA$3,Сценарии!$O$3:$AP$3,0)),Сценарии!$A$15:$A$35,$A463,Сценарии!$B$15:$B$35,"ИОР")</f>
        <v>#N/A</v>
      </c>
      <c r="AB463" s="463" t="e">
        <f>SUMIFS(INDEX(Сценарии!$O$15:$AP$35,,MATCH(AB$3,Сценарии!$O$3:$AP$3,0)),Сценарии!$A$15:$A$35,$A463,Сценарии!$B$15:$B$35,"ИОР")</f>
        <v>#N/A</v>
      </c>
      <c r="AC463" s="463" t="e">
        <f>SUMIFS(INDEX(Сценарии!$O$15:$AP$35,,MATCH(AC$3,Сценарии!$O$3:$AP$3,0)),Сценарии!$A$15:$A$35,$A463,Сценарии!$B$15:$B$35,"ИОР")</f>
        <v>#N/A</v>
      </c>
      <c r="AD463" s="463" t="e">
        <f>SUMIFS(INDEX(Сценарии!$O$15:$AP$35,,MATCH(AD$3,Сценарии!$O$3:$AP$3,0)),Сценарии!$A$15:$A$35,$A463,Сценарии!$B$15:$B$35,"ИОР")</f>
        <v>#N/A</v>
      </c>
      <c r="AE463" s="463" t="e">
        <f>SUMIFS(INDEX(Сценарии!$O$15:$AP$35,,MATCH(AE$3,Сценарии!$O$3:$AP$3,0)),Сценарии!$A$15:$A$35,$A463,Сценарии!$B$15:$B$35,"ИОР")</f>
        <v>#N/A</v>
      </c>
      <c r="AF463" s="463" t="e">
        <f>SUMIFS(INDEX(Сценарии!$O$15:$AP$35,,MATCH(AF$3,Сценарии!$O$3:$AP$3,0)),Сценарии!$A$15:$A$35,$A463,Сценарии!$B$15:$B$35,"ИОР")</f>
        <v>#N/A</v>
      </c>
      <c r="AG463" s="463" t="e">
        <f>SUMIFS(INDEX(Сценарии!$O$15:$AP$35,,MATCH(AG$3,Сценарии!$O$3:$AP$3,0)),Сценарии!$A$15:$A$35,$A463,Сценарии!$B$15:$B$35,"ИОР")</f>
        <v>#N/A</v>
      </c>
      <c r="AH463" s="463" t="e">
        <f>SUMIFS(INDEX(Сценарии!$O$15:$AP$35,,MATCH(AH$3,Сценарии!$O$3:$AP$3,0)),Сценарии!$A$15:$A$35,$A463,Сценарии!$B$15:$B$35,"ИОР")</f>
        <v>#N/A</v>
      </c>
      <c r="AI463" s="463" t="e">
        <f>SUMIFS(INDEX(Сценарии!$O$15:$AP$35,,MATCH(AI$3,Сценарии!$O$3:$AP$3,0)),Сценарии!$A$15:$A$35,$A463,Сценарии!$B$15:$B$35,"ИОР")</f>
        <v>#N/A</v>
      </c>
      <c r="AJ463" s="463" t="e">
        <f>SUMIFS(INDEX(Сценарии!$O$15:$AP$35,,MATCH(AJ$3,Сценарии!$O$3:$AP$3,0)),Сценарии!$A$15:$A$35,$A463,Сценарии!$B$15:$B$35,"ИОР")</f>
        <v>#N/A</v>
      </c>
      <c r="AK463" s="463" t="e">
        <f>SUMIFS(INDEX(Сценарии!$O$15:$AP$35,,MATCH(AK$3,Сценарии!$O$3:$AP$3,0)),Сценарии!$A$15:$A$35,$A463,Сценарии!$B$15:$B$35,"ИОР")</f>
        <v>#N/A</v>
      </c>
      <c r="AL463" s="463" t="e">
        <f>SUMIFS(INDEX(Сценарии!$O$15:$AP$35,,MATCH(AL$3,Сценарии!$O$3:$AP$3,0)),Сценарии!$A$15:$A$35,$A463,Сценарии!$B$15:$B$35,"ИОР")</f>
        <v>#N/A</v>
      </c>
      <c r="AM463" s="463" t="e">
        <f>SUMIFS(INDEX(Сценарии!$O$15:$AP$35,,MATCH(AM$3,Сценарии!$O$3:$AP$3,0)),Сценарии!$A$15:$A$35,$A463,Сценарии!$B$15:$B$35,"ИОР")</f>
        <v>#N/A</v>
      </c>
      <c r="AN463" s="443"/>
      <c r="AO463" s="443"/>
      <c r="AP463" s="443"/>
      <c r="AQ463" s="443"/>
      <c r="AR463" s="443"/>
      <c r="AS463" s="443"/>
      <c r="AT463" s="443"/>
      <c r="AU463" s="443"/>
      <c r="AV463" s="443"/>
      <c r="AW463" s="443"/>
      <c r="AX463" s="194"/>
      <c r="AY463" s="194"/>
      <c r="AZ463" s="194"/>
    </row>
    <row r="464" spans="1:53" s="113" customFormat="1" outlineLevel="1">
      <c r="A464" s="568" t="str">
        <f t="shared" si="83"/>
        <v>1</v>
      </c>
      <c r="L464" s="407" t="s">
        <v>166</v>
      </c>
      <c r="M464" s="543" t="s">
        <v>533</v>
      </c>
      <c r="N464" s="409" t="s">
        <v>370</v>
      </c>
      <c r="O464" s="410" t="e">
        <f>SUM(O465,O468,O469,O472,O473)</f>
        <v>#N/A</v>
      </c>
      <c r="P464" s="410" t="e">
        <f>SUM(P465,P468,P469,P472,P473)</f>
        <v>#N/A</v>
      </c>
      <c r="Q464" s="410" t="e">
        <f>SUM(Q465,Q468,Q469,Q472,Q473)</f>
        <v>#N/A</v>
      </c>
      <c r="R464" s="410" t="e">
        <f t="shared" si="84"/>
        <v>#N/A</v>
      </c>
      <c r="S464" s="537"/>
      <c r="T464" s="537"/>
      <c r="U464" s="537"/>
      <c r="V464" s="537"/>
      <c r="W464" s="537"/>
      <c r="X464" s="537"/>
      <c r="Y464" s="537"/>
      <c r="Z464" s="537"/>
      <c r="AA464" s="537"/>
      <c r="AB464" s="537"/>
      <c r="AC464" s="537"/>
      <c r="AD464" s="537"/>
      <c r="AE464" s="537"/>
      <c r="AF464" s="537"/>
      <c r="AG464" s="537"/>
      <c r="AH464" s="537"/>
      <c r="AI464" s="537"/>
      <c r="AJ464" s="537"/>
      <c r="AK464" s="537"/>
      <c r="AL464" s="537"/>
      <c r="AM464" s="537"/>
      <c r="AN464" s="537"/>
      <c r="AO464" s="537"/>
      <c r="AP464" s="537"/>
      <c r="AQ464" s="537"/>
      <c r="AR464" s="537"/>
      <c r="AS464" s="537"/>
      <c r="AT464" s="537"/>
      <c r="AU464" s="537"/>
      <c r="AV464" s="537"/>
      <c r="AW464" s="537"/>
      <c r="AX464" s="538"/>
      <c r="AY464" s="538"/>
      <c r="AZ464" s="538"/>
    </row>
    <row r="465" spans="1:53" s="111" customFormat="1" ht="22.5" outlineLevel="1">
      <c r="A465" s="551" t="str">
        <f t="shared" si="83"/>
        <v>1</v>
      </c>
      <c r="L465" s="412" t="s">
        <v>534</v>
      </c>
      <c r="M465" s="420" t="s">
        <v>535</v>
      </c>
      <c r="N465" s="456" t="s">
        <v>370</v>
      </c>
      <c r="O465" s="416">
        <f>SUM(O466,O467)</f>
        <v>0</v>
      </c>
      <c r="P465" s="416">
        <f>SUM(P466,P467)</f>
        <v>0</v>
      </c>
      <c r="Q465" s="416">
        <f>SUM(Q466,Q467)</f>
        <v>0</v>
      </c>
      <c r="R465" s="416">
        <f t="shared" si="84"/>
        <v>0</v>
      </c>
      <c r="S465" s="443"/>
      <c r="T465" s="443"/>
      <c r="U465" s="443"/>
      <c r="V465" s="443"/>
      <c r="W465" s="443"/>
      <c r="X465" s="443"/>
      <c r="Y465" s="443"/>
      <c r="Z465" s="443"/>
      <c r="AA465" s="443"/>
      <c r="AB465" s="443"/>
      <c r="AC465" s="443"/>
      <c r="AD465" s="443"/>
      <c r="AE465" s="443"/>
      <c r="AF465" s="443"/>
      <c r="AG465" s="443"/>
      <c r="AH465" s="443"/>
      <c r="AI465" s="443"/>
      <c r="AJ465" s="443"/>
      <c r="AK465" s="443"/>
      <c r="AL465" s="443"/>
      <c r="AM465" s="443"/>
      <c r="AN465" s="443"/>
      <c r="AO465" s="443"/>
      <c r="AP465" s="443"/>
      <c r="AQ465" s="443"/>
      <c r="AR465" s="443"/>
      <c r="AS465" s="443"/>
      <c r="AT465" s="443"/>
      <c r="AU465" s="443"/>
      <c r="AV465" s="443"/>
      <c r="AW465" s="443"/>
      <c r="AX465" s="194"/>
      <c r="AY465" s="194"/>
      <c r="AZ465" s="194"/>
      <c r="BA465" s="115"/>
    </row>
    <row r="466" spans="1:53" s="111" customFormat="1" outlineLevel="1">
      <c r="A466" s="551" t="str">
        <f t="shared" si="83"/>
        <v>1</v>
      </c>
      <c r="L466" s="412" t="s">
        <v>536</v>
      </c>
      <c r="M466" s="422" t="s">
        <v>537</v>
      </c>
      <c r="N466" s="419" t="s">
        <v>370</v>
      </c>
      <c r="O466" s="415"/>
      <c r="P466" s="415"/>
      <c r="Q466" s="415"/>
      <c r="R466" s="416">
        <f t="shared" si="84"/>
        <v>0</v>
      </c>
      <c r="S466" s="443"/>
      <c r="T466" s="443"/>
      <c r="U466" s="443"/>
      <c r="V466" s="443"/>
      <c r="W466" s="443"/>
      <c r="X466" s="443"/>
      <c r="Y466" s="443"/>
      <c r="Z466" s="443"/>
      <c r="AA466" s="443"/>
      <c r="AB466" s="443"/>
      <c r="AC466" s="443"/>
      <c r="AD466" s="443"/>
      <c r="AE466" s="443"/>
      <c r="AF466" s="443"/>
      <c r="AG466" s="443"/>
      <c r="AH466" s="443"/>
      <c r="AI466" s="443"/>
      <c r="AJ466" s="443"/>
      <c r="AK466" s="443"/>
      <c r="AL466" s="443"/>
      <c r="AM466" s="443"/>
      <c r="AN466" s="443"/>
      <c r="AO466" s="443"/>
      <c r="AP466" s="443"/>
      <c r="AQ466" s="443"/>
      <c r="AR466" s="443"/>
      <c r="AS466" s="443"/>
      <c r="AT466" s="443"/>
      <c r="AU466" s="443"/>
      <c r="AV466" s="443"/>
      <c r="AW466" s="443"/>
      <c r="AX466" s="194"/>
      <c r="AY466" s="194"/>
      <c r="AZ466" s="194"/>
    </row>
    <row r="467" spans="1:53" s="111" customFormat="1" outlineLevel="1">
      <c r="A467" s="551" t="str">
        <f t="shared" si="83"/>
        <v>1</v>
      </c>
      <c r="L467" s="412" t="s">
        <v>538</v>
      </c>
      <c r="M467" s="423" t="s">
        <v>539</v>
      </c>
      <c r="N467" s="419" t="s">
        <v>370</v>
      </c>
      <c r="O467" s="415"/>
      <c r="P467" s="415"/>
      <c r="Q467" s="415"/>
      <c r="R467" s="416">
        <f t="shared" si="84"/>
        <v>0</v>
      </c>
      <c r="S467" s="443"/>
      <c r="T467" s="443"/>
      <c r="U467" s="443"/>
      <c r="V467" s="443"/>
      <c r="W467" s="443"/>
      <c r="X467" s="443"/>
      <c r="Y467" s="443"/>
      <c r="Z467" s="443"/>
      <c r="AA467" s="443"/>
      <c r="AB467" s="443"/>
      <c r="AC467" s="443"/>
      <c r="AD467" s="443"/>
      <c r="AE467" s="443"/>
      <c r="AF467" s="443"/>
      <c r="AG467" s="443"/>
      <c r="AH467" s="443"/>
      <c r="AI467" s="443"/>
      <c r="AJ467" s="443"/>
      <c r="AK467" s="443"/>
      <c r="AL467" s="443"/>
      <c r="AM467" s="443"/>
      <c r="AN467" s="443"/>
      <c r="AO467" s="443"/>
      <c r="AP467" s="443"/>
      <c r="AQ467" s="443"/>
      <c r="AR467" s="443"/>
      <c r="AS467" s="443"/>
      <c r="AT467" s="443"/>
      <c r="AU467" s="443"/>
      <c r="AV467" s="443"/>
      <c r="AW467" s="443"/>
      <c r="AX467" s="194"/>
      <c r="AY467" s="194"/>
      <c r="AZ467" s="194"/>
    </row>
    <row r="468" spans="1:53" s="111" customFormat="1" ht="22.5" outlineLevel="1">
      <c r="A468" s="551" t="str">
        <f t="shared" si="83"/>
        <v>1</v>
      </c>
      <c r="L468" s="412" t="s">
        <v>540</v>
      </c>
      <c r="M468" s="420" t="s">
        <v>541</v>
      </c>
      <c r="N468" s="456" t="s">
        <v>370</v>
      </c>
      <c r="O468" s="415"/>
      <c r="P468" s="415"/>
      <c r="Q468" s="415"/>
      <c r="R468" s="416">
        <f t="shared" si="84"/>
        <v>0</v>
      </c>
      <c r="S468" s="443"/>
      <c r="T468" s="443"/>
      <c r="U468" s="443"/>
      <c r="V468" s="443"/>
      <c r="W468" s="443"/>
      <c r="X468" s="443"/>
      <c r="Y468" s="443"/>
      <c r="Z468" s="443"/>
      <c r="AA468" s="443"/>
      <c r="AB468" s="443"/>
      <c r="AC468" s="443"/>
      <c r="AD468" s="443"/>
      <c r="AE468" s="443"/>
      <c r="AF468" s="443"/>
      <c r="AG468" s="443"/>
      <c r="AH468" s="443"/>
      <c r="AI468" s="443"/>
      <c r="AJ468" s="443"/>
      <c r="AK468" s="443"/>
      <c r="AL468" s="443"/>
      <c r="AM468" s="443"/>
      <c r="AN468" s="443"/>
      <c r="AO468" s="443"/>
      <c r="AP468" s="443"/>
      <c r="AQ468" s="443"/>
      <c r="AR468" s="443"/>
      <c r="AS468" s="443"/>
      <c r="AT468" s="443"/>
      <c r="AU468" s="443"/>
      <c r="AV468" s="443"/>
      <c r="AW468" s="443"/>
      <c r="AX468" s="194"/>
      <c r="AY468" s="194"/>
      <c r="AZ468" s="194"/>
    </row>
    <row r="469" spans="1:53" s="111" customFormat="1" ht="22.5" outlineLevel="1">
      <c r="A469" s="551" t="str">
        <f t="shared" si="83"/>
        <v>1</v>
      </c>
      <c r="L469" s="412" t="s">
        <v>542</v>
      </c>
      <c r="M469" s="420" t="s">
        <v>543</v>
      </c>
      <c r="N469" s="419" t="s">
        <v>370</v>
      </c>
      <c r="O469" s="424" t="e">
        <f>O470+O471</f>
        <v>#N/A</v>
      </c>
      <c r="P469" s="424" t="e">
        <f>P470+P471</f>
        <v>#N/A</v>
      </c>
      <c r="Q469" s="424" t="e">
        <f>Q470+Q471</f>
        <v>#N/A</v>
      </c>
      <c r="R469" s="416" t="e">
        <f t="shared" si="84"/>
        <v>#N/A</v>
      </c>
      <c r="S469" s="443"/>
      <c r="T469" s="443"/>
      <c r="U469" s="443"/>
      <c r="V469" s="443"/>
      <c r="W469" s="443"/>
      <c r="X469" s="443"/>
      <c r="Y469" s="443"/>
      <c r="Z469" s="443"/>
      <c r="AA469" s="443"/>
      <c r="AB469" s="443"/>
      <c r="AC469" s="443"/>
      <c r="AD469" s="443"/>
      <c r="AE469" s="443"/>
      <c r="AF469" s="443"/>
      <c r="AG469" s="443"/>
      <c r="AH469" s="443"/>
      <c r="AI469" s="443"/>
      <c r="AJ469" s="443"/>
      <c r="AK469" s="443"/>
      <c r="AL469" s="443"/>
      <c r="AM469" s="443"/>
      <c r="AN469" s="443"/>
      <c r="AO469" s="443"/>
      <c r="AP469" s="443"/>
      <c r="AQ469" s="443"/>
      <c r="AR469" s="443"/>
      <c r="AS469" s="443"/>
      <c r="AT469" s="443"/>
      <c r="AU469" s="443"/>
      <c r="AV469" s="443"/>
      <c r="AW469" s="443"/>
      <c r="AX469" s="194"/>
      <c r="AY469" s="194"/>
      <c r="AZ469" s="194"/>
    </row>
    <row r="470" spans="1:53" s="111" customFormat="1" ht="22.5" outlineLevel="1">
      <c r="A470" s="551" t="str">
        <f t="shared" si="83"/>
        <v>1</v>
      </c>
      <c r="L470" s="412" t="s">
        <v>544</v>
      </c>
      <c r="M470" s="422" t="s">
        <v>545</v>
      </c>
      <c r="N470" s="456" t="s">
        <v>370</v>
      </c>
      <c r="O470" s="415"/>
      <c r="P470" s="415"/>
      <c r="Q470" s="415"/>
      <c r="R470" s="416">
        <f t="shared" si="84"/>
        <v>0</v>
      </c>
      <c r="S470" s="443"/>
      <c r="T470" s="443"/>
      <c r="U470" s="443"/>
      <c r="V470" s="443"/>
      <c r="W470" s="443"/>
      <c r="X470" s="443"/>
      <c r="Y470" s="443"/>
      <c r="Z470" s="443"/>
      <c r="AA470" s="443"/>
      <c r="AB470" s="443"/>
      <c r="AC470" s="443"/>
      <c r="AD470" s="443"/>
      <c r="AE470" s="443"/>
      <c r="AF470" s="443"/>
      <c r="AG470" s="443"/>
      <c r="AH470" s="443"/>
      <c r="AI470" s="443"/>
      <c r="AJ470" s="443"/>
      <c r="AK470" s="443"/>
      <c r="AL470" s="443"/>
      <c r="AM470" s="443"/>
      <c r="AN470" s="443"/>
      <c r="AO470" s="443"/>
      <c r="AP470" s="443"/>
      <c r="AQ470" s="443"/>
      <c r="AR470" s="443"/>
      <c r="AS470" s="443"/>
      <c r="AT470" s="443"/>
      <c r="AU470" s="443"/>
      <c r="AV470" s="443"/>
      <c r="AW470" s="443"/>
      <c r="AX470" s="194"/>
      <c r="AY470" s="194"/>
      <c r="AZ470" s="194"/>
    </row>
    <row r="471" spans="1:53" s="111" customFormat="1" ht="22.5" outlineLevel="1">
      <c r="A471" s="551" t="str">
        <f t="shared" si="83"/>
        <v>1</v>
      </c>
      <c r="L471" s="412" t="s">
        <v>546</v>
      </c>
      <c r="M471" s="422" t="s">
        <v>1196</v>
      </c>
      <c r="N471" s="419" t="s">
        <v>370</v>
      </c>
      <c r="O471" s="415" t="e">
        <f>O470* SUMIFS(INDEX(Сценарии!$O$15:$AP$35,,MATCH(O$3,Сценарии!$O$3:$AP$3,0)),Сценарии!$A$15:$A$35,$A471,Сценарии!$B$15:$B$35,"СВФОТ")/100</f>
        <v>#N/A</v>
      </c>
      <c r="P471" s="415" t="e">
        <f>P470* SUMIFS(INDEX(Сценарии!$O$15:$AP$35,,MATCH(P$3,Сценарии!$O$3:$AP$3,0)),Сценарии!$A$15:$A$35,$A471,Сценарии!$B$15:$B$35,"СВФОТ")/100</f>
        <v>#N/A</v>
      </c>
      <c r="Q471" s="415" t="e">
        <f>Q470* SUMIFS(INDEX(Сценарии!$O$15:$AP$35,,MATCH(Q$3,Сценарии!$O$3:$AP$3,0)),Сценарии!$A$15:$A$35,$A471,Сценарии!$B$15:$B$35,"СВФОТ")/100</f>
        <v>#N/A</v>
      </c>
      <c r="R471" s="416" t="e">
        <f t="shared" si="84"/>
        <v>#N/A</v>
      </c>
      <c r="S471" s="443"/>
      <c r="T471" s="443"/>
      <c r="U471" s="443"/>
      <c r="V471" s="443"/>
      <c r="W471" s="443"/>
      <c r="X471" s="443"/>
      <c r="Y471" s="443"/>
      <c r="Z471" s="443"/>
      <c r="AA471" s="443"/>
      <c r="AB471" s="443"/>
      <c r="AC471" s="443"/>
      <c r="AD471" s="443"/>
      <c r="AE471" s="443"/>
      <c r="AF471" s="443"/>
      <c r="AG471" s="443"/>
      <c r="AH471" s="443"/>
      <c r="AI471" s="443"/>
      <c r="AJ471" s="443"/>
      <c r="AK471" s="443"/>
      <c r="AL471" s="443"/>
      <c r="AM471" s="443"/>
      <c r="AN471" s="443"/>
      <c r="AO471" s="443"/>
      <c r="AP471" s="443"/>
      <c r="AQ471" s="443"/>
      <c r="AR471" s="443"/>
      <c r="AS471" s="443"/>
      <c r="AT471" s="443"/>
      <c r="AU471" s="443"/>
      <c r="AV471" s="443"/>
      <c r="AW471" s="443"/>
      <c r="AX471" s="194"/>
      <c r="AY471" s="194"/>
      <c r="AZ471" s="194"/>
    </row>
    <row r="472" spans="1:53" s="111" customFormat="1" outlineLevel="1">
      <c r="A472" s="551" t="str">
        <f t="shared" si="83"/>
        <v>1</v>
      </c>
      <c r="L472" s="412" t="s">
        <v>547</v>
      </c>
      <c r="M472" s="420" t="s">
        <v>548</v>
      </c>
      <c r="N472" s="456" t="s">
        <v>370</v>
      </c>
      <c r="O472" s="415"/>
      <c r="P472" s="415"/>
      <c r="Q472" s="415"/>
      <c r="R472" s="416">
        <f t="shared" si="84"/>
        <v>0</v>
      </c>
      <c r="S472" s="443"/>
      <c r="T472" s="443"/>
      <c r="U472" s="443"/>
      <c r="V472" s="443"/>
      <c r="W472" s="443"/>
      <c r="X472" s="443"/>
      <c r="Y472" s="443"/>
      <c r="Z472" s="443"/>
      <c r="AA472" s="443"/>
      <c r="AB472" s="443"/>
      <c r="AC472" s="443"/>
      <c r="AD472" s="443"/>
      <c r="AE472" s="443"/>
      <c r="AF472" s="443"/>
      <c r="AG472" s="443"/>
      <c r="AH472" s="443"/>
      <c r="AI472" s="443"/>
      <c r="AJ472" s="443"/>
      <c r="AK472" s="443"/>
      <c r="AL472" s="443"/>
      <c r="AM472" s="443"/>
      <c r="AN472" s="443"/>
      <c r="AO472" s="443"/>
      <c r="AP472" s="443"/>
      <c r="AQ472" s="443"/>
      <c r="AR472" s="443"/>
      <c r="AS472" s="443"/>
      <c r="AT472" s="443"/>
      <c r="AU472" s="443"/>
      <c r="AV472" s="443"/>
      <c r="AW472" s="443"/>
      <c r="AX472" s="194"/>
      <c r="AY472" s="194"/>
      <c r="AZ472" s="194"/>
    </row>
    <row r="473" spans="1:53" s="111" customFormat="1" outlineLevel="1">
      <c r="A473" s="551" t="str">
        <f t="shared" si="83"/>
        <v>1</v>
      </c>
      <c r="L473" s="412" t="s">
        <v>549</v>
      </c>
      <c r="M473" s="425" t="s">
        <v>550</v>
      </c>
      <c r="N473" s="414" t="s">
        <v>370</v>
      </c>
      <c r="O473" s="421">
        <f>SUM(O474:O480)</f>
        <v>0</v>
      </c>
      <c r="P473" s="421">
        <f>SUM(P474:P480)</f>
        <v>0</v>
      </c>
      <c r="Q473" s="421">
        <f>SUM(Q474:Q480)</f>
        <v>0</v>
      </c>
      <c r="R473" s="416">
        <f t="shared" si="84"/>
        <v>0</v>
      </c>
      <c r="S473" s="443"/>
      <c r="T473" s="443"/>
      <c r="U473" s="443"/>
      <c r="V473" s="443"/>
      <c r="W473" s="443"/>
      <c r="X473" s="443"/>
      <c r="Y473" s="443"/>
      <c r="Z473" s="443"/>
      <c r="AA473" s="443"/>
      <c r="AB473" s="443"/>
      <c r="AC473" s="443"/>
      <c r="AD473" s="443"/>
      <c r="AE473" s="443"/>
      <c r="AF473" s="443"/>
      <c r="AG473" s="443"/>
      <c r="AH473" s="443"/>
      <c r="AI473" s="443"/>
      <c r="AJ473" s="443"/>
      <c r="AK473" s="443"/>
      <c r="AL473" s="443"/>
      <c r="AM473" s="443"/>
      <c r="AN473" s="443"/>
      <c r="AO473" s="443"/>
      <c r="AP473" s="443"/>
      <c r="AQ473" s="443"/>
      <c r="AR473" s="443"/>
      <c r="AS473" s="443"/>
      <c r="AT473" s="443"/>
      <c r="AU473" s="443"/>
      <c r="AV473" s="443"/>
      <c r="AW473" s="443"/>
      <c r="AX473" s="194"/>
      <c r="AY473" s="194"/>
      <c r="AZ473" s="194"/>
    </row>
    <row r="474" spans="1:53" s="111" customFormat="1" outlineLevel="1">
      <c r="A474" s="551" t="str">
        <f t="shared" si="83"/>
        <v>1</v>
      </c>
      <c r="L474" s="412" t="s">
        <v>551</v>
      </c>
      <c r="M474" s="423" t="s">
        <v>552</v>
      </c>
      <c r="N474" s="414" t="s">
        <v>370</v>
      </c>
      <c r="O474" s="415"/>
      <c r="P474" s="415"/>
      <c r="Q474" s="415"/>
      <c r="R474" s="416">
        <f t="shared" si="84"/>
        <v>0</v>
      </c>
      <c r="S474" s="443"/>
      <c r="T474" s="443"/>
      <c r="U474" s="443"/>
      <c r="V474" s="443"/>
      <c r="W474" s="443"/>
      <c r="X474" s="443"/>
      <c r="Y474" s="443"/>
      <c r="Z474" s="443"/>
      <c r="AA474" s="443"/>
      <c r="AB474" s="443"/>
      <c r="AC474" s="443"/>
      <c r="AD474" s="443"/>
      <c r="AE474" s="443"/>
      <c r="AF474" s="443"/>
      <c r="AG474" s="443"/>
      <c r="AH474" s="443"/>
      <c r="AI474" s="443"/>
      <c r="AJ474" s="443"/>
      <c r="AK474" s="443"/>
      <c r="AL474" s="443"/>
      <c r="AM474" s="443"/>
      <c r="AN474" s="443"/>
      <c r="AO474" s="443"/>
      <c r="AP474" s="443"/>
      <c r="AQ474" s="443"/>
      <c r="AR474" s="443"/>
      <c r="AS474" s="443"/>
      <c r="AT474" s="443"/>
      <c r="AU474" s="443"/>
      <c r="AV474" s="443"/>
      <c r="AW474" s="443"/>
      <c r="AX474" s="194"/>
      <c r="AY474" s="194"/>
      <c r="AZ474" s="194"/>
    </row>
    <row r="475" spans="1:53" s="111" customFormat="1" ht="22.5" outlineLevel="1">
      <c r="A475" s="551" t="str">
        <f t="shared" si="83"/>
        <v>1</v>
      </c>
      <c r="L475" s="412" t="s">
        <v>553</v>
      </c>
      <c r="M475" s="423" t="s">
        <v>554</v>
      </c>
      <c r="N475" s="414" t="s">
        <v>370</v>
      </c>
      <c r="O475" s="415"/>
      <c r="P475" s="415"/>
      <c r="Q475" s="415"/>
      <c r="R475" s="416">
        <f t="shared" si="84"/>
        <v>0</v>
      </c>
      <c r="S475" s="443"/>
      <c r="T475" s="443"/>
      <c r="U475" s="443"/>
      <c r="V475" s="443"/>
      <c r="W475" s="443"/>
      <c r="X475" s="443"/>
      <c r="Y475" s="443"/>
      <c r="Z475" s="443"/>
      <c r="AA475" s="443"/>
      <c r="AB475" s="443"/>
      <c r="AC475" s="443"/>
      <c r="AD475" s="443"/>
      <c r="AE475" s="443"/>
      <c r="AF475" s="443"/>
      <c r="AG475" s="443"/>
      <c r="AH475" s="443"/>
      <c r="AI475" s="443"/>
      <c r="AJ475" s="443"/>
      <c r="AK475" s="443"/>
      <c r="AL475" s="443"/>
      <c r="AM475" s="443"/>
      <c r="AN475" s="443"/>
      <c r="AO475" s="443"/>
      <c r="AP475" s="443"/>
      <c r="AQ475" s="443"/>
      <c r="AR475" s="443"/>
      <c r="AS475" s="443"/>
      <c r="AT475" s="443"/>
      <c r="AU475" s="443"/>
      <c r="AV475" s="443"/>
      <c r="AW475" s="443"/>
      <c r="AX475" s="194"/>
      <c r="AY475" s="194"/>
      <c r="AZ475" s="194"/>
    </row>
    <row r="476" spans="1:53" s="111" customFormat="1" ht="22.5" outlineLevel="1">
      <c r="A476" s="551" t="str">
        <f t="shared" si="83"/>
        <v>1</v>
      </c>
      <c r="L476" s="412" t="s">
        <v>555</v>
      </c>
      <c r="M476" s="426" t="s">
        <v>556</v>
      </c>
      <c r="N476" s="414" t="s">
        <v>370</v>
      </c>
      <c r="O476" s="415"/>
      <c r="P476" s="415"/>
      <c r="Q476" s="415"/>
      <c r="R476" s="416">
        <f t="shared" si="84"/>
        <v>0</v>
      </c>
      <c r="S476" s="443"/>
      <c r="T476" s="443"/>
      <c r="U476" s="443"/>
      <c r="V476" s="443"/>
      <c r="W476" s="443"/>
      <c r="X476" s="443"/>
      <c r="Y476" s="443"/>
      <c r="Z476" s="443"/>
      <c r="AA476" s="443"/>
      <c r="AB476" s="443"/>
      <c r="AC476" s="443"/>
      <c r="AD476" s="443"/>
      <c r="AE476" s="443"/>
      <c r="AF476" s="443"/>
      <c r="AG476" s="443"/>
      <c r="AH476" s="443"/>
      <c r="AI476" s="443"/>
      <c r="AJ476" s="443"/>
      <c r="AK476" s="443"/>
      <c r="AL476" s="443"/>
      <c r="AM476" s="443"/>
      <c r="AN476" s="443"/>
      <c r="AO476" s="443"/>
      <c r="AP476" s="443"/>
      <c r="AQ476" s="443"/>
      <c r="AR476" s="443"/>
      <c r="AS476" s="443"/>
      <c r="AT476" s="443"/>
      <c r="AU476" s="443"/>
      <c r="AV476" s="443"/>
      <c r="AW476" s="443"/>
      <c r="AX476" s="194"/>
      <c r="AY476" s="194"/>
      <c r="AZ476" s="194"/>
    </row>
    <row r="477" spans="1:53" s="111" customFormat="1" ht="22.5" outlineLevel="1">
      <c r="A477" s="551" t="str">
        <f t="shared" si="83"/>
        <v>1</v>
      </c>
      <c r="L477" s="412" t="s">
        <v>557</v>
      </c>
      <c r="M477" s="426" t="s">
        <v>558</v>
      </c>
      <c r="N477" s="414" t="s">
        <v>370</v>
      </c>
      <c r="O477" s="415"/>
      <c r="P477" s="415"/>
      <c r="Q477" s="415"/>
      <c r="R477" s="416">
        <f t="shared" si="84"/>
        <v>0</v>
      </c>
      <c r="S477" s="443"/>
      <c r="T477" s="443"/>
      <c r="U477" s="443"/>
      <c r="V477" s="443"/>
      <c r="W477" s="443"/>
      <c r="X477" s="443"/>
      <c r="Y477" s="443"/>
      <c r="Z477" s="443"/>
      <c r="AA477" s="443"/>
      <c r="AB477" s="443"/>
      <c r="AC477" s="443"/>
      <c r="AD477" s="443"/>
      <c r="AE477" s="443"/>
      <c r="AF477" s="443"/>
      <c r="AG477" s="443"/>
      <c r="AH477" s="443"/>
      <c r="AI477" s="443"/>
      <c r="AJ477" s="443"/>
      <c r="AK477" s="443"/>
      <c r="AL477" s="443"/>
      <c r="AM477" s="443"/>
      <c r="AN477" s="443"/>
      <c r="AO477" s="443"/>
      <c r="AP477" s="443"/>
      <c r="AQ477" s="443"/>
      <c r="AR477" s="443"/>
      <c r="AS477" s="443"/>
      <c r="AT477" s="443"/>
      <c r="AU477" s="443"/>
      <c r="AV477" s="443"/>
      <c r="AW477" s="443"/>
      <c r="AX477" s="194"/>
      <c r="AY477" s="194"/>
      <c r="AZ477" s="194"/>
    </row>
    <row r="478" spans="1:53" s="111" customFormat="1" ht="56.25" outlineLevel="1">
      <c r="A478" s="551" t="str">
        <f t="shared" si="83"/>
        <v>1</v>
      </c>
      <c r="L478" s="412" t="s">
        <v>559</v>
      </c>
      <c r="M478" s="423" t="s">
        <v>560</v>
      </c>
      <c r="N478" s="414" t="s">
        <v>370</v>
      </c>
      <c r="O478" s="415"/>
      <c r="P478" s="415"/>
      <c r="Q478" s="415"/>
      <c r="R478" s="416">
        <f t="shared" si="84"/>
        <v>0</v>
      </c>
      <c r="S478" s="443"/>
      <c r="T478" s="443"/>
      <c r="U478" s="443"/>
      <c r="V478" s="443"/>
      <c r="W478" s="443"/>
      <c r="X478" s="443"/>
      <c r="Y478" s="443"/>
      <c r="Z478" s="443"/>
      <c r="AA478" s="443"/>
      <c r="AB478" s="443"/>
      <c r="AC478" s="443"/>
      <c r="AD478" s="443"/>
      <c r="AE478" s="443"/>
      <c r="AF478" s="443"/>
      <c r="AG478" s="443"/>
      <c r="AH478" s="443"/>
      <c r="AI478" s="443"/>
      <c r="AJ478" s="443"/>
      <c r="AK478" s="443"/>
      <c r="AL478" s="443"/>
      <c r="AM478" s="443"/>
      <c r="AN478" s="443"/>
      <c r="AO478" s="443"/>
      <c r="AP478" s="443"/>
      <c r="AQ478" s="443"/>
      <c r="AR478" s="443"/>
      <c r="AS478" s="443"/>
      <c r="AT478" s="443"/>
      <c r="AU478" s="443"/>
      <c r="AV478" s="443"/>
      <c r="AW478" s="443"/>
      <c r="AX478" s="194"/>
      <c r="AY478" s="194"/>
      <c r="AZ478" s="194"/>
    </row>
    <row r="479" spans="1:53" s="111" customFormat="1" outlineLevel="1">
      <c r="A479" s="551" t="str">
        <f t="shared" si="83"/>
        <v>1</v>
      </c>
      <c r="L479" s="412" t="s">
        <v>561</v>
      </c>
      <c r="M479" s="423" t="s">
        <v>562</v>
      </c>
      <c r="N479" s="414" t="s">
        <v>370</v>
      </c>
      <c r="O479" s="415"/>
      <c r="P479" s="415"/>
      <c r="Q479" s="415"/>
      <c r="R479" s="416">
        <f t="shared" si="84"/>
        <v>0</v>
      </c>
      <c r="S479" s="443"/>
      <c r="T479" s="443"/>
      <c r="U479" s="443"/>
      <c r="V479" s="443"/>
      <c r="W479" s="443"/>
      <c r="X479" s="443"/>
      <c r="Y479" s="443"/>
      <c r="Z479" s="443"/>
      <c r="AA479" s="443"/>
      <c r="AB479" s="443"/>
      <c r="AC479" s="443"/>
      <c r="AD479" s="443"/>
      <c r="AE479" s="443"/>
      <c r="AF479" s="443"/>
      <c r="AG479" s="443"/>
      <c r="AH479" s="443"/>
      <c r="AI479" s="443"/>
      <c r="AJ479" s="443"/>
      <c r="AK479" s="443"/>
      <c r="AL479" s="443"/>
      <c r="AM479" s="443"/>
      <c r="AN479" s="443"/>
      <c r="AO479" s="443"/>
      <c r="AP479" s="443"/>
      <c r="AQ479" s="443"/>
      <c r="AR479" s="443"/>
      <c r="AS479" s="443"/>
      <c r="AT479" s="443"/>
      <c r="AU479" s="443"/>
      <c r="AV479" s="443"/>
      <c r="AW479" s="443"/>
      <c r="AX479" s="194"/>
      <c r="AY479" s="194"/>
      <c r="AZ479" s="194"/>
    </row>
    <row r="480" spans="1:53" s="111" customFormat="1" outlineLevel="1">
      <c r="A480" s="551" t="str">
        <f t="shared" si="83"/>
        <v>1</v>
      </c>
      <c r="L480" s="412" t="s">
        <v>1438</v>
      </c>
      <c r="M480" s="423" t="s">
        <v>1439</v>
      </c>
      <c r="N480" s="414" t="s">
        <v>370</v>
      </c>
      <c r="O480" s="415"/>
      <c r="P480" s="415"/>
      <c r="Q480" s="415"/>
      <c r="R480" s="416">
        <f>Q480-P480</f>
        <v>0</v>
      </c>
      <c r="S480" s="443"/>
      <c r="T480" s="443"/>
      <c r="U480" s="443"/>
      <c r="V480" s="443"/>
      <c r="W480" s="443"/>
      <c r="X480" s="443"/>
      <c r="Y480" s="443"/>
      <c r="Z480" s="443"/>
      <c r="AA480" s="443"/>
      <c r="AB480" s="443"/>
      <c r="AC480" s="443"/>
      <c r="AD480" s="443"/>
      <c r="AE480" s="443"/>
      <c r="AF480" s="443"/>
      <c r="AG480" s="443"/>
      <c r="AH480" s="443"/>
      <c r="AI480" s="443"/>
      <c r="AJ480" s="443"/>
      <c r="AK480" s="443"/>
      <c r="AL480" s="443"/>
      <c r="AM480" s="443"/>
      <c r="AN480" s="443"/>
      <c r="AO480" s="443"/>
      <c r="AP480" s="443"/>
      <c r="AQ480" s="443"/>
      <c r="AR480" s="443"/>
      <c r="AS480" s="443"/>
      <c r="AT480" s="443"/>
      <c r="AU480" s="443"/>
      <c r="AV480" s="443"/>
      <c r="AW480" s="443"/>
      <c r="AX480" s="194"/>
      <c r="AY480" s="194"/>
      <c r="AZ480" s="194"/>
    </row>
    <row r="481" spans="1:52" s="116" customFormat="1" outlineLevel="1">
      <c r="A481" s="568" t="str">
        <f>A479</f>
        <v>1</v>
      </c>
      <c r="L481" s="432" t="s">
        <v>378</v>
      </c>
      <c r="M481" s="536" t="s">
        <v>563</v>
      </c>
      <c r="N481" s="433" t="s">
        <v>370</v>
      </c>
      <c r="O481" s="436">
        <f>O482+O483+O484</f>
        <v>0</v>
      </c>
      <c r="P481" s="436">
        <f>P482+P483+P484</f>
        <v>0</v>
      </c>
      <c r="Q481" s="436">
        <f>Q482+Q483+Q484</f>
        <v>0</v>
      </c>
      <c r="R481" s="410">
        <f t="shared" si="84"/>
        <v>0</v>
      </c>
      <c r="S481" s="537"/>
      <c r="T481" s="537"/>
      <c r="U481" s="537"/>
      <c r="V481" s="537"/>
      <c r="W481" s="537"/>
      <c r="X481" s="537"/>
      <c r="Y481" s="537"/>
      <c r="Z481" s="537"/>
      <c r="AA481" s="537"/>
      <c r="AB481" s="537"/>
      <c r="AC481" s="537"/>
      <c r="AD481" s="537"/>
      <c r="AE481" s="537"/>
      <c r="AF481" s="537"/>
      <c r="AG481" s="537"/>
      <c r="AH481" s="537"/>
      <c r="AI481" s="537"/>
      <c r="AJ481" s="537"/>
      <c r="AK481" s="537"/>
      <c r="AL481" s="537"/>
      <c r="AM481" s="537"/>
      <c r="AN481" s="537"/>
      <c r="AO481" s="537"/>
      <c r="AP481" s="537"/>
      <c r="AQ481" s="537"/>
      <c r="AR481" s="537"/>
      <c r="AS481" s="537"/>
      <c r="AT481" s="537"/>
      <c r="AU481" s="537"/>
      <c r="AV481" s="537"/>
      <c r="AW481" s="537"/>
      <c r="AX481" s="538"/>
      <c r="AY481" s="538"/>
      <c r="AZ481" s="538"/>
    </row>
    <row r="482" spans="1:52" s="111" customFormat="1" ht="33.75" outlineLevel="1">
      <c r="A482" s="551" t="str">
        <f t="shared" si="83"/>
        <v>1</v>
      </c>
      <c r="L482" s="412" t="s">
        <v>564</v>
      </c>
      <c r="M482" s="420" t="s">
        <v>565</v>
      </c>
      <c r="N482" s="414" t="s">
        <v>370</v>
      </c>
      <c r="O482" s="415"/>
      <c r="P482" s="415"/>
      <c r="Q482" s="415"/>
      <c r="R482" s="416">
        <f t="shared" si="84"/>
        <v>0</v>
      </c>
      <c r="S482" s="443"/>
      <c r="T482" s="443"/>
      <c r="U482" s="443"/>
      <c r="V482" s="443"/>
      <c r="W482" s="443"/>
      <c r="X482" s="443"/>
      <c r="Y482" s="443"/>
      <c r="Z482" s="443"/>
      <c r="AA482" s="443"/>
      <c r="AB482" s="443"/>
      <c r="AC482" s="443"/>
      <c r="AD482" s="443"/>
      <c r="AE482" s="443"/>
      <c r="AF482" s="443"/>
      <c r="AG482" s="443"/>
      <c r="AH482" s="443"/>
      <c r="AI482" s="443"/>
      <c r="AJ482" s="443"/>
      <c r="AK482" s="443"/>
      <c r="AL482" s="443"/>
      <c r="AM482" s="443"/>
      <c r="AN482" s="443"/>
      <c r="AO482" s="443"/>
      <c r="AP482" s="443"/>
      <c r="AQ482" s="443"/>
      <c r="AR482" s="443"/>
      <c r="AS482" s="443"/>
      <c r="AT482" s="443"/>
      <c r="AU482" s="443"/>
      <c r="AV482" s="443"/>
      <c r="AW482" s="443"/>
      <c r="AX482" s="194"/>
      <c r="AY482" s="194"/>
      <c r="AZ482" s="194"/>
    </row>
    <row r="483" spans="1:52" s="111" customFormat="1" ht="33.75" outlineLevel="1">
      <c r="A483" s="551" t="str">
        <f t="shared" si="83"/>
        <v>1</v>
      </c>
      <c r="L483" s="412" t="s">
        <v>566</v>
      </c>
      <c r="M483" s="425" t="s">
        <v>567</v>
      </c>
      <c r="N483" s="414" t="s">
        <v>370</v>
      </c>
      <c r="O483" s="415"/>
      <c r="P483" s="415"/>
      <c r="Q483" s="415"/>
      <c r="R483" s="416">
        <f t="shared" si="84"/>
        <v>0</v>
      </c>
      <c r="S483" s="443"/>
      <c r="T483" s="443"/>
      <c r="U483" s="443"/>
      <c r="V483" s="443"/>
      <c r="W483" s="443"/>
      <c r="X483" s="443"/>
      <c r="Y483" s="443"/>
      <c r="Z483" s="443"/>
      <c r="AA483" s="443"/>
      <c r="AB483" s="443"/>
      <c r="AC483" s="443"/>
      <c r="AD483" s="443"/>
      <c r="AE483" s="443"/>
      <c r="AF483" s="443"/>
      <c r="AG483" s="443"/>
      <c r="AH483" s="443"/>
      <c r="AI483" s="443"/>
      <c r="AJ483" s="443"/>
      <c r="AK483" s="443"/>
      <c r="AL483" s="443"/>
      <c r="AM483" s="443"/>
      <c r="AN483" s="443"/>
      <c r="AO483" s="443"/>
      <c r="AP483" s="443"/>
      <c r="AQ483" s="443"/>
      <c r="AR483" s="443"/>
      <c r="AS483" s="443"/>
      <c r="AT483" s="443"/>
      <c r="AU483" s="443"/>
      <c r="AV483" s="443"/>
      <c r="AW483" s="443"/>
      <c r="AX483" s="194"/>
      <c r="AY483" s="194"/>
      <c r="AZ483" s="194"/>
    </row>
    <row r="484" spans="1:52" s="111" customFormat="1" ht="22.5" outlineLevel="1">
      <c r="A484" s="551" t="str">
        <f t="shared" si="83"/>
        <v>1</v>
      </c>
      <c r="L484" s="412" t="s">
        <v>568</v>
      </c>
      <c r="M484" s="425" t="s">
        <v>569</v>
      </c>
      <c r="N484" s="414" t="s">
        <v>370</v>
      </c>
      <c r="O484" s="415"/>
      <c r="P484" s="415"/>
      <c r="Q484" s="415"/>
      <c r="R484" s="416">
        <f t="shared" si="84"/>
        <v>0</v>
      </c>
      <c r="S484" s="443"/>
      <c r="T484" s="443"/>
      <c r="U484" s="443"/>
      <c r="V484" s="443"/>
      <c r="W484" s="443"/>
      <c r="X484" s="443"/>
      <c r="Y484" s="443"/>
      <c r="Z484" s="443"/>
      <c r="AA484" s="443"/>
      <c r="AB484" s="443"/>
      <c r="AC484" s="443"/>
      <c r="AD484" s="443"/>
      <c r="AE484" s="443"/>
      <c r="AF484" s="443"/>
      <c r="AG484" s="443"/>
      <c r="AH484" s="443"/>
      <c r="AI484" s="443"/>
      <c r="AJ484" s="443"/>
      <c r="AK484" s="443"/>
      <c r="AL484" s="443"/>
      <c r="AM484" s="443"/>
      <c r="AN484" s="443"/>
      <c r="AO484" s="443"/>
      <c r="AP484" s="443"/>
      <c r="AQ484" s="443"/>
      <c r="AR484" s="443"/>
      <c r="AS484" s="443"/>
      <c r="AT484" s="443"/>
      <c r="AU484" s="443"/>
      <c r="AV484" s="443"/>
      <c r="AW484" s="443"/>
      <c r="AX484" s="194"/>
      <c r="AY484" s="194"/>
      <c r="AZ484" s="194"/>
    </row>
    <row r="485" spans="1:52" s="111" customFormat="1" outlineLevel="1">
      <c r="A485" s="551" t="str">
        <f t="shared" si="83"/>
        <v>1</v>
      </c>
      <c r="L485" s="412" t="s">
        <v>1184</v>
      </c>
      <c r="M485" s="422" t="s">
        <v>570</v>
      </c>
      <c r="N485" s="414" t="s">
        <v>370</v>
      </c>
      <c r="O485" s="415"/>
      <c r="P485" s="415"/>
      <c r="Q485" s="415"/>
      <c r="R485" s="416">
        <f t="shared" si="84"/>
        <v>0</v>
      </c>
      <c r="S485" s="443"/>
      <c r="T485" s="443"/>
      <c r="U485" s="443"/>
      <c r="V485" s="443"/>
      <c r="W485" s="443"/>
      <c r="X485" s="443"/>
      <c r="Y485" s="443"/>
      <c r="Z485" s="443"/>
      <c r="AA485" s="443"/>
      <c r="AB485" s="443"/>
      <c r="AC485" s="443"/>
      <c r="AD485" s="443"/>
      <c r="AE485" s="443"/>
      <c r="AF485" s="443"/>
      <c r="AG485" s="443"/>
      <c r="AH485" s="443"/>
      <c r="AI485" s="443"/>
      <c r="AJ485" s="443"/>
      <c r="AK485" s="443"/>
      <c r="AL485" s="443"/>
      <c r="AM485" s="443"/>
      <c r="AN485" s="443"/>
      <c r="AO485" s="443"/>
      <c r="AP485" s="443"/>
      <c r="AQ485" s="443"/>
      <c r="AR485" s="443"/>
      <c r="AS485" s="443"/>
      <c r="AT485" s="443"/>
      <c r="AU485" s="443"/>
      <c r="AV485" s="443"/>
      <c r="AW485" s="443"/>
      <c r="AX485" s="194"/>
      <c r="AY485" s="194"/>
      <c r="AZ485" s="194"/>
    </row>
    <row r="486" spans="1:52" s="111" customFormat="1" outlineLevel="1">
      <c r="A486" s="551" t="str">
        <f t="shared" si="83"/>
        <v>1</v>
      </c>
      <c r="L486" s="412" t="s">
        <v>1185</v>
      </c>
      <c r="M486" s="422" t="s">
        <v>571</v>
      </c>
      <c r="N486" s="414" t="s">
        <v>370</v>
      </c>
      <c r="O486" s="415" t="e">
        <f>O485* SUMIFS(INDEX(Сценарии!$O$15:$AP$35,,MATCH(O$3,Сценарии!$O$3:$AP$3,0)),Сценарии!$A$15:$A$35,$A486,Сценарии!$B$15:$B$35,"СВФОТ")/100</f>
        <v>#N/A</v>
      </c>
      <c r="P486" s="415" t="e">
        <f>P485* SUMIFS(INDEX(Сценарии!$O$15:$AP$35,,MATCH(P$3,Сценарии!$O$3:$AP$3,0)),Сценарии!$A$15:$A$35,$A486,Сценарии!$B$15:$B$35,"СВФОТ")/100</f>
        <v>#N/A</v>
      </c>
      <c r="Q486" s="415" t="e">
        <f>Q485* SUMIFS(INDEX(Сценарии!$O$15:$AP$35,,MATCH(Q$3,Сценарии!$O$3:$AP$3,0)),Сценарии!$A$15:$A$35,$A486,Сценарии!$B$15:$B$35,"СВФОТ")/100</f>
        <v>#N/A</v>
      </c>
      <c r="R486" s="416" t="e">
        <f t="shared" si="84"/>
        <v>#N/A</v>
      </c>
      <c r="S486" s="443"/>
      <c r="T486" s="443"/>
      <c r="U486" s="443"/>
      <c r="V486" s="443"/>
      <c r="W486" s="443"/>
      <c r="X486" s="443"/>
      <c r="Y486" s="443"/>
      <c r="Z486" s="443"/>
      <c r="AA486" s="443"/>
      <c r="AB486" s="443"/>
      <c r="AC486" s="443"/>
      <c r="AD486" s="443"/>
      <c r="AE486" s="443"/>
      <c r="AF486" s="443"/>
      <c r="AG486" s="443"/>
      <c r="AH486" s="443"/>
      <c r="AI486" s="443"/>
      <c r="AJ486" s="443"/>
      <c r="AK486" s="443"/>
      <c r="AL486" s="443"/>
      <c r="AM486" s="443"/>
      <c r="AN486" s="443"/>
      <c r="AO486" s="443"/>
      <c r="AP486" s="443"/>
      <c r="AQ486" s="443"/>
      <c r="AR486" s="443"/>
      <c r="AS486" s="443"/>
      <c r="AT486" s="443"/>
      <c r="AU486" s="443"/>
      <c r="AV486" s="443"/>
      <c r="AW486" s="443"/>
      <c r="AX486" s="194"/>
      <c r="AY486" s="194"/>
      <c r="AZ486" s="194"/>
    </row>
    <row r="487" spans="1:52" s="116" customFormat="1" outlineLevel="1">
      <c r="A487" s="568" t="str">
        <f t="shared" si="83"/>
        <v>1</v>
      </c>
      <c r="L487" s="432" t="s">
        <v>380</v>
      </c>
      <c r="M487" s="536" t="s">
        <v>572</v>
      </c>
      <c r="N487" s="433" t="s">
        <v>370</v>
      </c>
      <c r="O487" s="436" t="e">
        <f>O488+O496+O499+O500+O501+O502+O503</f>
        <v>#N/A</v>
      </c>
      <c r="P487" s="436" t="e">
        <f>P488+P496+P499+P500+P501+P502+P503</f>
        <v>#N/A</v>
      </c>
      <c r="Q487" s="436" t="e">
        <f>Q488+Q496+Q499+Q500+Q501+Q502+Q503</f>
        <v>#N/A</v>
      </c>
      <c r="R487" s="410" t="e">
        <f t="shared" si="84"/>
        <v>#N/A</v>
      </c>
      <c r="S487" s="537"/>
      <c r="T487" s="537"/>
      <c r="U487" s="537"/>
      <c r="V487" s="537"/>
      <c r="W487" s="537"/>
      <c r="X487" s="537"/>
      <c r="Y487" s="537"/>
      <c r="Z487" s="537"/>
      <c r="AA487" s="537"/>
      <c r="AB487" s="537"/>
      <c r="AC487" s="537"/>
      <c r="AD487" s="537"/>
      <c r="AE487" s="537"/>
      <c r="AF487" s="537"/>
      <c r="AG487" s="537"/>
      <c r="AH487" s="537"/>
      <c r="AI487" s="537"/>
      <c r="AJ487" s="537"/>
      <c r="AK487" s="537"/>
      <c r="AL487" s="537"/>
      <c r="AM487" s="537"/>
      <c r="AN487" s="537"/>
      <c r="AO487" s="537"/>
      <c r="AP487" s="537"/>
      <c r="AQ487" s="537"/>
      <c r="AR487" s="537"/>
      <c r="AS487" s="537"/>
      <c r="AT487" s="537"/>
      <c r="AU487" s="537"/>
      <c r="AV487" s="537"/>
      <c r="AW487" s="537"/>
      <c r="AX487" s="538"/>
      <c r="AY487" s="538"/>
      <c r="AZ487" s="538"/>
    </row>
    <row r="488" spans="1:52" s="111" customFormat="1" ht="22.5" outlineLevel="1">
      <c r="A488" s="551" t="str">
        <f t="shared" si="83"/>
        <v>1</v>
      </c>
      <c r="L488" s="412" t="s">
        <v>573</v>
      </c>
      <c r="M488" s="420" t="s">
        <v>574</v>
      </c>
      <c r="N488" s="414" t="s">
        <v>370</v>
      </c>
      <c r="O488" s="424">
        <f>SUM(O489:O495)</f>
        <v>0</v>
      </c>
      <c r="P488" s="424">
        <f>SUM(P489:P495)</f>
        <v>0</v>
      </c>
      <c r="Q488" s="424">
        <f>SUM(Q489:Q495)</f>
        <v>0</v>
      </c>
      <c r="R488" s="416">
        <f t="shared" si="84"/>
        <v>0</v>
      </c>
      <c r="S488" s="443"/>
      <c r="T488" s="443"/>
      <c r="U488" s="443"/>
      <c r="V488" s="443"/>
      <c r="W488" s="443"/>
      <c r="X488" s="443"/>
      <c r="Y488" s="443"/>
      <c r="Z488" s="443"/>
      <c r="AA488" s="443"/>
      <c r="AB488" s="443"/>
      <c r="AC488" s="443"/>
      <c r="AD488" s="443"/>
      <c r="AE488" s="443"/>
      <c r="AF488" s="443"/>
      <c r="AG488" s="443"/>
      <c r="AH488" s="443"/>
      <c r="AI488" s="443"/>
      <c r="AJ488" s="443"/>
      <c r="AK488" s="443"/>
      <c r="AL488" s="443"/>
      <c r="AM488" s="443"/>
      <c r="AN488" s="443"/>
      <c r="AO488" s="443"/>
      <c r="AP488" s="443"/>
      <c r="AQ488" s="443"/>
      <c r="AR488" s="443"/>
      <c r="AS488" s="443"/>
      <c r="AT488" s="443"/>
      <c r="AU488" s="443"/>
      <c r="AV488" s="443"/>
      <c r="AW488" s="443"/>
      <c r="AX488" s="194"/>
      <c r="AY488" s="194"/>
      <c r="AZ488" s="194"/>
    </row>
    <row r="489" spans="1:52" s="111" customFormat="1" outlineLevel="1">
      <c r="A489" s="551" t="str">
        <f t="shared" si="83"/>
        <v>1</v>
      </c>
      <c r="L489" s="412" t="s">
        <v>575</v>
      </c>
      <c r="M489" s="422" t="s">
        <v>576</v>
      </c>
      <c r="N489" s="414" t="s">
        <v>370</v>
      </c>
      <c r="O489" s="415"/>
      <c r="P489" s="415"/>
      <c r="Q489" s="415"/>
      <c r="R489" s="416">
        <f t="shared" si="84"/>
        <v>0</v>
      </c>
      <c r="S489" s="443"/>
      <c r="T489" s="443"/>
      <c r="U489" s="443"/>
      <c r="V489" s="443"/>
      <c r="W489" s="443"/>
      <c r="X489" s="443"/>
      <c r="Y489" s="443"/>
      <c r="Z489" s="443"/>
      <c r="AA489" s="443"/>
      <c r="AB489" s="443"/>
      <c r="AC489" s="443"/>
      <c r="AD489" s="443"/>
      <c r="AE489" s="443"/>
      <c r="AF489" s="443"/>
      <c r="AG489" s="443"/>
      <c r="AH489" s="443"/>
      <c r="AI489" s="443"/>
      <c r="AJ489" s="443"/>
      <c r="AK489" s="443"/>
      <c r="AL489" s="443"/>
      <c r="AM489" s="443"/>
      <c r="AN489" s="443"/>
      <c r="AO489" s="443"/>
      <c r="AP489" s="443"/>
      <c r="AQ489" s="443"/>
      <c r="AR489" s="443"/>
      <c r="AS489" s="443"/>
      <c r="AT489" s="443"/>
      <c r="AU489" s="443"/>
      <c r="AV489" s="443"/>
      <c r="AW489" s="443"/>
      <c r="AX489" s="194"/>
      <c r="AY489" s="194"/>
      <c r="AZ489" s="194"/>
    </row>
    <row r="490" spans="1:52" s="111" customFormat="1" outlineLevel="1">
      <c r="A490" s="551" t="str">
        <f t="shared" si="83"/>
        <v>1</v>
      </c>
      <c r="L490" s="412" t="s">
        <v>577</v>
      </c>
      <c r="M490" s="422" t="s">
        <v>578</v>
      </c>
      <c r="N490" s="414" t="s">
        <v>370</v>
      </c>
      <c r="O490" s="415"/>
      <c r="P490" s="415"/>
      <c r="Q490" s="415"/>
      <c r="R490" s="416">
        <f t="shared" si="84"/>
        <v>0</v>
      </c>
      <c r="S490" s="443"/>
      <c r="T490" s="443"/>
      <c r="U490" s="443"/>
      <c r="V490" s="443"/>
      <c r="W490" s="443"/>
      <c r="X490" s="443"/>
      <c r="Y490" s="443"/>
      <c r="Z490" s="443"/>
      <c r="AA490" s="443"/>
      <c r="AB490" s="443"/>
      <c r="AC490" s="443"/>
      <c r="AD490" s="443"/>
      <c r="AE490" s="443"/>
      <c r="AF490" s="443"/>
      <c r="AG490" s="443"/>
      <c r="AH490" s="443"/>
      <c r="AI490" s="443"/>
      <c r="AJ490" s="443"/>
      <c r="AK490" s="443"/>
      <c r="AL490" s="443"/>
      <c r="AM490" s="443"/>
      <c r="AN490" s="443"/>
      <c r="AO490" s="443"/>
      <c r="AP490" s="443"/>
      <c r="AQ490" s="443"/>
      <c r="AR490" s="443"/>
      <c r="AS490" s="443"/>
      <c r="AT490" s="443"/>
      <c r="AU490" s="443"/>
      <c r="AV490" s="443"/>
      <c r="AW490" s="443"/>
      <c r="AX490" s="194"/>
      <c r="AY490" s="194"/>
      <c r="AZ490" s="194"/>
    </row>
    <row r="491" spans="1:52" s="111" customFormat="1" outlineLevel="1">
      <c r="A491" s="551" t="str">
        <f t="shared" si="83"/>
        <v>1</v>
      </c>
      <c r="L491" s="412" t="s">
        <v>579</v>
      </c>
      <c r="M491" s="422" t="s">
        <v>580</v>
      </c>
      <c r="N491" s="414" t="s">
        <v>370</v>
      </c>
      <c r="O491" s="415"/>
      <c r="P491" s="415"/>
      <c r="Q491" s="415"/>
      <c r="R491" s="416">
        <f t="shared" si="84"/>
        <v>0</v>
      </c>
      <c r="S491" s="443"/>
      <c r="T491" s="443"/>
      <c r="U491" s="443"/>
      <c r="V491" s="443"/>
      <c r="W491" s="443"/>
      <c r="X491" s="443"/>
      <c r="Y491" s="443"/>
      <c r="Z491" s="443"/>
      <c r="AA491" s="443"/>
      <c r="AB491" s="443"/>
      <c r="AC491" s="443"/>
      <c r="AD491" s="443"/>
      <c r="AE491" s="443"/>
      <c r="AF491" s="443"/>
      <c r="AG491" s="443"/>
      <c r="AH491" s="443"/>
      <c r="AI491" s="443"/>
      <c r="AJ491" s="443"/>
      <c r="AK491" s="443"/>
      <c r="AL491" s="443"/>
      <c r="AM491" s="443"/>
      <c r="AN491" s="443"/>
      <c r="AO491" s="443"/>
      <c r="AP491" s="443"/>
      <c r="AQ491" s="443"/>
      <c r="AR491" s="443"/>
      <c r="AS491" s="443"/>
      <c r="AT491" s="443"/>
      <c r="AU491" s="443"/>
      <c r="AV491" s="443"/>
      <c r="AW491" s="443"/>
      <c r="AX491" s="194"/>
      <c r="AY491" s="194"/>
      <c r="AZ491" s="194"/>
    </row>
    <row r="492" spans="1:52" s="111" customFormat="1" outlineLevel="1">
      <c r="A492" s="551" t="str">
        <f t="shared" si="83"/>
        <v>1</v>
      </c>
      <c r="L492" s="412" t="s">
        <v>581</v>
      </c>
      <c r="M492" s="422" t="s">
        <v>582</v>
      </c>
      <c r="N492" s="414" t="s">
        <v>370</v>
      </c>
      <c r="O492" s="415"/>
      <c r="P492" s="415"/>
      <c r="Q492" s="415"/>
      <c r="R492" s="416">
        <f t="shared" si="84"/>
        <v>0</v>
      </c>
      <c r="S492" s="443"/>
      <c r="T492" s="443"/>
      <c r="U492" s="443"/>
      <c r="V492" s="443"/>
      <c r="W492" s="443"/>
      <c r="X492" s="443"/>
      <c r="Y492" s="443"/>
      <c r="Z492" s="443"/>
      <c r="AA492" s="443"/>
      <c r="AB492" s="443"/>
      <c r="AC492" s="443"/>
      <c r="AD492" s="443"/>
      <c r="AE492" s="443"/>
      <c r="AF492" s="443"/>
      <c r="AG492" s="443"/>
      <c r="AH492" s="443"/>
      <c r="AI492" s="443"/>
      <c r="AJ492" s="443"/>
      <c r="AK492" s="443"/>
      <c r="AL492" s="443"/>
      <c r="AM492" s="443"/>
      <c r="AN492" s="443"/>
      <c r="AO492" s="443"/>
      <c r="AP492" s="443"/>
      <c r="AQ492" s="443"/>
      <c r="AR492" s="443"/>
      <c r="AS492" s="443"/>
      <c r="AT492" s="443"/>
      <c r="AU492" s="443"/>
      <c r="AV492" s="443"/>
      <c r="AW492" s="443"/>
      <c r="AX492" s="194"/>
      <c r="AY492" s="194"/>
      <c r="AZ492" s="194"/>
    </row>
    <row r="493" spans="1:52" s="111" customFormat="1" outlineLevel="1">
      <c r="A493" s="551" t="str">
        <f t="shared" si="83"/>
        <v>1</v>
      </c>
      <c r="L493" s="412" t="s">
        <v>583</v>
      </c>
      <c r="M493" s="422" t="s">
        <v>584</v>
      </c>
      <c r="N493" s="414" t="s">
        <v>370</v>
      </c>
      <c r="O493" s="415"/>
      <c r="P493" s="415"/>
      <c r="Q493" s="415"/>
      <c r="R493" s="416">
        <f t="shared" si="84"/>
        <v>0</v>
      </c>
      <c r="S493" s="443"/>
      <c r="T493" s="443"/>
      <c r="U493" s="443"/>
      <c r="V493" s="443"/>
      <c r="W493" s="443"/>
      <c r="X493" s="443"/>
      <c r="Y493" s="443"/>
      <c r="Z493" s="443"/>
      <c r="AA493" s="443"/>
      <c r="AB493" s="443"/>
      <c r="AC493" s="443"/>
      <c r="AD493" s="443"/>
      <c r="AE493" s="443"/>
      <c r="AF493" s="443"/>
      <c r="AG493" s="443"/>
      <c r="AH493" s="443"/>
      <c r="AI493" s="443"/>
      <c r="AJ493" s="443"/>
      <c r="AK493" s="443"/>
      <c r="AL493" s="443"/>
      <c r="AM493" s="443"/>
      <c r="AN493" s="443"/>
      <c r="AO493" s="443"/>
      <c r="AP493" s="443"/>
      <c r="AQ493" s="443"/>
      <c r="AR493" s="443"/>
      <c r="AS493" s="443"/>
      <c r="AT493" s="443"/>
      <c r="AU493" s="443"/>
      <c r="AV493" s="443"/>
      <c r="AW493" s="443"/>
      <c r="AX493" s="194"/>
      <c r="AY493" s="194"/>
      <c r="AZ493" s="194"/>
    </row>
    <row r="494" spans="1:52" s="111" customFormat="1" outlineLevel="1">
      <c r="A494" s="551" t="str">
        <f t="shared" si="83"/>
        <v>1</v>
      </c>
      <c r="L494" s="412" t="s">
        <v>585</v>
      </c>
      <c r="M494" s="422" t="s">
        <v>586</v>
      </c>
      <c r="N494" s="414" t="s">
        <v>370</v>
      </c>
      <c r="O494" s="415"/>
      <c r="P494" s="415"/>
      <c r="Q494" s="415"/>
      <c r="R494" s="416">
        <f t="shared" si="84"/>
        <v>0</v>
      </c>
      <c r="S494" s="443"/>
      <c r="T494" s="443"/>
      <c r="U494" s="443"/>
      <c r="V494" s="443"/>
      <c r="W494" s="443"/>
      <c r="X494" s="443"/>
      <c r="Y494" s="443"/>
      <c r="Z494" s="443"/>
      <c r="AA494" s="443"/>
      <c r="AB494" s="443"/>
      <c r="AC494" s="443"/>
      <c r="AD494" s="443"/>
      <c r="AE494" s="443"/>
      <c r="AF494" s="443"/>
      <c r="AG494" s="443"/>
      <c r="AH494" s="443"/>
      <c r="AI494" s="443"/>
      <c r="AJ494" s="443"/>
      <c r="AK494" s="443"/>
      <c r="AL494" s="443"/>
      <c r="AM494" s="443"/>
      <c r="AN494" s="443"/>
      <c r="AO494" s="443"/>
      <c r="AP494" s="443"/>
      <c r="AQ494" s="443"/>
      <c r="AR494" s="443"/>
      <c r="AS494" s="443"/>
      <c r="AT494" s="443"/>
      <c r="AU494" s="443"/>
      <c r="AV494" s="443"/>
      <c r="AW494" s="443"/>
      <c r="AX494" s="194"/>
      <c r="AY494" s="194"/>
      <c r="AZ494" s="194"/>
    </row>
    <row r="495" spans="1:52" s="111" customFormat="1" outlineLevel="1">
      <c r="A495" s="551" t="str">
        <f t="shared" si="83"/>
        <v>1</v>
      </c>
      <c r="L495" s="412" t="s">
        <v>1436</v>
      </c>
      <c r="M495" s="422" t="s">
        <v>1437</v>
      </c>
      <c r="N495" s="414" t="s">
        <v>370</v>
      </c>
      <c r="O495" s="415"/>
      <c r="P495" s="415"/>
      <c r="Q495" s="415"/>
      <c r="R495" s="416">
        <f>Q495-P495</f>
        <v>0</v>
      </c>
      <c r="S495" s="443"/>
      <c r="T495" s="443"/>
      <c r="U495" s="443"/>
      <c r="V495" s="443"/>
      <c r="W495" s="443"/>
      <c r="X495" s="443"/>
      <c r="Y495" s="443"/>
      <c r="Z495" s="443"/>
      <c r="AA495" s="443"/>
      <c r="AB495" s="443"/>
      <c r="AC495" s="443"/>
      <c r="AD495" s="443"/>
      <c r="AE495" s="443"/>
      <c r="AF495" s="443"/>
      <c r="AG495" s="443"/>
      <c r="AH495" s="443"/>
      <c r="AI495" s="443"/>
      <c r="AJ495" s="443"/>
      <c r="AK495" s="443"/>
      <c r="AL495" s="443"/>
      <c r="AM495" s="443"/>
      <c r="AN495" s="443"/>
      <c r="AO495" s="443"/>
      <c r="AP495" s="443"/>
      <c r="AQ495" s="443"/>
      <c r="AR495" s="443"/>
      <c r="AS495" s="443"/>
      <c r="AT495" s="443"/>
      <c r="AU495" s="443"/>
      <c r="AV495" s="443"/>
      <c r="AW495" s="443"/>
      <c r="AX495" s="194"/>
      <c r="AY495" s="194"/>
      <c r="AZ495" s="194"/>
    </row>
    <row r="496" spans="1:52" s="111" customFormat="1" ht="22.5" outlineLevel="1">
      <c r="A496" s="551" t="str">
        <f>A494</f>
        <v>1</v>
      </c>
      <c r="L496" s="412" t="s">
        <v>587</v>
      </c>
      <c r="M496" s="420" t="s">
        <v>588</v>
      </c>
      <c r="N496" s="414" t="s">
        <v>370</v>
      </c>
      <c r="O496" s="424" t="e">
        <f>O497+O498</f>
        <v>#N/A</v>
      </c>
      <c r="P496" s="424" t="e">
        <f>P497+P498</f>
        <v>#N/A</v>
      </c>
      <c r="Q496" s="424" t="e">
        <f>Q497+Q498</f>
        <v>#N/A</v>
      </c>
      <c r="R496" s="416" t="e">
        <f t="shared" si="84"/>
        <v>#N/A</v>
      </c>
      <c r="S496" s="443"/>
      <c r="T496" s="443"/>
      <c r="U496" s="443"/>
      <c r="V496" s="443"/>
      <c r="W496" s="443"/>
      <c r="X496" s="443"/>
      <c r="Y496" s="443"/>
      <c r="Z496" s="443"/>
      <c r="AA496" s="443"/>
      <c r="AB496" s="443"/>
      <c r="AC496" s="443"/>
      <c r="AD496" s="443"/>
      <c r="AE496" s="443"/>
      <c r="AF496" s="443"/>
      <c r="AG496" s="443"/>
      <c r="AH496" s="443"/>
      <c r="AI496" s="443"/>
      <c r="AJ496" s="443"/>
      <c r="AK496" s="443"/>
      <c r="AL496" s="443"/>
      <c r="AM496" s="443"/>
      <c r="AN496" s="443"/>
      <c r="AO496" s="443"/>
      <c r="AP496" s="443"/>
      <c r="AQ496" s="443"/>
      <c r="AR496" s="443"/>
      <c r="AS496" s="443"/>
      <c r="AT496" s="443"/>
      <c r="AU496" s="443"/>
      <c r="AV496" s="443"/>
      <c r="AW496" s="443"/>
      <c r="AX496" s="194"/>
      <c r="AY496" s="194"/>
      <c r="AZ496" s="194"/>
    </row>
    <row r="497" spans="1:53" s="111" customFormat="1" ht="22.5" outlineLevel="1">
      <c r="A497" s="551" t="str">
        <f t="shared" si="83"/>
        <v>1</v>
      </c>
      <c r="L497" s="412" t="s">
        <v>589</v>
      </c>
      <c r="M497" s="422" t="s">
        <v>590</v>
      </c>
      <c r="N497" s="427" t="s">
        <v>370</v>
      </c>
      <c r="O497" s="415"/>
      <c r="P497" s="415"/>
      <c r="Q497" s="415"/>
      <c r="R497" s="416">
        <f t="shared" si="84"/>
        <v>0</v>
      </c>
      <c r="S497" s="443"/>
      <c r="T497" s="443"/>
      <c r="U497" s="443"/>
      <c r="V497" s="443"/>
      <c r="W497" s="443"/>
      <c r="X497" s="443"/>
      <c r="Y497" s="443"/>
      <c r="Z497" s="443"/>
      <c r="AA497" s="443"/>
      <c r="AB497" s="443"/>
      <c r="AC497" s="443"/>
      <c r="AD497" s="443"/>
      <c r="AE497" s="443"/>
      <c r="AF497" s="443"/>
      <c r="AG497" s="443"/>
      <c r="AH497" s="443"/>
      <c r="AI497" s="443"/>
      <c r="AJ497" s="443"/>
      <c r="AK497" s="443"/>
      <c r="AL497" s="443"/>
      <c r="AM497" s="443"/>
      <c r="AN497" s="443"/>
      <c r="AO497" s="443"/>
      <c r="AP497" s="443"/>
      <c r="AQ497" s="443"/>
      <c r="AR497" s="443"/>
      <c r="AS497" s="443"/>
      <c r="AT497" s="443"/>
      <c r="AU497" s="443"/>
      <c r="AV497" s="443"/>
      <c r="AW497" s="443"/>
      <c r="AX497" s="194"/>
      <c r="AY497" s="194"/>
      <c r="AZ497" s="194"/>
    </row>
    <row r="498" spans="1:53" s="111" customFormat="1" ht="22.5" outlineLevel="1">
      <c r="A498" s="551" t="str">
        <f t="shared" si="83"/>
        <v>1</v>
      </c>
      <c r="L498" s="412" t="s">
        <v>591</v>
      </c>
      <c r="M498" s="422" t="s">
        <v>592</v>
      </c>
      <c r="N498" s="414" t="s">
        <v>370</v>
      </c>
      <c r="O498" s="415" t="e">
        <f>O497* SUMIFS(INDEX(Сценарии!$O$15:$AP$35,,MATCH(O$3,Сценарии!$O$3:$AP$3,0)),Сценарии!$A$15:$A$35,$A498,Сценарии!$B$15:$B$35,"СВФОТ")/100</f>
        <v>#N/A</v>
      </c>
      <c r="P498" s="415" t="e">
        <f>P497* SUMIFS(INDEX(Сценарии!$O$15:$AP$35,,MATCH(P$3,Сценарии!$O$3:$AP$3,0)),Сценарии!$A$15:$A$35,$A498,Сценарии!$B$15:$B$35,"СВФОТ")/100</f>
        <v>#N/A</v>
      </c>
      <c r="Q498" s="415" t="e">
        <f>Q497* SUMIFS(INDEX(Сценарии!$O$15:$AP$35,,MATCH(Q$3,Сценарии!$O$3:$AP$3,0)),Сценарии!$A$15:$A$35,$A498,Сценарии!$B$15:$B$35,"СВФОТ")/100</f>
        <v>#N/A</v>
      </c>
      <c r="R498" s="416" t="e">
        <f t="shared" si="84"/>
        <v>#N/A</v>
      </c>
      <c r="S498" s="443"/>
      <c r="T498" s="443"/>
      <c r="U498" s="443"/>
      <c r="V498" s="443"/>
      <c r="W498" s="443"/>
      <c r="X498" s="443"/>
      <c r="Y498" s="443"/>
      <c r="Z498" s="443"/>
      <c r="AA498" s="443"/>
      <c r="AB498" s="443"/>
      <c r="AC498" s="443"/>
      <c r="AD498" s="443"/>
      <c r="AE498" s="443"/>
      <c r="AF498" s="443"/>
      <c r="AG498" s="443"/>
      <c r="AH498" s="443"/>
      <c r="AI498" s="443"/>
      <c r="AJ498" s="443"/>
      <c r="AK498" s="443"/>
      <c r="AL498" s="443"/>
      <c r="AM498" s="443"/>
      <c r="AN498" s="443"/>
      <c r="AO498" s="443"/>
      <c r="AP498" s="443"/>
      <c r="AQ498" s="443"/>
      <c r="AR498" s="443"/>
      <c r="AS498" s="443"/>
      <c r="AT498" s="443"/>
      <c r="AU498" s="443"/>
      <c r="AV498" s="443"/>
      <c r="AW498" s="443"/>
      <c r="AX498" s="194"/>
      <c r="AY498" s="194"/>
      <c r="AZ498" s="194"/>
    </row>
    <row r="499" spans="1:53" s="111" customFormat="1" ht="33.75" outlineLevel="1">
      <c r="A499" s="551" t="str">
        <f t="shared" si="83"/>
        <v>1</v>
      </c>
      <c r="L499" s="412" t="s">
        <v>593</v>
      </c>
      <c r="M499" s="420" t="s">
        <v>594</v>
      </c>
      <c r="N499" s="414" t="s">
        <v>370</v>
      </c>
      <c r="O499" s="415"/>
      <c r="P499" s="415"/>
      <c r="Q499" s="415"/>
      <c r="R499" s="416">
        <f t="shared" si="84"/>
        <v>0</v>
      </c>
      <c r="S499" s="443"/>
      <c r="T499" s="443"/>
      <c r="U499" s="443"/>
      <c r="V499" s="443"/>
      <c r="W499" s="443"/>
      <c r="X499" s="443"/>
      <c r="Y499" s="443"/>
      <c r="Z499" s="443"/>
      <c r="AA499" s="443"/>
      <c r="AB499" s="443"/>
      <c r="AC499" s="443"/>
      <c r="AD499" s="443"/>
      <c r="AE499" s="443"/>
      <c r="AF499" s="443"/>
      <c r="AG499" s="443"/>
      <c r="AH499" s="443"/>
      <c r="AI499" s="443"/>
      <c r="AJ499" s="443"/>
      <c r="AK499" s="443"/>
      <c r="AL499" s="443"/>
      <c r="AM499" s="443"/>
      <c r="AN499" s="443"/>
      <c r="AO499" s="443"/>
      <c r="AP499" s="443"/>
      <c r="AQ499" s="443"/>
      <c r="AR499" s="443"/>
      <c r="AS499" s="443"/>
      <c r="AT499" s="443"/>
      <c r="AU499" s="443"/>
      <c r="AV499" s="443"/>
      <c r="AW499" s="443"/>
      <c r="AX499" s="194"/>
      <c r="AY499" s="194"/>
      <c r="AZ499" s="194"/>
    </row>
    <row r="500" spans="1:53" s="111" customFormat="1" outlineLevel="1">
      <c r="A500" s="551" t="str">
        <f t="shared" si="83"/>
        <v>1</v>
      </c>
      <c r="L500" s="412" t="s">
        <v>595</v>
      </c>
      <c r="M500" s="420" t="s">
        <v>596</v>
      </c>
      <c r="N500" s="414" t="s">
        <v>370</v>
      </c>
      <c r="O500" s="415"/>
      <c r="P500" s="415"/>
      <c r="Q500" s="415"/>
      <c r="R500" s="416">
        <f t="shared" si="84"/>
        <v>0</v>
      </c>
      <c r="S500" s="443"/>
      <c r="T500" s="443"/>
      <c r="U500" s="443"/>
      <c r="V500" s="443"/>
      <c r="W500" s="443"/>
      <c r="X500" s="443"/>
      <c r="Y500" s="443"/>
      <c r="Z500" s="443"/>
      <c r="AA500" s="443"/>
      <c r="AB500" s="443"/>
      <c r="AC500" s="443"/>
      <c r="AD500" s="443"/>
      <c r="AE500" s="443"/>
      <c r="AF500" s="443"/>
      <c r="AG500" s="443"/>
      <c r="AH500" s="443"/>
      <c r="AI500" s="443"/>
      <c r="AJ500" s="443"/>
      <c r="AK500" s="443"/>
      <c r="AL500" s="443"/>
      <c r="AM500" s="443"/>
      <c r="AN500" s="443"/>
      <c r="AO500" s="443"/>
      <c r="AP500" s="443"/>
      <c r="AQ500" s="443"/>
      <c r="AR500" s="443"/>
      <c r="AS500" s="443"/>
      <c r="AT500" s="443"/>
      <c r="AU500" s="443"/>
      <c r="AV500" s="443"/>
      <c r="AW500" s="443"/>
      <c r="AX500" s="194"/>
      <c r="AY500" s="194"/>
      <c r="AZ500" s="194"/>
    </row>
    <row r="501" spans="1:53" s="111" customFormat="1" outlineLevel="1">
      <c r="A501" s="551" t="str">
        <f t="shared" si="83"/>
        <v>1</v>
      </c>
      <c r="L501" s="412" t="s">
        <v>597</v>
      </c>
      <c r="M501" s="420" t="s">
        <v>598</v>
      </c>
      <c r="N501" s="414" t="s">
        <v>370</v>
      </c>
      <c r="O501" s="415"/>
      <c r="P501" s="415"/>
      <c r="Q501" s="415"/>
      <c r="R501" s="416">
        <f t="shared" si="84"/>
        <v>0</v>
      </c>
      <c r="S501" s="443"/>
      <c r="T501" s="443"/>
      <c r="U501" s="443"/>
      <c r="V501" s="443"/>
      <c r="W501" s="443"/>
      <c r="X501" s="443"/>
      <c r="Y501" s="443"/>
      <c r="Z501" s="443"/>
      <c r="AA501" s="443"/>
      <c r="AB501" s="443"/>
      <c r="AC501" s="443"/>
      <c r="AD501" s="443"/>
      <c r="AE501" s="443"/>
      <c r="AF501" s="443"/>
      <c r="AG501" s="443"/>
      <c r="AH501" s="443"/>
      <c r="AI501" s="443"/>
      <c r="AJ501" s="443"/>
      <c r="AK501" s="443"/>
      <c r="AL501" s="443"/>
      <c r="AM501" s="443"/>
      <c r="AN501" s="443"/>
      <c r="AO501" s="443"/>
      <c r="AP501" s="443"/>
      <c r="AQ501" s="443"/>
      <c r="AR501" s="443"/>
      <c r="AS501" s="443"/>
      <c r="AT501" s="443"/>
      <c r="AU501" s="443"/>
      <c r="AV501" s="443"/>
      <c r="AW501" s="443"/>
      <c r="AX501" s="194"/>
      <c r="AY501" s="194"/>
      <c r="AZ501" s="194"/>
    </row>
    <row r="502" spans="1:53" s="111" customFormat="1" outlineLevel="1">
      <c r="A502" s="551" t="str">
        <f t="shared" si="83"/>
        <v>1</v>
      </c>
      <c r="L502" s="412" t="s">
        <v>599</v>
      </c>
      <c r="M502" s="420" t="s">
        <v>600</v>
      </c>
      <c r="N502" s="414" t="s">
        <v>370</v>
      </c>
      <c r="O502" s="415"/>
      <c r="P502" s="415"/>
      <c r="Q502" s="415"/>
      <c r="R502" s="416">
        <f t="shared" si="84"/>
        <v>0</v>
      </c>
      <c r="S502" s="443"/>
      <c r="T502" s="443"/>
      <c r="U502" s="443"/>
      <c r="V502" s="443"/>
      <c r="W502" s="443"/>
      <c r="X502" s="443"/>
      <c r="Y502" s="443"/>
      <c r="Z502" s="443"/>
      <c r="AA502" s="443"/>
      <c r="AB502" s="443"/>
      <c r="AC502" s="443"/>
      <c r="AD502" s="443"/>
      <c r="AE502" s="443"/>
      <c r="AF502" s="443"/>
      <c r="AG502" s="443"/>
      <c r="AH502" s="443"/>
      <c r="AI502" s="443"/>
      <c r="AJ502" s="443"/>
      <c r="AK502" s="443"/>
      <c r="AL502" s="443"/>
      <c r="AM502" s="443"/>
      <c r="AN502" s="443"/>
      <c r="AO502" s="443"/>
      <c r="AP502" s="443"/>
      <c r="AQ502" s="443"/>
      <c r="AR502" s="443"/>
      <c r="AS502" s="443"/>
      <c r="AT502" s="443"/>
      <c r="AU502" s="443"/>
      <c r="AV502" s="443"/>
      <c r="AW502" s="443"/>
      <c r="AX502" s="194"/>
      <c r="AY502" s="194"/>
      <c r="AZ502" s="194"/>
    </row>
    <row r="503" spans="1:53" s="111" customFormat="1" outlineLevel="1">
      <c r="A503" s="551" t="str">
        <f t="shared" si="83"/>
        <v>1</v>
      </c>
      <c r="L503" s="412" t="s">
        <v>601</v>
      </c>
      <c r="M503" s="420" t="s">
        <v>602</v>
      </c>
      <c r="N503" s="414" t="s">
        <v>370</v>
      </c>
      <c r="O503" s="428">
        <f>SUM(O504:O506)</f>
        <v>0</v>
      </c>
      <c r="P503" s="428">
        <f>SUM(P504:P506)</f>
        <v>0</v>
      </c>
      <c r="Q503" s="428">
        <f>SUM(Q504:Q506)</f>
        <v>0</v>
      </c>
      <c r="R503" s="416">
        <f t="shared" si="84"/>
        <v>0</v>
      </c>
      <c r="S503" s="443"/>
      <c r="T503" s="443"/>
      <c r="U503" s="443"/>
      <c r="V503" s="443"/>
      <c r="W503" s="443"/>
      <c r="X503" s="443"/>
      <c r="Y503" s="443"/>
      <c r="Z503" s="443"/>
      <c r="AA503" s="443"/>
      <c r="AB503" s="443"/>
      <c r="AC503" s="443"/>
      <c r="AD503" s="443"/>
      <c r="AE503" s="443"/>
      <c r="AF503" s="443"/>
      <c r="AG503" s="443"/>
      <c r="AH503" s="443"/>
      <c r="AI503" s="443"/>
      <c r="AJ503" s="443"/>
      <c r="AK503" s="443"/>
      <c r="AL503" s="443"/>
      <c r="AM503" s="443"/>
      <c r="AN503" s="443"/>
      <c r="AO503" s="443"/>
      <c r="AP503" s="443"/>
      <c r="AQ503" s="443"/>
      <c r="AR503" s="443"/>
      <c r="AS503" s="443"/>
      <c r="AT503" s="443"/>
      <c r="AU503" s="443"/>
      <c r="AV503" s="443"/>
      <c r="AW503" s="443"/>
      <c r="AX503" s="194"/>
      <c r="AY503" s="194"/>
      <c r="AZ503" s="194"/>
    </row>
    <row r="504" spans="1:53" s="111" customFormat="1" outlineLevel="1">
      <c r="A504" s="551" t="str">
        <f t="shared" si="83"/>
        <v>1</v>
      </c>
      <c r="L504" s="412" t="s">
        <v>1343</v>
      </c>
      <c r="M504" s="423" t="s">
        <v>603</v>
      </c>
      <c r="N504" s="414" t="s">
        <v>370</v>
      </c>
      <c r="O504" s="415"/>
      <c r="P504" s="415"/>
      <c r="Q504" s="415"/>
      <c r="R504" s="416">
        <f t="shared" si="84"/>
        <v>0</v>
      </c>
      <c r="S504" s="443"/>
      <c r="T504" s="443"/>
      <c r="U504" s="443"/>
      <c r="V504" s="443"/>
      <c r="W504" s="443"/>
      <c r="X504" s="443"/>
      <c r="Y504" s="443"/>
      <c r="Z504" s="443"/>
      <c r="AA504" s="443"/>
      <c r="AB504" s="443"/>
      <c r="AC504" s="443"/>
      <c r="AD504" s="443"/>
      <c r="AE504" s="443"/>
      <c r="AF504" s="443"/>
      <c r="AG504" s="443"/>
      <c r="AH504" s="443"/>
      <c r="AI504" s="443"/>
      <c r="AJ504" s="443"/>
      <c r="AK504" s="443"/>
      <c r="AL504" s="443"/>
      <c r="AM504" s="443"/>
      <c r="AN504" s="443"/>
      <c r="AO504" s="443"/>
      <c r="AP504" s="443"/>
      <c r="AQ504" s="443"/>
      <c r="AR504" s="443"/>
      <c r="AS504" s="443"/>
      <c r="AT504" s="443"/>
      <c r="AU504" s="443"/>
      <c r="AV504" s="443"/>
      <c r="AW504" s="443"/>
      <c r="AX504" s="194"/>
      <c r="AY504" s="194"/>
      <c r="AZ504" s="194"/>
    </row>
    <row r="505" spans="1:53" s="111" customFormat="1" outlineLevel="1">
      <c r="A505" s="551" t="str">
        <f t="shared" si="83"/>
        <v>1</v>
      </c>
      <c r="L505" s="412" t="s">
        <v>1344</v>
      </c>
      <c r="M505" s="423" t="s">
        <v>604</v>
      </c>
      <c r="N505" s="414" t="s">
        <v>370</v>
      </c>
      <c r="O505" s="415"/>
      <c r="P505" s="415"/>
      <c r="Q505" s="415"/>
      <c r="R505" s="416">
        <f t="shared" si="84"/>
        <v>0</v>
      </c>
      <c r="S505" s="443"/>
      <c r="T505" s="443"/>
      <c r="U505" s="443"/>
      <c r="V505" s="443"/>
      <c r="W505" s="443"/>
      <c r="X505" s="443"/>
      <c r="Y505" s="443"/>
      <c r="Z505" s="443"/>
      <c r="AA505" s="443"/>
      <c r="AB505" s="443"/>
      <c r="AC505" s="443"/>
      <c r="AD505" s="443"/>
      <c r="AE505" s="443"/>
      <c r="AF505" s="443"/>
      <c r="AG505" s="443"/>
      <c r="AH505" s="443"/>
      <c r="AI505" s="443"/>
      <c r="AJ505" s="443"/>
      <c r="AK505" s="443"/>
      <c r="AL505" s="443"/>
      <c r="AM505" s="443"/>
      <c r="AN505" s="443"/>
      <c r="AO505" s="443"/>
      <c r="AP505" s="443"/>
      <c r="AQ505" s="443"/>
      <c r="AR505" s="443"/>
      <c r="AS505" s="443"/>
      <c r="AT505" s="443"/>
      <c r="AU505" s="443"/>
      <c r="AV505" s="443"/>
      <c r="AW505" s="443"/>
      <c r="AX505" s="194"/>
      <c r="AY505" s="194"/>
      <c r="AZ505" s="194"/>
    </row>
    <row r="506" spans="1:53" s="111" customFormat="1" outlineLevel="1">
      <c r="A506" s="551" t="str">
        <f t="shared" si="83"/>
        <v>1</v>
      </c>
      <c r="L506" s="412" t="s">
        <v>1434</v>
      </c>
      <c r="M506" s="422" t="s">
        <v>1435</v>
      </c>
      <c r="N506" s="414" t="s">
        <v>370</v>
      </c>
      <c r="O506" s="415"/>
      <c r="P506" s="415"/>
      <c r="Q506" s="415"/>
      <c r="R506" s="416">
        <f>Q506-P506</f>
        <v>0</v>
      </c>
      <c r="S506" s="443"/>
      <c r="T506" s="443"/>
      <c r="U506" s="443"/>
      <c r="V506" s="443"/>
      <c r="W506" s="443"/>
      <c r="X506" s="443"/>
      <c r="Y506" s="443"/>
      <c r="Z506" s="443"/>
      <c r="AA506" s="443"/>
      <c r="AB506" s="443"/>
      <c r="AC506" s="443"/>
      <c r="AD506" s="443"/>
      <c r="AE506" s="443"/>
      <c r="AF506" s="443"/>
      <c r="AG506" s="443"/>
      <c r="AH506" s="443"/>
      <c r="AI506" s="443"/>
      <c r="AJ506" s="443"/>
      <c r="AK506" s="443"/>
      <c r="AL506" s="443"/>
      <c r="AM506" s="443"/>
      <c r="AN506" s="443"/>
      <c r="AO506" s="443"/>
      <c r="AP506" s="443"/>
      <c r="AQ506" s="443"/>
      <c r="AR506" s="443"/>
      <c r="AS506" s="443"/>
      <c r="AT506" s="443"/>
      <c r="AU506" s="443"/>
      <c r="AV506" s="443"/>
      <c r="AW506" s="443"/>
      <c r="AX506" s="194"/>
      <c r="AY506" s="194"/>
      <c r="AZ506" s="194"/>
    </row>
    <row r="507" spans="1:53" s="111" customFormat="1" ht="22.5" outlineLevel="1">
      <c r="A507" s="551" t="str">
        <f>A505</f>
        <v>1</v>
      </c>
      <c r="L507" s="412" t="s">
        <v>382</v>
      </c>
      <c r="M507" s="413" t="s">
        <v>605</v>
      </c>
      <c r="N507" s="414" t="s">
        <v>370</v>
      </c>
      <c r="O507" s="415"/>
      <c r="P507" s="415"/>
      <c r="Q507" s="415"/>
      <c r="R507" s="416">
        <f t="shared" si="84"/>
        <v>0</v>
      </c>
      <c r="S507" s="443"/>
      <c r="T507" s="443"/>
      <c r="U507" s="443"/>
      <c r="V507" s="443"/>
      <c r="W507" s="443"/>
      <c r="X507" s="443"/>
      <c r="Y507" s="443"/>
      <c r="Z507" s="443"/>
      <c r="AA507" s="443"/>
      <c r="AB507" s="443"/>
      <c r="AC507" s="443"/>
      <c r="AD507" s="443"/>
      <c r="AE507" s="443"/>
      <c r="AF507" s="443"/>
      <c r="AG507" s="443"/>
      <c r="AH507" s="443"/>
      <c r="AI507" s="443"/>
      <c r="AJ507" s="443"/>
      <c r="AK507" s="443"/>
      <c r="AL507" s="443"/>
      <c r="AM507" s="443"/>
      <c r="AN507" s="443"/>
      <c r="AO507" s="443"/>
      <c r="AP507" s="443"/>
      <c r="AQ507" s="443"/>
      <c r="AR507" s="443"/>
      <c r="AS507" s="443"/>
      <c r="AT507" s="443"/>
      <c r="AU507" s="443"/>
      <c r="AV507" s="443"/>
      <c r="AW507" s="443"/>
      <c r="AX507" s="194"/>
      <c r="AY507" s="194"/>
      <c r="AZ507" s="194"/>
    </row>
    <row r="508" spans="1:53" s="111" customFormat="1" outlineLevel="1">
      <c r="A508" s="551" t="str">
        <f t="shared" si="83"/>
        <v>1</v>
      </c>
      <c r="L508" s="412" t="s">
        <v>1242</v>
      </c>
      <c r="M508" s="413" t="s">
        <v>1243</v>
      </c>
      <c r="N508" s="414" t="s">
        <v>370</v>
      </c>
      <c r="O508" s="415"/>
      <c r="P508" s="415"/>
      <c r="Q508" s="415"/>
      <c r="R508" s="416">
        <f>Q508-P508</f>
        <v>0</v>
      </c>
      <c r="S508" s="443"/>
      <c r="T508" s="443"/>
      <c r="U508" s="443"/>
      <c r="V508" s="443"/>
      <c r="W508" s="443"/>
      <c r="X508" s="443"/>
      <c r="Y508" s="443"/>
      <c r="Z508" s="443"/>
      <c r="AA508" s="443"/>
      <c r="AB508" s="443"/>
      <c r="AC508" s="443"/>
      <c r="AD508" s="443"/>
      <c r="AE508" s="443"/>
      <c r="AF508" s="443"/>
      <c r="AG508" s="443"/>
      <c r="AH508" s="443"/>
      <c r="AI508" s="443"/>
      <c r="AJ508" s="443"/>
      <c r="AK508" s="443"/>
      <c r="AL508" s="443"/>
      <c r="AM508" s="443"/>
      <c r="AN508" s="443"/>
      <c r="AO508" s="443"/>
      <c r="AP508" s="443"/>
      <c r="AQ508" s="443"/>
      <c r="AR508" s="443"/>
      <c r="AS508" s="443"/>
      <c r="AT508" s="443"/>
      <c r="AU508" s="443"/>
      <c r="AV508" s="443"/>
      <c r="AW508" s="443"/>
      <c r="AX508" s="194"/>
      <c r="AY508" s="194"/>
      <c r="AZ508" s="194"/>
    </row>
    <row r="509" spans="1:53" s="116" customFormat="1" outlineLevel="1">
      <c r="A509" s="551" t="str">
        <f t="shared" si="83"/>
        <v>1</v>
      </c>
      <c r="L509" s="432" t="s">
        <v>1359</v>
      </c>
      <c r="M509" s="536" t="s">
        <v>1360</v>
      </c>
      <c r="N509" s="433" t="s">
        <v>370</v>
      </c>
      <c r="O509" s="411">
        <f>SUM(O510:O511)</f>
        <v>0</v>
      </c>
      <c r="P509" s="411">
        <f>SUM(P510:P511)</f>
        <v>0</v>
      </c>
      <c r="Q509" s="411">
        <f>SUM(Q510:Q511)</f>
        <v>0</v>
      </c>
      <c r="R509" s="410">
        <f>Q509-P509</f>
        <v>0</v>
      </c>
      <c r="S509" s="443"/>
      <c r="T509" s="443"/>
      <c r="U509" s="552"/>
      <c r="V509" s="552"/>
      <c r="W509" s="552"/>
      <c r="X509" s="552"/>
      <c r="Y509" s="552"/>
      <c r="Z509" s="552"/>
      <c r="AA509" s="552"/>
      <c r="AB509" s="552"/>
      <c r="AC509" s="552"/>
      <c r="AD509" s="443"/>
      <c r="AE509" s="443"/>
      <c r="AF509" s="552"/>
      <c r="AG509" s="552"/>
      <c r="AH509" s="552"/>
      <c r="AI509" s="552"/>
      <c r="AJ509" s="552"/>
      <c r="AK509" s="552"/>
      <c r="AL509" s="552"/>
      <c r="AM509" s="552"/>
      <c r="AN509" s="552"/>
      <c r="AO509" s="552"/>
      <c r="AP509" s="552"/>
      <c r="AQ509" s="552"/>
      <c r="AR509" s="552"/>
      <c r="AS509" s="552"/>
      <c r="AT509" s="552"/>
      <c r="AU509" s="552"/>
      <c r="AV509" s="552"/>
      <c r="AW509" s="552"/>
      <c r="AX509" s="538"/>
      <c r="AY509" s="538"/>
      <c r="AZ509" s="538"/>
    </row>
    <row r="510" spans="1:53" s="111" customFormat="1" hidden="1" outlineLevel="1">
      <c r="A510" s="551" t="str">
        <f t="shared" si="83"/>
        <v>1</v>
      </c>
      <c r="L510" s="412" t="s">
        <v>1361</v>
      </c>
      <c r="M510" s="413"/>
      <c r="N510" s="414"/>
      <c r="O510" s="553"/>
      <c r="P510" s="553"/>
      <c r="Q510" s="553"/>
      <c r="R510" s="553"/>
      <c r="S510" s="553"/>
      <c r="T510" s="553"/>
      <c r="U510" s="553"/>
      <c r="V510" s="553"/>
      <c r="W510" s="553"/>
      <c r="X510" s="553"/>
      <c r="Y510" s="553"/>
      <c r="Z510" s="553"/>
      <c r="AA510" s="553"/>
      <c r="AB510" s="553"/>
      <c r="AC510" s="553"/>
      <c r="AD510" s="553"/>
      <c r="AE510" s="553"/>
      <c r="AF510" s="553"/>
      <c r="AG510" s="553"/>
      <c r="AH510" s="553"/>
      <c r="AI510" s="553"/>
      <c r="AJ510" s="553"/>
      <c r="AK510" s="553"/>
      <c r="AL510" s="553"/>
      <c r="AM510" s="553"/>
      <c r="AN510" s="553"/>
      <c r="AO510" s="553"/>
      <c r="AP510" s="553"/>
      <c r="AQ510" s="553"/>
      <c r="AR510" s="553"/>
      <c r="AS510" s="553"/>
      <c r="AT510" s="553"/>
      <c r="AU510" s="553"/>
      <c r="AV510" s="553"/>
      <c r="AW510" s="553"/>
      <c r="AX510" s="554"/>
      <c r="AY510" s="554"/>
      <c r="AZ510" s="554"/>
    </row>
    <row r="511" spans="1:53" s="111" customFormat="1" ht="15" outlineLevel="1">
      <c r="A511" s="551" t="str">
        <f t="shared" si="83"/>
        <v>1</v>
      </c>
      <c r="B511" s="555"/>
      <c r="L511" s="257"/>
      <c r="M511" s="556" t="s">
        <v>371</v>
      </c>
      <c r="N511" s="258"/>
      <c r="O511" s="258"/>
      <c r="P511" s="258"/>
      <c r="Q511" s="258"/>
      <c r="R511" s="258"/>
      <c r="S511" s="258"/>
      <c r="T511" s="258"/>
      <c r="U511" s="258"/>
      <c r="V511" s="258"/>
      <c r="W511" s="258"/>
      <c r="X511" s="258"/>
      <c r="Y511" s="258"/>
      <c r="Z511" s="258"/>
      <c r="AA511" s="258"/>
      <c r="AB511" s="258"/>
      <c r="AC511" s="258"/>
      <c r="AD511" s="258"/>
      <c r="AE511" s="258"/>
      <c r="AF511" s="258"/>
      <c r="AG511" s="258"/>
      <c r="AH511" s="258"/>
      <c r="AI511" s="258"/>
      <c r="AJ511" s="258"/>
      <c r="AK511" s="258"/>
      <c r="AL511" s="258"/>
      <c r="AM511" s="258"/>
      <c r="AN511" s="258"/>
      <c r="AO511" s="258"/>
      <c r="AP511" s="258"/>
      <c r="AQ511" s="258"/>
      <c r="AR511" s="258"/>
      <c r="AS511" s="258"/>
      <c r="AT511" s="258"/>
      <c r="AU511" s="258"/>
      <c r="AV511" s="258"/>
      <c r="AW511" s="258"/>
      <c r="AX511" s="258"/>
      <c r="AY511" s="258"/>
      <c r="AZ511" s="259"/>
    </row>
    <row r="512" spans="1:53" s="116" customFormat="1" outlineLevel="1">
      <c r="A512" s="551" t="str">
        <f>A508</f>
        <v>1</v>
      </c>
      <c r="L512" s="407" t="s">
        <v>102</v>
      </c>
      <c r="M512" s="408" t="s">
        <v>606</v>
      </c>
      <c r="N512" s="409" t="s">
        <v>370</v>
      </c>
      <c r="O512" s="411">
        <f>O513+O524+O525++O535+O536+O537+O539+O540+O541+O542+O545</f>
        <v>0</v>
      </c>
      <c r="P512" s="411">
        <f>P513+P524+P525++P535+P536+P537+P539+P540+P541+P542+P545</f>
        <v>2262.0700000000002</v>
      </c>
      <c r="Q512" s="411">
        <f>Q513+Q524+Q525++Q535+Q536+Q537+Q539+Q540+Q541+Q542+Q545</f>
        <v>1613.5700000000002</v>
      </c>
      <c r="R512" s="410">
        <f t="shared" ref="R512:R522" si="87">Q512-P512</f>
        <v>-648.5</v>
      </c>
      <c r="S512" s="411">
        <f>S513+S524+S525++S535+S536+S537+S539+S540+S541+S542+S545</f>
        <v>2647.12</v>
      </c>
      <c r="T512" s="411">
        <f t="shared" ref="T512:AM512" si="88">T513+T524+T525++T535+T536+T537+T539+T540+T541+T542+T545</f>
        <v>2781.78</v>
      </c>
      <c r="U512" s="411">
        <f t="shared" si="88"/>
        <v>0</v>
      </c>
      <c r="V512" s="411">
        <f t="shared" si="88"/>
        <v>0</v>
      </c>
      <c r="W512" s="411">
        <f t="shared" si="88"/>
        <v>0</v>
      </c>
      <c r="X512" s="411">
        <f t="shared" si="88"/>
        <v>0</v>
      </c>
      <c r="Y512" s="411">
        <f t="shared" si="88"/>
        <v>0</v>
      </c>
      <c r="Z512" s="411">
        <f t="shared" si="88"/>
        <v>0</v>
      </c>
      <c r="AA512" s="411">
        <f t="shared" si="88"/>
        <v>0</v>
      </c>
      <c r="AB512" s="411">
        <f t="shared" si="88"/>
        <v>0</v>
      </c>
      <c r="AC512" s="411">
        <f t="shared" si="88"/>
        <v>0</v>
      </c>
      <c r="AD512" s="411">
        <f t="shared" si="88"/>
        <v>2766.5800000000004</v>
      </c>
      <c r="AE512" s="411">
        <f t="shared" si="88"/>
        <v>0</v>
      </c>
      <c r="AF512" s="411">
        <f t="shared" si="88"/>
        <v>0</v>
      </c>
      <c r="AG512" s="411">
        <f t="shared" si="88"/>
        <v>0</v>
      </c>
      <c r="AH512" s="411">
        <f t="shared" si="88"/>
        <v>0</v>
      </c>
      <c r="AI512" s="411">
        <f t="shared" si="88"/>
        <v>0</v>
      </c>
      <c r="AJ512" s="411">
        <f t="shared" si="88"/>
        <v>0</v>
      </c>
      <c r="AK512" s="411">
        <f t="shared" si="88"/>
        <v>0</v>
      </c>
      <c r="AL512" s="411">
        <f t="shared" si="88"/>
        <v>0</v>
      </c>
      <c r="AM512" s="411">
        <f t="shared" si="88"/>
        <v>0</v>
      </c>
      <c r="AN512" s="410">
        <f>IF(S512=0,0,(AD512-S512)/S512*100)</f>
        <v>4.5128290368400563</v>
      </c>
      <c r="AO512" s="410">
        <f t="shared" ref="AO512:AW513" si="89">IF(AD512=0,0,(AE512-AD512)/AD512*100)</f>
        <v>-100</v>
      </c>
      <c r="AP512" s="410">
        <f t="shared" si="89"/>
        <v>0</v>
      </c>
      <c r="AQ512" s="410">
        <f t="shared" si="89"/>
        <v>0</v>
      </c>
      <c r="AR512" s="410">
        <f t="shared" si="89"/>
        <v>0</v>
      </c>
      <c r="AS512" s="410">
        <f t="shared" si="89"/>
        <v>0</v>
      </c>
      <c r="AT512" s="410">
        <f t="shared" si="89"/>
        <v>0</v>
      </c>
      <c r="AU512" s="410">
        <f t="shared" si="89"/>
        <v>0</v>
      </c>
      <c r="AV512" s="410">
        <f t="shared" si="89"/>
        <v>0</v>
      </c>
      <c r="AW512" s="410">
        <f t="shared" si="89"/>
        <v>0</v>
      </c>
      <c r="AX512" s="194"/>
      <c r="AY512" s="194"/>
      <c r="AZ512" s="194"/>
      <c r="BA512" s="113"/>
    </row>
    <row r="513" spans="1:52" s="116" customFormat="1" ht="22.5" outlineLevel="1">
      <c r="A513" s="568" t="str">
        <f t="shared" si="83"/>
        <v>1</v>
      </c>
      <c r="L513" s="432" t="s">
        <v>17</v>
      </c>
      <c r="M513" s="536" t="s">
        <v>607</v>
      </c>
      <c r="N513" s="433" t="s">
        <v>370</v>
      </c>
      <c r="O513" s="411">
        <f>SUM(O514:O523)</f>
        <v>0</v>
      </c>
      <c r="P513" s="411">
        <f>SUM(P514:P523)</f>
        <v>0</v>
      </c>
      <c r="Q513" s="411">
        <f>SUM(Q514:Q523)</f>
        <v>0</v>
      </c>
      <c r="R513" s="410">
        <f t="shared" si="87"/>
        <v>0</v>
      </c>
      <c r="S513" s="411">
        <f>SUM(S514:S523)</f>
        <v>0</v>
      </c>
      <c r="T513" s="411">
        <f t="shared" ref="T513:AM513" si="90">SUM(T514:T523)</f>
        <v>0</v>
      </c>
      <c r="U513" s="411">
        <f t="shared" si="90"/>
        <v>0</v>
      </c>
      <c r="V513" s="411">
        <f t="shared" si="90"/>
        <v>0</v>
      </c>
      <c r="W513" s="411">
        <f t="shared" si="90"/>
        <v>0</v>
      </c>
      <c r="X513" s="411">
        <f t="shared" si="90"/>
        <v>0</v>
      </c>
      <c r="Y513" s="411">
        <f t="shared" si="90"/>
        <v>0</v>
      </c>
      <c r="Z513" s="411">
        <f t="shared" si="90"/>
        <v>0</v>
      </c>
      <c r="AA513" s="411">
        <f t="shared" si="90"/>
        <v>0</v>
      </c>
      <c r="AB513" s="411">
        <f t="shared" si="90"/>
        <v>0</v>
      </c>
      <c r="AC513" s="411">
        <f t="shared" si="90"/>
        <v>0</v>
      </c>
      <c r="AD513" s="411">
        <f t="shared" si="90"/>
        <v>0</v>
      </c>
      <c r="AE513" s="411">
        <f t="shared" si="90"/>
        <v>0</v>
      </c>
      <c r="AF513" s="411">
        <f t="shared" si="90"/>
        <v>0</v>
      </c>
      <c r="AG513" s="411">
        <f t="shared" si="90"/>
        <v>0</v>
      </c>
      <c r="AH513" s="411">
        <f t="shared" si="90"/>
        <v>0</v>
      </c>
      <c r="AI513" s="411">
        <f t="shared" si="90"/>
        <v>0</v>
      </c>
      <c r="AJ513" s="411">
        <f t="shared" si="90"/>
        <v>0</v>
      </c>
      <c r="AK513" s="411">
        <f t="shared" si="90"/>
        <v>0</v>
      </c>
      <c r="AL513" s="411">
        <f t="shared" si="90"/>
        <v>0</v>
      </c>
      <c r="AM513" s="411">
        <f t="shared" si="90"/>
        <v>0</v>
      </c>
      <c r="AN513" s="410">
        <f>IF(S513=0,0,(AD513-S513)/S513*100)</f>
        <v>0</v>
      </c>
      <c r="AO513" s="410">
        <f t="shared" si="89"/>
        <v>0</v>
      </c>
      <c r="AP513" s="410">
        <f t="shared" si="89"/>
        <v>0</v>
      </c>
      <c r="AQ513" s="410">
        <f t="shared" si="89"/>
        <v>0</v>
      </c>
      <c r="AR513" s="410">
        <f t="shared" si="89"/>
        <v>0</v>
      </c>
      <c r="AS513" s="410">
        <f t="shared" si="89"/>
        <v>0</v>
      </c>
      <c r="AT513" s="410">
        <f t="shared" si="89"/>
        <v>0</v>
      </c>
      <c r="AU513" s="410">
        <f t="shared" si="89"/>
        <v>0</v>
      </c>
      <c r="AV513" s="410">
        <f t="shared" si="89"/>
        <v>0</v>
      </c>
      <c r="AW513" s="410">
        <f t="shared" si="89"/>
        <v>0</v>
      </c>
      <c r="AX513" s="538"/>
      <c r="AY513" s="538"/>
      <c r="AZ513" s="538"/>
    </row>
    <row r="514" spans="1:52" s="111" customFormat="1" outlineLevel="1">
      <c r="A514" s="551" t="str">
        <f t="shared" ref="A514:A533" si="91">A513</f>
        <v>1</v>
      </c>
      <c r="B514" s="111" t="s">
        <v>426</v>
      </c>
      <c r="L514" s="412" t="s">
        <v>144</v>
      </c>
      <c r="M514" s="420" t="s">
        <v>608</v>
      </c>
      <c r="N514" s="414" t="s">
        <v>370</v>
      </c>
      <c r="O514" s="428">
        <f>SUMIFS(Покупка!O$15:O$30,Покупка!$A$15:$A$30,$A514,Покупка!$M$15:$M$30,$B514)</f>
        <v>0</v>
      </c>
      <c r="P514" s="428">
        <f>SUMIFS(Покупка!P$15:P$30,Покупка!$A$15:$A$30,$A514,Покупка!$M$15:$M$30,$B514)</f>
        <v>0</v>
      </c>
      <c r="Q514" s="428">
        <f>SUMIFS(Покупка!Q$15:Q$30,Покупка!$A$15:$A$30,$A514,Покупка!$M$15:$M$30,$B514)</f>
        <v>0</v>
      </c>
      <c r="R514" s="416">
        <f t="shared" si="87"/>
        <v>0</v>
      </c>
      <c r="S514" s="428">
        <f>SUMIFS(Покупка!R$15:R$30,Покупка!$A$15:$A$30,$A514,Покупка!$M$15:$M$30,$B514)</f>
        <v>0</v>
      </c>
      <c r="T514" s="428">
        <f>SUMIFS(Покупка!S$15:S$30,Покупка!$A$15:$A$30,$A514,Покупка!$M$15:$M$30,$B514)</f>
        <v>0</v>
      </c>
      <c r="U514" s="428">
        <f>SUMIFS(Покупка!T$15:T$30,Покупка!$A$15:$A$30,$A514,Покупка!$M$15:$M$30,$B514)</f>
        <v>0</v>
      </c>
      <c r="V514" s="428">
        <f>SUMIFS(Покупка!U$15:U$30,Покупка!$A$15:$A$30,$A514,Покупка!$M$15:$M$30,$B514)</f>
        <v>0</v>
      </c>
      <c r="W514" s="428">
        <f>SUMIFS(Покупка!V$15:V$30,Покупка!$A$15:$A$30,$A514,Покупка!$M$15:$M$30,$B514)</f>
        <v>0</v>
      </c>
      <c r="X514" s="428">
        <f>SUMIFS(Покупка!W$15:W$30,Покупка!$A$15:$A$30,$A514,Покупка!$M$15:$M$30,$B514)</f>
        <v>0</v>
      </c>
      <c r="Y514" s="428">
        <f>SUMIFS(Покупка!X$15:X$30,Покупка!$A$15:$A$30,$A514,Покупка!$M$15:$M$30,$B514)</f>
        <v>0</v>
      </c>
      <c r="Z514" s="428">
        <f>SUMIFS(Покупка!Y$15:Y$30,Покупка!$A$15:$A$30,$A514,Покупка!$M$15:$M$30,$B514)</f>
        <v>0</v>
      </c>
      <c r="AA514" s="428">
        <f>SUMIFS(Покупка!Z$15:Z$30,Покупка!$A$15:$A$30,$A514,Покупка!$M$15:$M$30,$B514)</f>
        <v>0</v>
      </c>
      <c r="AB514" s="428">
        <f>SUMIFS(Покупка!AA$15:AA$30,Покупка!$A$15:$A$30,$A514,Покупка!$M$15:$M$30,$B514)</f>
        <v>0</v>
      </c>
      <c r="AC514" s="428">
        <f>SUMIFS(Покупка!AB$15:AB$30,Покупка!$A$15:$A$30,$A514,Покупка!$M$15:$M$30,$B514)</f>
        <v>0</v>
      </c>
      <c r="AD514" s="428">
        <f>SUMIFS(Покупка!AC$15:AC$30,Покупка!$A$15:$A$30,$A514,Покупка!$M$15:$M$30,$B514)</f>
        <v>0</v>
      </c>
      <c r="AE514" s="428">
        <f>SUMIFS(Покупка!AD$15:AD$30,Покупка!$A$15:$A$30,$A514,Покупка!$M$15:$M$30,$B514)</f>
        <v>0</v>
      </c>
      <c r="AF514" s="428">
        <f>SUMIFS(Покупка!AE$15:AE$30,Покупка!$A$15:$A$30,$A514,Покупка!$M$15:$M$30,$B514)</f>
        <v>0</v>
      </c>
      <c r="AG514" s="428">
        <f>SUMIFS(Покупка!AF$15:AF$30,Покупка!$A$15:$A$30,$A514,Покупка!$M$15:$M$30,$B514)</f>
        <v>0</v>
      </c>
      <c r="AH514" s="428">
        <f>SUMIFS(Покупка!AG$15:AG$30,Покупка!$A$15:$A$30,$A514,Покупка!$M$15:$M$30,$B514)</f>
        <v>0</v>
      </c>
      <c r="AI514" s="428">
        <f>SUMIFS(Покупка!AH$15:AH$30,Покупка!$A$15:$A$30,$A514,Покупка!$M$15:$M$30,$B514)</f>
        <v>0</v>
      </c>
      <c r="AJ514" s="428">
        <f>SUMIFS(Покупка!AI$15:AI$30,Покупка!$A$15:$A$30,$A514,Покупка!$M$15:$M$30,$B514)</f>
        <v>0</v>
      </c>
      <c r="AK514" s="428">
        <f>SUMIFS(Покупка!AJ$15:AJ$30,Покупка!$A$15:$A$30,$A514,Покупка!$M$15:$M$30,$B514)</f>
        <v>0</v>
      </c>
      <c r="AL514" s="428">
        <f>SUMIFS(Покупка!AK$15:AK$30,Покупка!$A$15:$A$30,$A514,Покупка!$M$15:$M$30,$B514)</f>
        <v>0</v>
      </c>
      <c r="AM514" s="428">
        <f>SUMIFS(Покупка!AL$15:AL$30,Покупка!$A$15:$A$30,$A514,Покупка!$M$15:$M$30,$B514)</f>
        <v>0</v>
      </c>
      <c r="AN514" s="416">
        <f t="shared" ref="AN514:AN554" si="92">IF(S514=0,0,(AD514-S514)/S514*100)</f>
        <v>0</v>
      </c>
      <c r="AO514" s="416">
        <f t="shared" ref="AO514:AO554" si="93">IF(AD514=0,0,(AE514-AD514)/AD514*100)</f>
        <v>0</v>
      </c>
      <c r="AP514" s="416">
        <f t="shared" ref="AP514:AP554" si="94">IF(AE514=0,0,(AF514-AE514)/AE514*100)</f>
        <v>0</v>
      </c>
      <c r="AQ514" s="416">
        <f t="shared" ref="AQ514:AQ554" si="95">IF(AF514=0,0,(AG514-AF514)/AF514*100)</f>
        <v>0</v>
      </c>
      <c r="AR514" s="416">
        <f t="shared" ref="AR514:AR554" si="96">IF(AG514=0,0,(AH514-AG514)/AG514*100)</f>
        <v>0</v>
      </c>
      <c r="AS514" s="416">
        <f t="shared" ref="AS514:AS554" si="97">IF(AH514=0,0,(AI514-AH514)/AH514*100)</f>
        <v>0</v>
      </c>
      <c r="AT514" s="416">
        <f t="shared" ref="AT514:AT554" si="98">IF(AI514=0,0,(AJ514-AI514)/AI514*100)</f>
        <v>0</v>
      </c>
      <c r="AU514" s="416">
        <f t="shared" ref="AU514:AU554" si="99">IF(AJ514=0,0,(AK514-AJ514)/AJ514*100)</f>
        <v>0</v>
      </c>
      <c r="AV514" s="416">
        <f t="shared" ref="AV514:AV554" si="100">IF(AK514=0,0,(AL514-AK514)/AK514*100)</f>
        <v>0</v>
      </c>
      <c r="AW514" s="416">
        <f t="shared" ref="AW514:AW554" si="101">IF(AL514=0,0,(AM514-AL514)/AL514*100)</f>
        <v>0</v>
      </c>
      <c r="AX514" s="194"/>
      <c r="AY514" s="194"/>
      <c r="AZ514" s="194"/>
    </row>
    <row r="515" spans="1:52" s="111" customFormat="1" outlineLevel="1">
      <c r="A515" s="551" t="str">
        <f t="shared" si="91"/>
        <v>1</v>
      </c>
      <c r="B515" s="111" t="s">
        <v>427</v>
      </c>
      <c r="L515" s="412" t="s">
        <v>609</v>
      </c>
      <c r="M515" s="420" t="s">
        <v>610</v>
      </c>
      <c r="N515" s="414" t="s">
        <v>370</v>
      </c>
      <c r="O515" s="428">
        <f>SUMIFS(Покупка!O$15:O$30,Покупка!$A$15:$A$30,$A515,Покупка!$M$15:$M$30,$B515)</f>
        <v>0</v>
      </c>
      <c r="P515" s="428">
        <f>SUMIFS(Покупка!P$15:P$30,Покупка!$A$15:$A$30,$A515,Покупка!$M$15:$M$30,$B515)</f>
        <v>0</v>
      </c>
      <c r="Q515" s="428">
        <f>SUMIFS(Покупка!Q$15:Q$30,Покупка!$A$15:$A$30,$A515,Покупка!$M$15:$M$30,$B515)</f>
        <v>0</v>
      </c>
      <c r="R515" s="416">
        <f t="shared" si="87"/>
        <v>0</v>
      </c>
      <c r="S515" s="428">
        <f>SUMIFS(Покупка!R$15:R$30,Покупка!$A$15:$A$30,$A515,Покупка!$M$15:$M$30,$B515)</f>
        <v>0</v>
      </c>
      <c r="T515" s="428">
        <f>SUMIFS(Покупка!S$15:S$30,Покупка!$A$15:$A$30,$A515,Покупка!$M$15:$M$30,$B515)</f>
        <v>0</v>
      </c>
      <c r="U515" s="428">
        <f>SUMIFS(Покупка!T$15:T$30,Покупка!$A$15:$A$30,$A515,Покупка!$M$15:$M$30,$B515)</f>
        <v>0</v>
      </c>
      <c r="V515" s="428">
        <f>SUMIFS(Покупка!U$15:U$30,Покупка!$A$15:$A$30,$A515,Покупка!$M$15:$M$30,$B515)</f>
        <v>0</v>
      </c>
      <c r="W515" s="428">
        <f>SUMIFS(Покупка!V$15:V$30,Покупка!$A$15:$A$30,$A515,Покупка!$M$15:$M$30,$B515)</f>
        <v>0</v>
      </c>
      <c r="X515" s="428">
        <f>SUMIFS(Покупка!W$15:W$30,Покупка!$A$15:$A$30,$A515,Покупка!$M$15:$M$30,$B515)</f>
        <v>0</v>
      </c>
      <c r="Y515" s="428">
        <f>SUMIFS(Покупка!X$15:X$30,Покупка!$A$15:$A$30,$A515,Покупка!$M$15:$M$30,$B515)</f>
        <v>0</v>
      </c>
      <c r="Z515" s="428">
        <f>SUMIFS(Покупка!Y$15:Y$30,Покупка!$A$15:$A$30,$A515,Покупка!$M$15:$M$30,$B515)</f>
        <v>0</v>
      </c>
      <c r="AA515" s="428">
        <f>SUMIFS(Покупка!Z$15:Z$30,Покупка!$A$15:$A$30,$A515,Покупка!$M$15:$M$30,$B515)</f>
        <v>0</v>
      </c>
      <c r="AB515" s="428">
        <f>SUMIFS(Покупка!AA$15:AA$30,Покупка!$A$15:$A$30,$A515,Покупка!$M$15:$M$30,$B515)</f>
        <v>0</v>
      </c>
      <c r="AC515" s="428">
        <f>SUMIFS(Покупка!AB$15:AB$30,Покупка!$A$15:$A$30,$A515,Покупка!$M$15:$M$30,$B515)</f>
        <v>0</v>
      </c>
      <c r="AD515" s="428">
        <f>SUMIFS(Покупка!AC$15:AC$30,Покупка!$A$15:$A$30,$A515,Покупка!$M$15:$M$30,$B515)</f>
        <v>0</v>
      </c>
      <c r="AE515" s="428">
        <f>SUMIFS(Покупка!AD$15:AD$30,Покупка!$A$15:$A$30,$A515,Покупка!$M$15:$M$30,$B515)</f>
        <v>0</v>
      </c>
      <c r="AF515" s="428">
        <f>SUMIFS(Покупка!AE$15:AE$30,Покупка!$A$15:$A$30,$A515,Покупка!$M$15:$M$30,$B515)</f>
        <v>0</v>
      </c>
      <c r="AG515" s="428">
        <f>SUMIFS(Покупка!AF$15:AF$30,Покупка!$A$15:$A$30,$A515,Покупка!$M$15:$M$30,$B515)</f>
        <v>0</v>
      </c>
      <c r="AH515" s="428">
        <f>SUMIFS(Покупка!AG$15:AG$30,Покупка!$A$15:$A$30,$A515,Покупка!$M$15:$M$30,$B515)</f>
        <v>0</v>
      </c>
      <c r="AI515" s="428">
        <f>SUMIFS(Покупка!AH$15:AH$30,Покупка!$A$15:$A$30,$A515,Покупка!$M$15:$M$30,$B515)</f>
        <v>0</v>
      </c>
      <c r="AJ515" s="428">
        <f>SUMIFS(Покупка!AI$15:AI$30,Покупка!$A$15:$A$30,$A515,Покупка!$M$15:$M$30,$B515)</f>
        <v>0</v>
      </c>
      <c r="AK515" s="428">
        <f>SUMIFS(Покупка!AJ$15:AJ$30,Покупка!$A$15:$A$30,$A515,Покупка!$M$15:$M$30,$B515)</f>
        <v>0</v>
      </c>
      <c r="AL515" s="428">
        <f>SUMIFS(Покупка!AK$15:AK$30,Покупка!$A$15:$A$30,$A515,Покупка!$M$15:$M$30,$B515)</f>
        <v>0</v>
      </c>
      <c r="AM515" s="428">
        <f>SUMIFS(Покупка!AL$15:AL$30,Покупка!$A$15:$A$30,$A515,Покупка!$M$15:$M$30,$B515)</f>
        <v>0</v>
      </c>
      <c r="AN515" s="416">
        <f t="shared" si="92"/>
        <v>0</v>
      </c>
      <c r="AO515" s="416">
        <f t="shared" si="93"/>
        <v>0</v>
      </c>
      <c r="AP515" s="416">
        <f t="shared" si="94"/>
        <v>0</v>
      </c>
      <c r="AQ515" s="416">
        <f t="shared" si="95"/>
        <v>0</v>
      </c>
      <c r="AR515" s="416">
        <f t="shared" si="96"/>
        <v>0</v>
      </c>
      <c r="AS515" s="416">
        <f t="shared" si="97"/>
        <v>0</v>
      </c>
      <c r="AT515" s="416">
        <f t="shared" si="98"/>
        <v>0</v>
      </c>
      <c r="AU515" s="416">
        <f t="shared" si="99"/>
        <v>0</v>
      </c>
      <c r="AV515" s="416">
        <f t="shared" si="100"/>
        <v>0</v>
      </c>
      <c r="AW515" s="416">
        <f t="shared" si="101"/>
        <v>0</v>
      </c>
      <c r="AX515" s="194"/>
      <c r="AY515" s="194"/>
      <c r="AZ515" s="194"/>
    </row>
    <row r="516" spans="1:52" s="111" customFormat="1" outlineLevel="1">
      <c r="A516" s="551" t="str">
        <f t="shared" si="91"/>
        <v>1</v>
      </c>
      <c r="B516" s="111" t="s">
        <v>422</v>
      </c>
      <c r="L516" s="412" t="s">
        <v>611</v>
      </c>
      <c r="M516" s="420" t="s">
        <v>612</v>
      </c>
      <c r="N516" s="414" t="s">
        <v>370</v>
      </c>
      <c r="O516" s="428">
        <f>SUMIFS(Покупка!O$15:O$30,Покупка!$A$15:$A$30,$A516,Покупка!$M$15:$M$30,$B516)</f>
        <v>0</v>
      </c>
      <c r="P516" s="428">
        <f>SUMIFS(Покупка!P$15:P$30,Покупка!$A$15:$A$30,$A516,Покупка!$M$15:$M$30,$B516)</f>
        <v>0</v>
      </c>
      <c r="Q516" s="428">
        <f>SUMIFS(Покупка!Q$15:Q$30,Покупка!$A$15:$A$30,$A516,Покупка!$M$15:$M$30,$B516)</f>
        <v>0</v>
      </c>
      <c r="R516" s="416">
        <f t="shared" si="87"/>
        <v>0</v>
      </c>
      <c r="S516" s="428">
        <f>SUMIFS(Покупка!R$15:R$30,Покупка!$A$15:$A$30,$A516,Покупка!$M$15:$M$30,$B516)</f>
        <v>0</v>
      </c>
      <c r="T516" s="428">
        <f>SUMIFS(Покупка!S$15:S$30,Покупка!$A$15:$A$30,$A516,Покупка!$M$15:$M$30,$B516)</f>
        <v>0</v>
      </c>
      <c r="U516" s="428">
        <f>SUMIFS(Покупка!T$15:T$30,Покупка!$A$15:$A$30,$A516,Покупка!$M$15:$M$30,$B516)</f>
        <v>0</v>
      </c>
      <c r="V516" s="428">
        <f>SUMIFS(Покупка!U$15:U$30,Покупка!$A$15:$A$30,$A516,Покупка!$M$15:$M$30,$B516)</f>
        <v>0</v>
      </c>
      <c r="W516" s="428">
        <f>SUMIFS(Покупка!V$15:V$30,Покупка!$A$15:$A$30,$A516,Покупка!$M$15:$M$30,$B516)</f>
        <v>0</v>
      </c>
      <c r="X516" s="428">
        <f>SUMIFS(Покупка!W$15:W$30,Покупка!$A$15:$A$30,$A516,Покупка!$M$15:$M$30,$B516)</f>
        <v>0</v>
      </c>
      <c r="Y516" s="428">
        <f>SUMIFS(Покупка!X$15:X$30,Покупка!$A$15:$A$30,$A516,Покупка!$M$15:$M$30,$B516)</f>
        <v>0</v>
      </c>
      <c r="Z516" s="428">
        <f>SUMIFS(Покупка!Y$15:Y$30,Покупка!$A$15:$A$30,$A516,Покупка!$M$15:$M$30,$B516)</f>
        <v>0</v>
      </c>
      <c r="AA516" s="428">
        <f>SUMIFS(Покупка!Z$15:Z$30,Покупка!$A$15:$A$30,$A516,Покупка!$M$15:$M$30,$B516)</f>
        <v>0</v>
      </c>
      <c r="AB516" s="428">
        <f>SUMIFS(Покупка!AA$15:AA$30,Покупка!$A$15:$A$30,$A516,Покупка!$M$15:$M$30,$B516)</f>
        <v>0</v>
      </c>
      <c r="AC516" s="428">
        <f>SUMIFS(Покупка!AB$15:AB$30,Покупка!$A$15:$A$30,$A516,Покупка!$M$15:$M$30,$B516)</f>
        <v>0</v>
      </c>
      <c r="AD516" s="428">
        <f>SUMIFS(Покупка!AC$15:AC$30,Покупка!$A$15:$A$30,$A516,Покупка!$M$15:$M$30,$B516)</f>
        <v>0</v>
      </c>
      <c r="AE516" s="428">
        <f>SUMIFS(Покупка!AD$15:AD$30,Покупка!$A$15:$A$30,$A516,Покупка!$M$15:$M$30,$B516)</f>
        <v>0</v>
      </c>
      <c r="AF516" s="428">
        <f>SUMIFS(Покупка!AE$15:AE$30,Покупка!$A$15:$A$30,$A516,Покупка!$M$15:$M$30,$B516)</f>
        <v>0</v>
      </c>
      <c r="AG516" s="428">
        <f>SUMIFS(Покупка!AF$15:AF$30,Покупка!$A$15:$A$30,$A516,Покупка!$M$15:$M$30,$B516)</f>
        <v>0</v>
      </c>
      <c r="AH516" s="428">
        <f>SUMIFS(Покупка!AG$15:AG$30,Покупка!$A$15:$A$30,$A516,Покупка!$M$15:$M$30,$B516)</f>
        <v>0</v>
      </c>
      <c r="AI516" s="428">
        <f>SUMIFS(Покупка!AH$15:AH$30,Покупка!$A$15:$A$30,$A516,Покупка!$M$15:$M$30,$B516)</f>
        <v>0</v>
      </c>
      <c r="AJ516" s="428">
        <f>SUMIFS(Покупка!AI$15:AI$30,Покупка!$A$15:$A$30,$A516,Покупка!$M$15:$M$30,$B516)</f>
        <v>0</v>
      </c>
      <c r="AK516" s="428">
        <f>SUMIFS(Покупка!AJ$15:AJ$30,Покупка!$A$15:$A$30,$A516,Покупка!$M$15:$M$30,$B516)</f>
        <v>0</v>
      </c>
      <c r="AL516" s="428">
        <f>SUMIFS(Покупка!AK$15:AK$30,Покупка!$A$15:$A$30,$A516,Покупка!$M$15:$M$30,$B516)</f>
        <v>0</v>
      </c>
      <c r="AM516" s="428">
        <f>SUMIFS(Покупка!AL$15:AL$30,Покупка!$A$15:$A$30,$A516,Покупка!$M$15:$M$30,$B516)</f>
        <v>0</v>
      </c>
      <c r="AN516" s="416">
        <f t="shared" si="92"/>
        <v>0</v>
      </c>
      <c r="AO516" s="416">
        <f t="shared" si="93"/>
        <v>0</v>
      </c>
      <c r="AP516" s="416">
        <f t="shared" si="94"/>
        <v>0</v>
      </c>
      <c r="AQ516" s="416">
        <f t="shared" si="95"/>
        <v>0</v>
      </c>
      <c r="AR516" s="416">
        <f t="shared" si="96"/>
        <v>0</v>
      </c>
      <c r="AS516" s="416">
        <f t="shared" si="97"/>
        <v>0</v>
      </c>
      <c r="AT516" s="416">
        <f t="shared" si="98"/>
        <v>0</v>
      </c>
      <c r="AU516" s="416">
        <f t="shared" si="99"/>
        <v>0</v>
      </c>
      <c r="AV516" s="416">
        <f t="shared" si="100"/>
        <v>0</v>
      </c>
      <c r="AW516" s="416">
        <f t="shared" si="101"/>
        <v>0</v>
      </c>
      <c r="AX516" s="194"/>
      <c r="AY516" s="194"/>
      <c r="AZ516" s="194"/>
    </row>
    <row r="517" spans="1:52" s="111" customFormat="1" outlineLevel="1">
      <c r="A517" s="551" t="str">
        <f t="shared" si="91"/>
        <v>1</v>
      </c>
      <c r="B517" s="111" t="s">
        <v>420</v>
      </c>
      <c r="L517" s="412" t="s">
        <v>613</v>
      </c>
      <c r="M517" s="420" t="s">
        <v>614</v>
      </c>
      <c r="N517" s="414" t="s">
        <v>370</v>
      </c>
      <c r="O517" s="428">
        <f>SUMIFS(Покупка!O$15:O$30,Покупка!$A$15:$A$30,$A517,Покупка!$M$15:$M$30,$B517)</f>
        <v>0</v>
      </c>
      <c r="P517" s="428">
        <f>SUMIFS(Покупка!P$15:P$30,Покупка!$A$15:$A$30,$A517,Покупка!$M$15:$M$30,$B517)</f>
        <v>0</v>
      </c>
      <c r="Q517" s="428">
        <f>SUMIFS(Покупка!Q$15:Q$30,Покупка!$A$15:$A$30,$A517,Покупка!$M$15:$M$30,$B517)</f>
        <v>0</v>
      </c>
      <c r="R517" s="416">
        <f t="shared" si="87"/>
        <v>0</v>
      </c>
      <c r="S517" s="428">
        <f>SUMIFS(Покупка!R$15:R$30,Покупка!$A$15:$A$30,$A517,Покупка!$M$15:$M$30,$B517)</f>
        <v>0</v>
      </c>
      <c r="T517" s="428">
        <f>SUMIFS(Покупка!S$15:S$30,Покупка!$A$15:$A$30,$A517,Покупка!$M$15:$M$30,$B517)</f>
        <v>0</v>
      </c>
      <c r="U517" s="428">
        <f>SUMIFS(Покупка!T$15:T$30,Покупка!$A$15:$A$30,$A517,Покупка!$M$15:$M$30,$B517)</f>
        <v>0</v>
      </c>
      <c r="V517" s="428">
        <f>SUMIFS(Покупка!U$15:U$30,Покупка!$A$15:$A$30,$A517,Покупка!$M$15:$M$30,$B517)</f>
        <v>0</v>
      </c>
      <c r="W517" s="428">
        <f>SUMIFS(Покупка!V$15:V$30,Покупка!$A$15:$A$30,$A517,Покупка!$M$15:$M$30,$B517)</f>
        <v>0</v>
      </c>
      <c r="X517" s="428">
        <f>SUMIFS(Покупка!W$15:W$30,Покупка!$A$15:$A$30,$A517,Покупка!$M$15:$M$30,$B517)</f>
        <v>0</v>
      </c>
      <c r="Y517" s="428">
        <f>SUMIFS(Покупка!X$15:X$30,Покупка!$A$15:$A$30,$A517,Покупка!$M$15:$M$30,$B517)</f>
        <v>0</v>
      </c>
      <c r="Z517" s="428">
        <f>SUMIFS(Покупка!Y$15:Y$30,Покупка!$A$15:$A$30,$A517,Покупка!$M$15:$M$30,$B517)</f>
        <v>0</v>
      </c>
      <c r="AA517" s="428">
        <f>SUMIFS(Покупка!Z$15:Z$30,Покупка!$A$15:$A$30,$A517,Покупка!$M$15:$M$30,$B517)</f>
        <v>0</v>
      </c>
      <c r="AB517" s="428">
        <f>SUMIFS(Покупка!AA$15:AA$30,Покупка!$A$15:$A$30,$A517,Покупка!$M$15:$M$30,$B517)</f>
        <v>0</v>
      </c>
      <c r="AC517" s="428">
        <f>SUMIFS(Покупка!AB$15:AB$30,Покупка!$A$15:$A$30,$A517,Покупка!$M$15:$M$30,$B517)</f>
        <v>0</v>
      </c>
      <c r="AD517" s="428">
        <f>SUMIFS(Покупка!AC$15:AC$30,Покупка!$A$15:$A$30,$A517,Покупка!$M$15:$M$30,$B517)</f>
        <v>0</v>
      </c>
      <c r="AE517" s="428">
        <f>SUMIFS(Покупка!AD$15:AD$30,Покупка!$A$15:$A$30,$A517,Покупка!$M$15:$M$30,$B517)</f>
        <v>0</v>
      </c>
      <c r="AF517" s="428">
        <f>SUMIFS(Покупка!AE$15:AE$30,Покупка!$A$15:$A$30,$A517,Покупка!$M$15:$M$30,$B517)</f>
        <v>0</v>
      </c>
      <c r="AG517" s="428">
        <f>SUMIFS(Покупка!AF$15:AF$30,Покупка!$A$15:$A$30,$A517,Покупка!$M$15:$M$30,$B517)</f>
        <v>0</v>
      </c>
      <c r="AH517" s="428">
        <f>SUMIFS(Покупка!AG$15:AG$30,Покупка!$A$15:$A$30,$A517,Покупка!$M$15:$M$30,$B517)</f>
        <v>0</v>
      </c>
      <c r="AI517" s="428">
        <f>SUMIFS(Покупка!AH$15:AH$30,Покупка!$A$15:$A$30,$A517,Покупка!$M$15:$M$30,$B517)</f>
        <v>0</v>
      </c>
      <c r="AJ517" s="428">
        <f>SUMIFS(Покупка!AI$15:AI$30,Покупка!$A$15:$A$30,$A517,Покупка!$M$15:$M$30,$B517)</f>
        <v>0</v>
      </c>
      <c r="AK517" s="428">
        <f>SUMIFS(Покупка!AJ$15:AJ$30,Покупка!$A$15:$A$30,$A517,Покупка!$M$15:$M$30,$B517)</f>
        <v>0</v>
      </c>
      <c r="AL517" s="428">
        <f>SUMIFS(Покупка!AK$15:AK$30,Покупка!$A$15:$A$30,$A517,Покупка!$M$15:$M$30,$B517)</f>
        <v>0</v>
      </c>
      <c r="AM517" s="428">
        <f>SUMIFS(Покупка!AL$15:AL$30,Покупка!$A$15:$A$30,$A517,Покупка!$M$15:$M$30,$B517)</f>
        <v>0</v>
      </c>
      <c r="AN517" s="416">
        <f t="shared" si="92"/>
        <v>0</v>
      </c>
      <c r="AO517" s="416">
        <f t="shared" si="93"/>
        <v>0</v>
      </c>
      <c r="AP517" s="416">
        <f t="shared" si="94"/>
        <v>0</v>
      </c>
      <c r="AQ517" s="416">
        <f t="shared" si="95"/>
        <v>0</v>
      </c>
      <c r="AR517" s="416">
        <f t="shared" si="96"/>
        <v>0</v>
      </c>
      <c r="AS517" s="416">
        <f t="shared" si="97"/>
        <v>0</v>
      </c>
      <c r="AT517" s="416">
        <f t="shared" si="98"/>
        <v>0</v>
      </c>
      <c r="AU517" s="416">
        <f t="shared" si="99"/>
        <v>0</v>
      </c>
      <c r="AV517" s="416">
        <f t="shared" si="100"/>
        <v>0</v>
      </c>
      <c r="AW517" s="416">
        <f t="shared" si="101"/>
        <v>0</v>
      </c>
      <c r="AX517" s="194"/>
      <c r="AY517" s="194"/>
      <c r="AZ517" s="194"/>
    </row>
    <row r="518" spans="1:52" s="111" customFormat="1" outlineLevel="1">
      <c r="A518" s="551" t="str">
        <f t="shared" si="91"/>
        <v>1</v>
      </c>
      <c r="B518" s="111" t="s">
        <v>428</v>
      </c>
      <c r="L518" s="412" t="s">
        <v>615</v>
      </c>
      <c r="M518" s="420" t="s">
        <v>616</v>
      </c>
      <c r="N518" s="414" t="s">
        <v>370</v>
      </c>
      <c r="O518" s="428">
        <f>SUMIFS(Покупка!O$15:O$30,Покупка!$A$15:$A$30,$A518,Покупка!$M$15:$M$30,$B518)</f>
        <v>0</v>
      </c>
      <c r="P518" s="428">
        <f>SUMIFS(Покупка!P$15:P$30,Покупка!$A$15:$A$30,$A518,Покупка!$M$15:$M$30,$B518)</f>
        <v>0</v>
      </c>
      <c r="Q518" s="428">
        <f>SUMIFS(Покупка!Q$15:Q$30,Покупка!$A$15:$A$30,$A518,Покупка!$M$15:$M$30,$B518)</f>
        <v>0</v>
      </c>
      <c r="R518" s="416">
        <f t="shared" si="87"/>
        <v>0</v>
      </c>
      <c r="S518" s="428">
        <f>SUMIFS(Покупка!R$15:R$30,Покупка!$A$15:$A$30,$A518,Покупка!$M$15:$M$30,$B518)</f>
        <v>0</v>
      </c>
      <c r="T518" s="428">
        <f>SUMIFS(Покупка!S$15:S$30,Покупка!$A$15:$A$30,$A518,Покупка!$M$15:$M$30,$B518)</f>
        <v>0</v>
      </c>
      <c r="U518" s="428">
        <f>SUMIFS(Покупка!T$15:T$30,Покупка!$A$15:$A$30,$A518,Покупка!$M$15:$M$30,$B518)</f>
        <v>0</v>
      </c>
      <c r="V518" s="428">
        <f>SUMIFS(Покупка!U$15:U$30,Покупка!$A$15:$A$30,$A518,Покупка!$M$15:$M$30,$B518)</f>
        <v>0</v>
      </c>
      <c r="W518" s="428">
        <f>SUMIFS(Покупка!V$15:V$30,Покупка!$A$15:$A$30,$A518,Покупка!$M$15:$M$30,$B518)</f>
        <v>0</v>
      </c>
      <c r="X518" s="428">
        <f>SUMIFS(Покупка!W$15:W$30,Покупка!$A$15:$A$30,$A518,Покупка!$M$15:$M$30,$B518)</f>
        <v>0</v>
      </c>
      <c r="Y518" s="428">
        <f>SUMIFS(Покупка!X$15:X$30,Покупка!$A$15:$A$30,$A518,Покупка!$M$15:$M$30,$B518)</f>
        <v>0</v>
      </c>
      <c r="Z518" s="428">
        <f>SUMIFS(Покупка!Y$15:Y$30,Покупка!$A$15:$A$30,$A518,Покупка!$M$15:$M$30,$B518)</f>
        <v>0</v>
      </c>
      <c r="AA518" s="428">
        <f>SUMIFS(Покупка!Z$15:Z$30,Покупка!$A$15:$A$30,$A518,Покупка!$M$15:$M$30,$B518)</f>
        <v>0</v>
      </c>
      <c r="AB518" s="428">
        <f>SUMIFS(Покупка!AA$15:AA$30,Покупка!$A$15:$A$30,$A518,Покупка!$M$15:$M$30,$B518)</f>
        <v>0</v>
      </c>
      <c r="AC518" s="428">
        <f>SUMIFS(Покупка!AB$15:AB$30,Покупка!$A$15:$A$30,$A518,Покупка!$M$15:$M$30,$B518)</f>
        <v>0</v>
      </c>
      <c r="AD518" s="428">
        <f>SUMIFS(Покупка!AC$15:AC$30,Покупка!$A$15:$A$30,$A518,Покупка!$M$15:$M$30,$B518)</f>
        <v>0</v>
      </c>
      <c r="AE518" s="428">
        <f>SUMIFS(Покупка!AD$15:AD$30,Покупка!$A$15:$A$30,$A518,Покупка!$M$15:$M$30,$B518)</f>
        <v>0</v>
      </c>
      <c r="AF518" s="428">
        <f>SUMIFS(Покупка!AE$15:AE$30,Покупка!$A$15:$A$30,$A518,Покупка!$M$15:$M$30,$B518)</f>
        <v>0</v>
      </c>
      <c r="AG518" s="428">
        <f>SUMIFS(Покупка!AF$15:AF$30,Покупка!$A$15:$A$30,$A518,Покупка!$M$15:$M$30,$B518)</f>
        <v>0</v>
      </c>
      <c r="AH518" s="428">
        <f>SUMIFS(Покупка!AG$15:AG$30,Покупка!$A$15:$A$30,$A518,Покупка!$M$15:$M$30,$B518)</f>
        <v>0</v>
      </c>
      <c r="AI518" s="428">
        <f>SUMIFS(Покупка!AH$15:AH$30,Покупка!$A$15:$A$30,$A518,Покупка!$M$15:$M$30,$B518)</f>
        <v>0</v>
      </c>
      <c r="AJ518" s="428">
        <f>SUMIFS(Покупка!AI$15:AI$30,Покупка!$A$15:$A$30,$A518,Покупка!$M$15:$M$30,$B518)</f>
        <v>0</v>
      </c>
      <c r="AK518" s="428">
        <f>SUMIFS(Покупка!AJ$15:AJ$30,Покупка!$A$15:$A$30,$A518,Покупка!$M$15:$M$30,$B518)</f>
        <v>0</v>
      </c>
      <c r="AL518" s="428">
        <f>SUMIFS(Покупка!AK$15:AK$30,Покупка!$A$15:$A$30,$A518,Покупка!$M$15:$M$30,$B518)</f>
        <v>0</v>
      </c>
      <c r="AM518" s="428">
        <f>SUMIFS(Покупка!AL$15:AL$30,Покупка!$A$15:$A$30,$A518,Покупка!$M$15:$M$30,$B518)</f>
        <v>0</v>
      </c>
      <c r="AN518" s="416">
        <f t="shared" si="92"/>
        <v>0</v>
      </c>
      <c r="AO518" s="416">
        <f t="shared" si="93"/>
        <v>0</v>
      </c>
      <c r="AP518" s="416">
        <f t="shared" si="94"/>
        <v>0</v>
      </c>
      <c r="AQ518" s="416">
        <f t="shared" si="95"/>
        <v>0</v>
      </c>
      <c r="AR518" s="416">
        <f t="shared" si="96"/>
        <v>0</v>
      </c>
      <c r="AS518" s="416">
        <f t="shared" si="97"/>
        <v>0</v>
      </c>
      <c r="AT518" s="416">
        <f t="shared" si="98"/>
        <v>0</v>
      </c>
      <c r="AU518" s="416">
        <f t="shared" si="99"/>
        <v>0</v>
      </c>
      <c r="AV518" s="416">
        <f t="shared" si="100"/>
        <v>0</v>
      </c>
      <c r="AW518" s="416">
        <f t="shared" si="101"/>
        <v>0</v>
      </c>
      <c r="AX518" s="194"/>
      <c r="AY518" s="194"/>
      <c r="AZ518" s="194"/>
    </row>
    <row r="519" spans="1:52" s="111" customFormat="1" ht="22.5" outlineLevel="1">
      <c r="A519" s="551" t="str">
        <f t="shared" si="91"/>
        <v>1</v>
      </c>
      <c r="L519" s="412" t="s">
        <v>617</v>
      </c>
      <c r="M519" s="420" t="s">
        <v>618</v>
      </c>
      <c r="N519" s="414" t="s">
        <v>370</v>
      </c>
      <c r="O519" s="415"/>
      <c r="P519" s="415"/>
      <c r="Q519" s="415"/>
      <c r="R519" s="416">
        <f t="shared" si="87"/>
        <v>0</v>
      </c>
      <c r="S519" s="415"/>
      <c r="T519" s="415"/>
      <c r="U519" s="415"/>
      <c r="V519" s="415"/>
      <c r="W519" s="415"/>
      <c r="X519" s="415"/>
      <c r="Y519" s="415"/>
      <c r="Z519" s="415"/>
      <c r="AA519" s="415"/>
      <c r="AB519" s="415"/>
      <c r="AC519" s="415"/>
      <c r="AD519" s="415"/>
      <c r="AE519" s="415"/>
      <c r="AF519" s="415"/>
      <c r="AG519" s="415"/>
      <c r="AH519" s="415"/>
      <c r="AI519" s="415"/>
      <c r="AJ519" s="415"/>
      <c r="AK519" s="415"/>
      <c r="AL519" s="415"/>
      <c r="AM519" s="415"/>
      <c r="AN519" s="416">
        <f t="shared" si="92"/>
        <v>0</v>
      </c>
      <c r="AO519" s="416">
        <f t="shared" si="93"/>
        <v>0</v>
      </c>
      <c r="AP519" s="416">
        <f t="shared" si="94"/>
        <v>0</v>
      </c>
      <c r="AQ519" s="416">
        <f t="shared" si="95"/>
        <v>0</v>
      </c>
      <c r="AR519" s="416">
        <f t="shared" si="96"/>
        <v>0</v>
      </c>
      <c r="AS519" s="416">
        <f t="shared" si="97"/>
        <v>0</v>
      </c>
      <c r="AT519" s="416">
        <f t="shared" si="98"/>
        <v>0</v>
      </c>
      <c r="AU519" s="416">
        <f t="shared" si="99"/>
        <v>0</v>
      </c>
      <c r="AV519" s="416">
        <f t="shared" si="100"/>
        <v>0</v>
      </c>
      <c r="AW519" s="416">
        <f t="shared" si="101"/>
        <v>0</v>
      </c>
      <c r="AX519" s="194"/>
      <c r="AY519" s="194"/>
      <c r="AZ519" s="194"/>
    </row>
    <row r="520" spans="1:52" s="111" customFormat="1" outlineLevel="1">
      <c r="A520" s="551" t="str">
        <f t="shared" si="91"/>
        <v>1</v>
      </c>
      <c r="L520" s="412" t="s">
        <v>619</v>
      </c>
      <c r="M520" s="420" t="s">
        <v>620</v>
      </c>
      <c r="N520" s="414" t="s">
        <v>370</v>
      </c>
      <c r="O520" s="415"/>
      <c r="P520" s="415"/>
      <c r="Q520" s="415"/>
      <c r="R520" s="416">
        <f t="shared" si="87"/>
        <v>0</v>
      </c>
      <c r="S520" s="415"/>
      <c r="T520" s="415"/>
      <c r="U520" s="415"/>
      <c r="V520" s="415"/>
      <c r="W520" s="415"/>
      <c r="X520" s="415"/>
      <c r="Y520" s="415"/>
      <c r="Z520" s="415"/>
      <c r="AA520" s="415"/>
      <c r="AB520" s="415"/>
      <c r="AC520" s="415"/>
      <c r="AD520" s="415"/>
      <c r="AE520" s="415"/>
      <c r="AF520" s="415"/>
      <c r="AG520" s="415"/>
      <c r="AH520" s="415"/>
      <c r="AI520" s="415"/>
      <c r="AJ520" s="415"/>
      <c r="AK520" s="415"/>
      <c r="AL520" s="415"/>
      <c r="AM520" s="415"/>
      <c r="AN520" s="416">
        <f t="shared" si="92"/>
        <v>0</v>
      </c>
      <c r="AO520" s="416">
        <f t="shared" si="93"/>
        <v>0</v>
      </c>
      <c r="AP520" s="416">
        <f t="shared" si="94"/>
        <v>0</v>
      </c>
      <c r="AQ520" s="416">
        <f t="shared" si="95"/>
        <v>0</v>
      </c>
      <c r="AR520" s="416">
        <f t="shared" si="96"/>
        <v>0</v>
      </c>
      <c r="AS520" s="416">
        <f t="shared" si="97"/>
        <v>0</v>
      </c>
      <c r="AT520" s="416">
        <f t="shared" si="98"/>
        <v>0</v>
      </c>
      <c r="AU520" s="416">
        <f t="shared" si="99"/>
        <v>0</v>
      </c>
      <c r="AV520" s="416">
        <f t="shared" si="100"/>
        <v>0</v>
      </c>
      <c r="AW520" s="416">
        <f t="shared" si="101"/>
        <v>0</v>
      </c>
      <c r="AX520" s="194"/>
      <c r="AY520" s="194"/>
      <c r="AZ520" s="194"/>
    </row>
    <row r="521" spans="1:52" s="111" customFormat="1" outlineLevel="1">
      <c r="A521" s="551" t="str">
        <f t="shared" si="91"/>
        <v>1</v>
      </c>
      <c r="B521" s="111" t="s">
        <v>424</v>
      </c>
      <c r="L521" s="412" t="s">
        <v>621</v>
      </c>
      <c r="M521" s="420" t="s">
        <v>622</v>
      </c>
      <c r="N521" s="414" t="s">
        <v>370</v>
      </c>
      <c r="O521" s="428">
        <f>SUMIFS(Покупка!O$15:O$30,Покупка!$A$15:$A$30,$A521,Покупка!$M$15:$M$30,$B521)</f>
        <v>0</v>
      </c>
      <c r="P521" s="428">
        <f>SUMIFS(Покупка!P$15:P$30,Покупка!$A$15:$A$30,$A521,Покупка!$M$15:$M$30,$B521)</f>
        <v>0</v>
      </c>
      <c r="Q521" s="428">
        <f>SUMIFS(Покупка!Q$15:Q$30,Покупка!$A$15:$A$30,$A521,Покупка!$M$15:$M$30,$B521)</f>
        <v>0</v>
      </c>
      <c r="R521" s="416">
        <f t="shared" si="87"/>
        <v>0</v>
      </c>
      <c r="S521" s="428">
        <f>SUMIFS(Покупка!R$15:R$30,Покупка!$A$15:$A$30,$A521,Покупка!$M$15:$M$30,$B521)</f>
        <v>0</v>
      </c>
      <c r="T521" s="428">
        <f>SUMIFS(Покупка!S$15:S$30,Покупка!$A$15:$A$30,$A521,Покупка!$M$15:$M$30,$B521)</f>
        <v>0</v>
      </c>
      <c r="U521" s="428">
        <f>SUMIFS(Покупка!T$15:T$30,Покупка!$A$15:$A$30,$A521,Покупка!$M$15:$M$30,$B521)</f>
        <v>0</v>
      </c>
      <c r="V521" s="428">
        <f>SUMIFS(Покупка!U$15:U$30,Покупка!$A$15:$A$30,$A521,Покупка!$M$15:$M$30,$B521)</f>
        <v>0</v>
      </c>
      <c r="W521" s="428">
        <f>SUMIFS(Покупка!V$15:V$30,Покупка!$A$15:$A$30,$A521,Покупка!$M$15:$M$30,$B521)</f>
        <v>0</v>
      </c>
      <c r="X521" s="428">
        <f>SUMIFS(Покупка!W$15:W$30,Покупка!$A$15:$A$30,$A521,Покупка!$M$15:$M$30,$B521)</f>
        <v>0</v>
      </c>
      <c r="Y521" s="428">
        <f>SUMIFS(Покупка!X$15:X$30,Покупка!$A$15:$A$30,$A521,Покупка!$M$15:$M$30,$B521)</f>
        <v>0</v>
      </c>
      <c r="Z521" s="428">
        <f>SUMIFS(Покупка!Y$15:Y$30,Покупка!$A$15:$A$30,$A521,Покупка!$M$15:$M$30,$B521)</f>
        <v>0</v>
      </c>
      <c r="AA521" s="428">
        <f>SUMIFS(Покупка!Z$15:Z$30,Покупка!$A$15:$A$30,$A521,Покупка!$M$15:$M$30,$B521)</f>
        <v>0</v>
      </c>
      <c r="AB521" s="428">
        <f>SUMIFS(Покупка!AA$15:AA$30,Покупка!$A$15:$A$30,$A521,Покупка!$M$15:$M$30,$B521)</f>
        <v>0</v>
      </c>
      <c r="AC521" s="428">
        <f>SUMIFS(Покупка!AB$15:AB$30,Покупка!$A$15:$A$30,$A521,Покупка!$M$15:$M$30,$B521)</f>
        <v>0</v>
      </c>
      <c r="AD521" s="428">
        <f>SUMIFS(Покупка!AC$15:AC$30,Покупка!$A$15:$A$30,$A521,Покупка!$M$15:$M$30,$B521)</f>
        <v>0</v>
      </c>
      <c r="AE521" s="428">
        <f>SUMIFS(Покупка!AD$15:AD$30,Покупка!$A$15:$A$30,$A521,Покупка!$M$15:$M$30,$B521)</f>
        <v>0</v>
      </c>
      <c r="AF521" s="428">
        <f>SUMIFS(Покупка!AE$15:AE$30,Покупка!$A$15:$A$30,$A521,Покупка!$M$15:$M$30,$B521)</f>
        <v>0</v>
      </c>
      <c r="AG521" s="428">
        <f>SUMIFS(Покупка!AF$15:AF$30,Покупка!$A$15:$A$30,$A521,Покупка!$M$15:$M$30,$B521)</f>
        <v>0</v>
      </c>
      <c r="AH521" s="428">
        <f>SUMIFS(Покупка!AG$15:AG$30,Покупка!$A$15:$A$30,$A521,Покупка!$M$15:$M$30,$B521)</f>
        <v>0</v>
      </c>
      <c r="AI521" s="428">
        <f>SUMIFS(Покупка!AH$15:AH$30,Покупка!$A$15:$A$30,$A521,Покупка!$M$15:$M$30,$B521)</f>
        <v>0</v>
      </c>
      <c r="AJ521" s="428">
        <f>SUMIFS(Покупка!AI$15:AI$30,Покупка!$A$15:$A$30,$A521,Покупка!$M$15:$M$30,$B521)</f>
        <v>0</v>
      </c>
      <c r="AK521" s="428">
        <f>SUMIFS(Покупка!AJ$15:AJ$30,Покупка!$A$15:$A$30,$A521,Покупка!$M$15:$M$30,$B521)</f>
        <v>0</v>
      </c>
      <c r="AL521" s="428">
        <f>SUMIFS(Покупка!AK$15:AK$30,Покупка!$A$15:$A$30,$A521,Покупка!$M$15:$M$30,$B521)</f>
        <v>0</v>
      </c>
      <c r="AM521" s="428">
        <f>SUMIFS(Покупка!AL$15:AL$30,Покупка!$A$15:$A$30,$A521,Покупка!$M$15:$M$30,$B521)</f>
        <v>0</v>
      </c>
      <c r="AN521" s="416">
        <f t="shared" si="92"/>
        <v>0</v>
      </c>
      <c r="AO521" s="416">
        <f t="shared" si="93"/>
        <v>0</v>
      </c>
      <c r="AP521" s="416">
        <f t="shared" si="94"/>
        <v>0</v>
      </c>
      <c r="AQ521" s="416">
        <f t="shared" si="95"/>
        <v>0</v>
      </c>
      <c r="AR521" s="416">
        <f t="shared" si="96"/>
        <v>0</v>
      </c>
      <c r="AS521" s="416">
        <f t="shared" si="97"/>
        <v>0</v>
      </c>
      <c r="AT521" s="416">
        <f t="shared" si="98"/>
        <v>0</v>
      </c>
      <c r="AU521" s="416">
        <f t="shared" si="99"/>
        <v>0</v>
      </c>
      <c r="AV521" s="416">
        <f t="shared" si="100"/>
        <v>0</v>
      </c>
      <c r="AW521" s="416">
        <f t="shared" si="101"/>
        <v>0</v>
      </c>
      <c r="AX521" s="194"/>
      <c r="AY521" s="194"/>
      <c r="AZ521" s="194"/>
    </row>
    <row r="522" spans="1:52" s="111" customFormat="1" outlineLevel="1">
      <c r="A522" s="551" t="str">
        <f t="shared" si="91"/>
        <v>1</v>
      </c>
      <c r="B522" s="111" t="s">
        <v>425</v>
      </c>
      <c r="L522" s="412" t="s">
        <v>623</v>
      </c>
      <c r="M522" s="420" t="s">
        <v>624</v>
      </c>
      <c r="N522" s="414" t="s">
        <v>370</v>
      </c>
      <c r="O522" s="428">
        <f>SUMIFS(Покупка!O$15:O$30,Покупка!$A$15:$A$30,$A522,Покупка!$M$15:$M$30,$B522)</f>
        <v>0</v>
      </c>
      <c r="P522" s="428">
        <f>SUMIFS(Покупка!P$15:P$30,Покупка!$A$15:$A$30,$A522,Покупка!$M$15:$M$30,$B522)</f>
        <v>0</v>
      </c>
      <c r="Q522" s="428">
        <f>SUMIFS(Покупка!Q$15:Q$30,Покупка!$A$15:$A$30,$A522,Покупка!$M$15:$M$30,$B522)</f>
        <v>0</v>
      </c>
      <c r="R522" s="416">
        <f t="shared" si="87"/>
        <v>0</v>
      </c>
      <c r="S522" s="428">
        <f>SUMIFS(Покупка!R$15:R$30,Покупка!$A$15:$A$30,$A522,Покупка!$M$15:$M$30,$B522)</f>
        <v>0</v>
      </c>
      <c r="T522" s="428">
        <f>SUMIFS(Покупка!S$15:S$30,Покупка!$A$15:$A$30,$A522,Покупка!$M$15:$M$30,$B522)</f>
        <v>0</v>
      </c>
      <c r="U522" s="428">
        <f>SUMIFS(Покупка!T$15:T$30,Покупка!$A$15:$A$30,$A522,Покупка!$M$15:$M$30,$B522)</f>
        <v>0</v>
      </c>
      <c r="V522" s="428">
        <f>SUMIFS(Покупка!U$15:U$30,Покупка!$A$15:$A$30,$A522,Покупка!$M$15:$M$30,$B522)</f>
        <v>0</v>
      </c>
      <c r="W522" s="428">
        <f>SUMIFS(Покупка!V$15:V$30,Покупка!$A$15:$A$30,$A522,Покупка!$M$15:$M$30,$B522)</f>
        <v>0</v>
      </c>
      <c r="X522" s="428">
        <f>SUMIFS(Покупка!W$15:W$30,Покупка!$A$15:$A$30,$A522,Покупка!$M$15:$M$30,$B522)</f>
        <v>0</v>
      </c>
      <c r="Y522" s="428">
        <f>SUMIFS(Покупка!X$15:X$30,Покупка!$A$15:$A$30,$A522,Покупка!$M$15:$M$30,$B522)</f>
        <v>0</v>
      </c>
      <c r="Z522" s="428">
        <f>SUMIFS(Покупка!Y$15:Y$30,Покупка!$A$15:$A$30,$A522,Покупка!$M$15:$M$30,$B522)</f>
        <v>0</v>
      </c>
      <c r="AA522" s="428">
        <f>SUMIFS(Покупка!Z$15:Z$30,Покупка!$A$15:$A$30,$A522,Покупка!$M$15:$M$30,$B522)</f>
        <v>0</v>
      </c>
      <c r="AB522" s="428">
        <f>SUMIFS(Покупка!AA$15:AA$30,Покупка!$A$15:$A$30,$A522,Покупка!$M$15:$M$30,$B522)</f>
        <v>0</v>
      </c>
      <c r="AC522" s="428">
        <f>SUMIFS(Покупка!AB$15:AB$30,Покупка!$A$15:$A$30,$A522,Покупка!$M$15:$M$30,$B522)</f>
        <v>0</v>
      </c>
      <c r="AD522" s="428">
        <f>SUMIFS(Покупка!AC$15:AC$30,Покупка!$A$15:$A$30,$A522,Покупка!$M$15:$M$30,$B522)</f>
        <v>0</v>
      </c>
      <c r="AE522" s="428">
        <f>SUMIFS(Покупка!AD$15:AD$30,Покупка!$A$15:$A$30,$A522,Покупка!$M$15:$M$30,$B522)</f>
        <v>0</v>
      </c>
      <c r="AF522" s="428">
        <f>SUMIFS(Покупка!AE$15:AE$30,Покупка!$A$15:$A$30,$A522,Покупка!$M$15:$M$30,$B522)</f>
        <v>0</v>
      </c>
      <c r="AG522" s="428">
        <f>SUMIFS(Покупка!AF$15:AF$30,Покупка!$A$15:$A$30,$A522,Покупка!$M$15:$M$30,$B522)</f>
        <v>0</v>
      </c>
      <c r="AH522" s="428">
        <f>SUMIFS(Покупка!AG$15:AG$30,Покупка!$A$15:$A$30,$A522,Покупка!$M$15:$M$30,$B522)</f>
        <v>0</v>
      </c>
      <c r="AI522" s="428">
        <f>SUMIFS(Покупка!AH$15:AH$30,Покупка!$A$15:$A$30,$A522,Покупка!$M$15:$M$30,$B522)</f>
        <v>0</v>
      </c>
      <c r="AJ522" s="428">
        <f>SUMIFS(Покупка!AI$15:AI$30,Покупка!$A$15:$A$30,$A522,Покупка!$M$15:$M$30,$B522)</f>
        <v>0</v>
      </c>
      <c r="AK522" s="428">
        <f>SUMIFS(Покупка!AJ$15:AJ$30,Покупка!$A$15:$A$30,$A522,Покупка!$M$15:$M$30,$B522)</f>
        <v>0</v>
      </c>
      <c r="AL522" s="428">
        <f>SUMIFS(Покупка!AK$15:AK$30,Покупка!$A$15:$A$30,$A522,Покупка!$M$15:$M$30,$B522)</f>
        <v>0</v>
      </c>
      <c r="AM522" s="428">
        <f>SUMIFS(Покупка!AL$15:AL$30,Покупка!$A$15:$A$30,$A522,Покупка!$M$15:$M$30,$B522)</f>
        <v>0</v>
      </c>
      <c r="AN522" s="416">
        <f t="shared" si="92"/>
        <v>0</v>
      </c>
      <c r="AO522" s="416">
        <f t="shared" si="93"/>
        <v>0</v>
      </c>
      <c r="AP522" s="416">
        <f t="shared" si="94"/>
        <v>0</v>
      </c>
      <c r="AQ522" s="416">
        <f t="shared" si="95"/>
        <v>0</v>
      </c>
      <c r="AR522" s="416">
        <f t="shared" si="96"/>
        <v>0</v>
      </c>
      <c r="AS522" s="416">
        <f t="shared" si="97"/>
        <v>0</v>
      </c>
      <c r="AT522" s="416">
        <f t="shared" si="98"/>
        <v>0</v>
      </c>
      <c r="AU522" s="416">
        <f t="shared" si="99"/>
        <v>0</v>
      </c>
      <c r="AV522" s="416">
        <f t="shared" si="100"/>
        <v>0</v>
      </c>
      <c r="AW522" s="416">
        <f t="shared" si="101"/>
        <v>0</v>
      </c>
      <c r="AX522" s="194"/>
      <c r="AY522" s="194"/>
      <c r="AZ522" s="194"/>
    </row>
    <row r="523" spans="1:52" s="111" customFormat="1" outlineLevel="1">
      <c r="A523" s="551" t="str">
        <f t="shared" si="91"/>
        <v>1</v>
      </c>
      <c r="B523" s="111" t="s">
        <v>1328</v>
      </c>
      <c r="L523" s="412" t="s">
        <v>1340</v>
      </c>
      <c r="M523" s="420" t="s">
        <v>1341</v>
      </c>
      <c r="N523" s="414" t="s">
        <v>370</v>
      </c>
      <c r="O523" s="428">
        <f>SUMIFS(Покупка!O$15:O$30,Покупка!$A$15:$A$30,$A523,Покупка!$M$15:$M$30,$B523)</f>
        <v>0</v>
      </c>
      <c r="P523" s="428">
        <f>SUMIFS(Покупка!P$15:P$30,Покупка!$A$15:$A$30,$A523,Покупка!$M$15:$M$30,$B523)</f>
        <v>0</v>
      </c>
      <c r="Q523" s="428">
        <f>SUMIFS(Покупка!Q$15:Q$30,Покупка!$A$15:$A$30,$A523,Покупка!$M$15:$M$30,$B523)</f>
        <v>0</v>
      </c>
      <c r="R523" s="416">
        <f>Q523-P523</f>
        <v>0</v>
      </c>
      <c r="S523" s="428">
        <f>SUMIFS(Покупка!R$15:R$30,Покупка!$A$15:$A$30,$A523,Покупка!$M$15:$M$30,$B523)</f>
        <v>0</v>
      </c>
      <c r="T523" s="428">
        <f>SUMIFS(Покупка!S$15:S$30,Покупка!$A$15:$A$30,$A523,Покупка!$M$15:$M$30,$B523)</f>
        <v>0</v>
      </c>
      <c r="U523" s="428">
        <f>SUMIFS(Покупка!T$15:T$30,Покупка!$A$15:$A$30,$A523,Покупка!$M$15:$M$30,$B523)</f>
        <v>0</v>
      </c>
      <c r="V523" s="428">
        <f>SUMIFS(Покупка!U$15:U$30,Покупка!$A$15:$A$30,$A523,Покупка!$M$15:$M$30,$B523)</f>
        <v>0</v>
      </c>
      <c r="W523" s="428">
        <f>SUMIFS(Покупка!V$15:V$30,Покупка!$A$15:$A$30,$A523,Покупка!$M$15:$M$30,$B523)</f>
        <v>0</v>
      </c>
      <c r="X523" s="428">
        <f>SUMIFS(Покупка!W$15:W$30,Покупка!$A$15:$A$30,$A523,Покупка!$M$15:$M$30,$B523)</f>
        <v>0</v>
      </c>
      <c r="Y523" s="428">
        <f>SUMIFS(Покупка!X$15:X$30,Покупка!$A$15:$A$30,$A523,Покупка!$M$15:$M$30,$B523)</f>
        <v>0</v>
      </c>
      <c r="Z523" s="428">
        <f>SUMIFS(Покупка!Y$15:Y$30,Покупка!$A$15:$A$30,$A523,Покупка!$M$15:$M$30,$B523)</f>
        <v>0</v>
      </c>
      <c r="AA523" s="428">
        <f>SUMIFS(Покупка!Z$15:Z$30,Покупка!$A$15:$A$30,$A523,Покупка!$M$15:$M$30,$B523)</f>
        <v>0</v>
      </c>
      <c r="AB523" s="428">
        <f>SUMIFS(Покупка!AA$15:AA$30,Покупка!$A$15:$A$30,$A523,Покупка!$M$15:$M$30,$B523)</f>
        <v>0</v>
      </c>
      <c r="AC523" s="428">
        <f>SUMIFS(Покупка!AB$15:AB$30,Покупка!$A$15:$A$30,$A523,Покупка!$M$15:$M$30,$B523)</f>
        <v>0</v>
      </c>
      <c r="AD523" s="428">
        <f>SUMIFS(Покупка!AC$15:AC$30,Покупка!$A$15:$A$30,$A523,Покупка!$M$15:$M$30,$B523)</f>
        <v>0</v>
      </c>
      <c r="AE523" s="428">
        <f>SUMIFS(Покупка!AD$15:AD$30,Покупка!$A$15:$A$30,$A523,Покупка!$M$15:$M$30,$B523)</f>
        <v>0</v>
      </c>
      <c r="AF523" s="428">
        <f>SUMIFS(Покупка!AE$15:AE$30,Покупка!$A$15:$A$30,$A523,Покупка!$M$15:$M$30,$B523)</f>
        <v>0</v>
      </c>
      <c r="AG523" s="428">
        <f>SUMIFS(Покупка!AF$15:AF$30,Покупка!$A$15:$A$30,$A523,Покупка!$M$15:$M$30,$B523)</f>
        <v>0</v>
      </c>
      <c r="AH523" s="428">
        <f>SUMIFS(Покупка!AG$15:AG$30,Покупка!$A$15:$A$30,$A523,Покупка!$M$15:$M$30,$B523)</f>
        <v>0</v>
      </c>
      <c r="AI523" s="428">
        <f>SUMIFS(Покупка!AH$15:AH$30,Покупка!$A$15:$A$30,$A523,Покупка!$M$15:$M$30,$B523)</f>
        <v>0</v>
      </c>
      <c r="AJ523" s="428">
        <f>SUMIFS(Покупка!AI$15:AI$30,Покупка!$A$15:$A$30,$A523,Покупка!$M$15:$M$30,$B523)</f>
        <v>0</v>
      </c>
      <c r="AK523" s="428">
        <f>SUMIFS(Покупка!AJ$15:AJ$30,Покупка!$A$15:$A$30,$A523,Покупка!$M$15:$M$30,$B523)</f>
        <v>0</v>
      </c>
      <c r="AL523" s="428">
        <f>SUMIFS(Покупка!AK$15:AK$30,Покупка!$A$15:$A$30,$A523,Покупка!$M$15:$M$30,$B523)</f>
        <v>0</v>
      </c>
      <c r="AM523" s="428">
        <f>SUMIFS(Покупка!AL$15:AL$30,Покупка!$A$15:$A$30,$A523,Покупка!$M$15:$M$30,$B523)</f>
        <v>0</v>
      </c>
      <c r="AN523" s="416">
        <f>IF(S523=0,0,(AD523-S523)/S523*100)</f>
        <v>0</v>
      </c>
      <c r="AO523" s="416">
        <f t="shared" ref="AO523:AW523" si="102">IF(AD523=0,0,(AE523-AD523)/AD523*100)</f>
        <v>0</v>
      </c>
      <c r="AP523" s="416">
        <f t="shared" si="102"/>
        <v>0</v>
      </c>
      <c r="AQ523" s="416">
        <f t="shared" si="102"/>
        <v>0</v>
      </c>
      <c r="AR523" s="416">
        <f t="shared" si="102"/>
        <v>0</v>
      </c>
      <c r="AS523" s="416">
        <f t="shared" si="102"/>
        <v>0</v>
      </c>
      <c r="AT523" s="416">
        <f t="shared" si="102"/>
        <v>0</v>
      </c>
      <c r="AU523" s="416">
        <f t="shared" si="102"/>
        <v>0</v>
      </c>
      <c r="AV523" s="416">
        <f t="shared" si="102"/>
        <v>0</v>
      </c>
      <c r="AW523" s="416">
        <f t="shared" si="102"/>
        <v>0</v>
      </c>
      <c r="AX523" s="194"/>
      <c r="AY523" s="194"/>
      <c r="AZ523" s="194"/>
    </row>
    <row r="524" spans="1:52" s="111" customFormat="1" outlineLevel="1">
      <c r="A524" s="551" t="str">
        <f>A522</f>
        <v>1</v>
      </c>
      <c r="L524" s="412" t="s">
        <v>146</v>
      </c>
      <c r="M524" s="413" t="s">
        <v>625</v>
      </c>
      <c r="N524" s="380" t="s">
        <v>370</v>
      </c>
      <c r="O524" s="428">
        <f>SUMIFS(Реагенты!O$15:O$19,Реагенты!$A$15:$A$19,$A524,Реагенты!$M$15:$M$19,"Всего по тарифу")</f>
        <v>0</v>
      </c>
      <c r="P524" s="428">
        <f>SUMIFS(Реагенты!P$15:P$19,Реагенты!$A$15:$A$19,$A524,Реагенты!$M$15:$M$19,"Всего по тарифу")</f>
        <v>0</v>
      </c>
      <c r="Q524" s="428">
        <f>SUMIFS(Реагенты!Q$15:Q$19,Реагенты!$A$15:$A$19,$A524,Реагенты!$M$15:$M$19,"Всего по тарифу")</f>
        <v>0</v>
      </c>
      <c r="R524" s="416">
        <f>Q524-P524</f>
        <v>0</v>
      </c>
      <c r="S524" s="428">
        <f>SUMIFS(Реагенты!R$15:R$19,Реагенты!$A$15:$A$19,$A524,Реагенты!$M$15:$M$19,"Всего по тарифу")</f>
        <v>0</v>
      </c>
      <c r="T524" s="428">
        <f>SUMIFS(Реагенты!S$15:S$19,Реагенты!$A$15:$A$19,$A524,Реагенты!$M$15:$M$19,"Всего по тарифу")</f>
        <v>0</v>
      </c>
      <c r="U524" s="428">
        <f>SUMIFS(Реагенты!T$15:T$19,Реагенты!$A$15:$A$19,$A524,Реагенты!$M$15:$M$19,"Всего по тарифу")</f>
        <v>0</v>
      </c>
      <c r="V524" s="428">
        <f>SUMIFS(Реагенты!U$15:U$19,Реагенты!$A$15:$A$19,$A524,Реагенты!$M$15:$M$19,"Всего по тарифу")</f>
        <v>0</v>
      </c>
      <c r="W524" s="428">
        <f>SUMIFS(Реагенты!V$15:V$19,Реагенты!$A$15:$A$19,$A524,Реагенты!$M$15:$M$19,"Всего по тарифу")</f>
        <v>0</v>
      </c>
      <c r="X524" s="428">
        <f>SUMIFS(Реагенты!W$15:W$19,Реагенты!$A$15:$A$19,$A524,Реагенты!$M$15:$M$19,"Всего по тарифу")</f>
        <v>0</v>
      </c>
      <c r="Y524" s="428">
        <f>SUMIFS(Реагенты!X$15:X$19,Реагенты!$A$15:$A$19,$A524,Реагенты!$M$15:$M$19,"Всего по тарифу")</f>
        <v>0</v>
      </c>
      <c r="Z524" s="428">
        <f>SUMIFS(Реагенты!Y$15:Y$19,Реагенты!$A$15:$A$19,$A524,Реагенты!$M$15:$M$19,"Всего по тарифу")</f>
        <v>0</v>
      </c>
      <c r="AA524" s="428">
        <f>SUMIFS(Реагенты!Z$15:Z$19,Реагенты!$A$15:$A$19,$A524,Реагенты!$M$15:$M$19,"Всего по тарифу")</f>
        <v>0</v>
      </c>
      <c r="AB524" s="428">
        <f>SUMIFS(Реагенты!AA$15:AA$19,Реагенты!$A$15:$A$19,$A524,Реагенты!$M$15:$M$19,"Всего по тарифу")</f>
        <v>0</v>
      </c>
      <c r="AC524" s="428">
        <f>SUMIFS(Реагенты!AB$15:AB$19,Реагенты!$A$15:$A$19,$A524,Реагенты!$M$15:$M$19,"Всего по тарифу")</f>
        <v>0</v>
      </c>
      <c r="AD524" s="428">
        <f>SUMIFS(Реагенты!AC$15:AC$19,Реагенты!$A$15:$A$19,$A524,Реагенты!$M$15:$M$19,"Всего по тарифу")</f>
        <v>0</v>
      </c>
      <c r="AE524" s="428">
        <f>SUMIFS(Реагенты!AD$15:AD$19,Реагенты!$A$15:$A$19,$A524,Реагенты!$M$15:$M$19,"Всего по тарифу")</f>
        <v>0</v>
      </c>
      <c r="AF524" s="428">
        <f>SUMIFS(Реагенты!AE$15:AE$19,Реагенты!$A$15:$A$19,$A524,Реагенты!$M$15:$M$19,"Всего по тарифу")</f>
        <v>0</v>
      </c>
      <c r="AG524" s="428">
        <f>SUMIFS(Реагенты!AF$15:AF$19,Реагенты!$A$15:$A$19,$A524,Реагенты!$M$15:$M$19,"Всего по тарифу")</f>
        <v>0</v>
      </c>
      <c r="AH524" s="428">
        <f>SUMIFS(Реагенты!AG$15:AG$19,Реагенты!$A$15:$A$19,$A524,Реагенты!$M$15:$M$19,"Всего по тарифу")</f>
        <v>0</v>
      </c>
      <c r="AI524" s="428">
        <f>SUMIFS(Реагенты!AH$15:AH$19,Реагенты!$A$15:$A$19,$A524,Реагенты!$M$15:$M$19,"Всего по тарифу")</f>
        <v>0</v>
      </c>
      <c r="AJ524" s="428">
        <f>SUMIFS(Реагенты!AI$15:AI$19,Реагенты!$A$15:$A$19,$A524,Реагенты!$M$15:$M$19,"Всего по тарифу")</f>
        <v>0</v>
      </c>
      <c r="AK524" s="428">
        <f>SUMIFS(Реагенты!AJ$15:AJ$19,Реагенты!$A$15:$A$19,$A524,Реагенты!$M$15:$M$19,"Всего по тарифу")</f>
        <v>0</v>
      </c>
      <c r="AL524" s="428">
        <f>SUMIFS(Реагенты!AK$15:AK$19,Реагенты!$A$15:$A$19,$A524,Реагенты!$M$15:$M$19,"Всего по тарифу")</f>
        <v>0</v>
      </c>
      <c r="AM524" s="428">
        <f>SUMIFS(Реагенты!AL$15:AL$19,Реагенты!$A$15:$A$19,$A524,Реагенты!$M$15:$M$19,"Всего по тарифу")</f>
        <v>0</v>
      </c>
      <c r="AN524" s="416">
        <f t="shared" si="92"/>
        <v>0</v>
      </c>
      <c r="AO524" s="416">
        <f t="shared" si="93"/>
        <v>0</v>
      </c>
      <c r="AP524" s="416">
        <f t="shared" si="94"/>
        <v>0</v>
      </c>
      <c r="AQ524" s="416">
        <f t="shared" si="95"/>
        <v>0</v>
      </c>
      <c r="AR524" s="416">
        <f t="shared" si="96"/>
        <v>0</v>
      </c>
      <c r="AS524" s="416">
        <f t="shared" si="97"/>
        <v>0</v>
      </c>
      <c r="AT524" s="416">
        <f t="shared" si="98"/>
        <v>0</v>
      </c>
      <c r="AU524" s="416">
        <f t="shared" si="99"/>
        <v>0</v>
      </c>
      <c r="AV524" s="416">
        <f t="shared" si="100"/>
        <v>0</v>
      </c>
      <c r="AW524" s="416">
        <f t="shared" si="101"/>
        <v>0</v>
      </c>
      <c r="AX524" s="194"/>
      <c r="AY524" s="194"/>
      <c r="AZ524" s="194"/>
    </row>
    <row r="525" spans="1:52" s="116" customFormat="1" outlineLevel="1">
      <c r="A525" s="568" t="str">
        <f t="shared" si="91"/>
        <v>1</v>
      </c>
      <c r="L525" s="432" t="s">
        <v>167</v>
      </c>
      <c r="M525" s="536" t="s">
        <v>626</v>
      </c>
      <c r="N525" s="433" t="s">
        <v>370</v>
      </c>
      <c r="O525" s="410">
        <f>SUM(O526:O534)</f>
        <v>0</v>
      </c>
      <c r="P525" s="410">
        <f t="shared" ref="P525:AM525" si="103">SUM(P526:P534)</f>
        <v>2262.0700000000002</v>
      </c>
      <c r="Q525" s="410">
        <f t="shared" si="103"/>
        <v>1613.5700000000002</v>
      </c>
      <c r="R525" s="410">
        <f t="shared" ref="R525:R534" si="104">Q525-P525</f>
        <v>-648.5</v>
      </c>
      <c r="S525" s="410">
        <f t="shared" si="103"/>
        <v>2647.12</v>
      </c>
      <c r="T525" s="411">
        <f t="shared" si="103"/>
        <v>2781.78</v>
      </c>
      <c r="U525" s="410">
        <f t="shared" si="103"/>
        <v>0</v>
      </c>
      <c r="V525" s="410">
        <f t="shared" si="103"/>
        <v>0</v>
      </c>
      <c r="W525" s="410">
        <f t="shared" si="103"/>
        <v>0</v>
      </c>
      <c r="X525" s="410">
        <f t="shared" si="103"/>
        <v>0</v>
      </c>
      <c r="Y525" s="410">
        <f t="shared" si="103"/>
        <v>0</v>
      </c>
      <c r="Z525" s="410">
        <f t="shared" si="103"/>
        <v>0</v>
      </c>
      <c r="AA525" s="410">
        <f t="shared" si="103"/>
        <v>0</v>
      </c>
      <c r="AB525" s="410">
        <f t="shared" si="103"/>
        <v>0</v>
      </c>
      <c r="AC525" s="410">
        <f t="shared" si="103"/>
        <v>0</v>
      </c>
      <c r="AD525" s="411">
        <f t="shared" si="103"/>
        <v>2766.5800000000004</v>
      </c>
      <c r="AE525" s="410">
        <f t="shared" si="103"/>
        <v>0</v>
      </c>
      <c r="AF525" s="410">
        <f t="shared" si="103"/>
        <v>0</v>
      </c>
      <c r="AG525" s="410">
        <f t="shared" si="103"/>
        <v>0</v>
      </c>
      <c r="AH525" s="410">
        <f t="shared" si="103"/>
        <v>0</v>
      </c>
      <c r="AI525" s="410">
        <f t="shared" si="103"/>
        <v>0</v>
      </c>
      <c r="AJ525" s="410">
        <f t="shared" si="103"/>
        <v>0</v>
      </c>
      <c r="AK525" s="410">
        <f t="shared" si="103"/>
        <v>0</v>
      </c>
      <c r="AL525" s="410">
        <f t="shared" si="103"/>
        <v>0</v>
      </c>
      <c r="AM525" s="410">
        <f t="shared" si="103"/>
        <v>0</v>
      </c>
      <c r="AN525" s="410">
        <f t="shared" si="92"/>
        <v>4.5128290368400563</v>
      </c>
      <c r="AO525" s="410">
        <f t="shared" si="93"/>
        <v>-100</v>
      </c>
      <c r="AP525" s="410">
        <f t="shared" si="94"/>
        <v>0</v>
      </c>
      <c r="AQ525" s="410">
        <f t="shared" si="95"/>
        <v>0</v>
      </c>
      <c r="AR525" s="410">
        <f t="shared" si="96"/>
        <v>0</v>
      </c>
      <c r="AS525" s="410">
        <f t="shared" si="97"/>
        <v>0</v>
      </c>
      <c r="AT525" s="410">
        <f t="shared" si="98"/>
        <v>0</v>
      </c>
      <c r="AU525" s="410">
        <f t="shared" si="99"/>
        <v>0</v>
      </c>
      <c r="AV525" s="410">
        <f t="shared" si="100"/>
        <v>0</v>
      </c>
      <c r="AW525" s="410">
        <f t="shared" si="101"/>
        <v>0</v>
      </c>
      <c r="AX525" s="538"/>
      <c r="AY525" s="538"/>
      <c r="AZ525" s="538"/>
    </row>
    <row r="526" spans="1:52" s="111" customFormat="1" outlineLevel="1">
      <c r="A526" s="551" t="str">
        <f t="shared" si="91"/>
        <v>1</v>
      </c>
      <c r="B526" s="111" t="s">
        <v>136</v>
      </c>
      <c r="L526" s="412" t="s">
        <v>168</v>
      </c>
      <c r="M526" s="420" t="s">
        <v>627</v>
      </c>
      <c r="N526" s="414" t="s">
        <v>370</v>
      </c>
      <c r="O526" s="428">
        <f>SUMIFS(Налоги!O$15:O$29,Налоги!$A$15:$A$29,$A526,Налоги!$M$15:$M$29,$B526)</f>
        <v>0</v>
      </c>
      <c r="P526" s="428">
        <f>SUMIFS(Налоги!P$15:P$29,Налоги!$A$15:$A$29,$A526,Налоги!$M$15:$M$29,$B526)</f>
        <v>0</v>
      </c>
      <c r="Q526" s="428">
        <f>SUMIFS(Налоги!Q$15:Q$29,Налоги!$A$15:$A$29,$A526,Налоги!$M$15:$M$29,$B526)</f>
        <v>0</v>
      </c>
      <c r="R526" s="416">
        <f t="shared" si="104"/>
        <v>0</v>
      </c>
      <c r="S526" s="428">
        <f>SUMIFS(Налоги!R$15:R$29,Налоги!$A$15:$A$29,$A526,Налоги!$M$15:$M$29,$B526)</f>
        <v>0</v>
      </c>
      <c r="T526" s="428">
        <f>SUMIFS(Налоги!S$15:S$29,Налоги!$A$15:$A$29,$A526,Налоги!$M$15:$M$29,$B526)</f>
        <v>0</v>
      </c>
      <c r="U526" s="428">
        <f>SUMIFS(Налоги!T$15:T$29,Налоги!$A$15:$A$29,$A526,Налоги!$M$15:$M$29,$B526)</f>
        <v>0</v>
      </c>
      <c r="V526" s="428">
        <f>SUMIFS(Налоги!U$15:U$29,Налоги!$A$15:$A$29,$A526,Налоги!$M$15:$M$29,$B526)</f>
        <v>0</v>
      </c>
      <c r="W526" s="428">
        <f>SUMIFS(Налоги!V$15:V$29,Налоги!$A$15:$A$29,$A526,Налоги!$M$15:$M$29,$B526)</f>
        <v>0</v>
      </c>
      <c r="X526" s="428">
        <f>SUMIFS(Налоги!W$15:W$29,Налоги!$A$15:$A$29,$A526,Налоги!$M$15:$M$29,$B526)</f>
        <v>0</v>
      </c>
      <c r="Y526" s="428">
        <f>SUMIFS(Налоги!X$15:X$29,Налоги!$A$15:$A$29,$A526,Налоги!$M$15:$M$29,$B526)</f>
        <v>0</v>
      </c>
      <c r="Z526" s="428">
        <f>SUMIFS(Налоги!Y$15:Y$29,Налоги!$A$15:$A$29,$A526,Налоги!$M$15:$M$29,$B526)</f>
        <v>0</v>
      </c>
      <c r="AA526" s="428">
        <f>SUMIFS(Налоги!Z$15:Z$29,Налоги!$A$15:$A$29,$A526,Налоги!$M$15:$M$29,$B526)</f>
        <v>0</v>
      </c>
      <c r="AB526" s="428">
        <f>SUMIFS(Налоги!AA$15:AA$29,Налоги!$A$15:$A$29,$A526,Налоги!$M$15:$M$29,$B526)</f>
        <v>0</v>
      </c>
      <c r="AC526" s="428">
        <f>SUMIFS(Налоги!AB$15:AB$29,Налоги!$A$15:$A$29,$A526,Налоги!$M$15:$M$29,$B526)</f>
        <v>0</v>
      </c>
      <c r="AD526" s="428">
        <f>SUMIFS(Налоги!AC$15:AC$29,Налоги!$A$15:$A$29,$A526,Налоги!$M$15:$M$29,$B526)</f>
        <v>0</v>
      </c>
      <c r="AE526" s="428">
        <f>SUMIFS(Налоги!AD$15:AD$29,Налоги!$A$15:$A$29,$A526,Налоги!$M$15:$M$29,$B526)</f>
        <v>0</v>
      </c>
      <c r="AF526" s="428">
        <f>SUMIFS(Налоги!AE$15:AE$29,Налоги!$A$15:$A$29,$A526,Налоги!$M$15:$M$29,$B526)</f>
        <v>0</v>
      </c>
      <c r="AG526" s="428">
        <f>SUMIFS(Налоги!AF$15:AF$29,Налоги!$A$15:$A$29,$A526,Налоги!$M$15:$M$29,$B526)</f>
        <v>0</v>
      </c>
      <c r="AH526" s="428">
        <f>SUMIFS(Налоги!AG$15:AG$29,Налоги!$A$15:$A$29,$A526,Налоги!$M$15:$M$29,$B526)</f>
        <v>0</v>
      </c>
      <c r="AI526" s="428">
        <f>SUMIFS(Налоги!AH$15:AH$29,Налоги!$A$15:$A$29,$A526,Налоги!$M$15:$M$29,$B526)</f>
        <v>0</v>
      </c>
      <c r="AJ526" s="428">
        <f>SUMIFS(Налоги!AI$15:AI$29,Налоги!$A$15:$A$29,$A526,Налоги!$M$15:$M$29,$B526)</f>
        <v>0</v>
      </c>
      <c r="AK526" s="428">
        <f>SUMIFS(Налоги!AJ$15:AJ$29,Налоги!$A$15:$A$29,$A526,Налоги!$M$15:$M$29,$B526)</f>
        <v>0</v>
      </c>
      <c r="AL526" s="428">
        <f>SUMIFS(Налоги!AK$15:AK$29,Налоги!$A$15:$A$29,$A526,Налоги!$M$15:$M$29,$B526)</f>
        <v>0</v>
      </c>
      <c r="AM526" s="428">
        <f>SUMIFS(Налоги!AL$15:AL$29,Налоги!$A$15:$A$29,$A526,Налоги!$M$15:$M$29,$B526)</f>
        <v>0</v>
      </c>
      <c r="AN526" s="416">
        <f t="shared" si="92"/>
        <v>0</v>
      </c>
      <c r="AO526" s="416">
        <f t="shared" si="93"/>
        <v>0</v>
      </c>
      <c r="AP526" s="416">
        <f t="shared" si="94"/>
        <v>0</v>
      </c>
      <c r="AQ526" s="416">
        <f t="shared" si="95"/>
        <v>0</v>
      </c>
      <c r="AR526" s="416">
        <f t="shared" si="96"/>
        <v>0</v>
      </c>
      <c r="AS526" s="416">
        <f t="shared" si="97"/>
        <v>0</v>
      </c>
      <c r="AT526" s="416">
        <f t="shared" si="98"/>
        <v>0</v>
      </c>
      <c r="AU526" s="416">
        <f t="shared" si="99"/>
        <v>0</v>
      </c>
      <c r="AV526" s="416">
        <f t="shared" si="100"/>
        <v>0</v>
      </c>
      <c r="AW526" s="416">
        <f t="shared" si="101"/>
        <v>0</v>
      </c>
      <c r="AX526" s="194"/>
      <c r="AY526" s="194"/>
      <c r="AZ526" s="194"/>
    </row>
    <row r="527" spans="1:52" s="111" customFormat="1" outlineLevel="1">
      <c r="A527" s="551" t="str">
        <f t="shared" si="91"/>
        <v>1</v>
      </c>
      <c r="B527" s="111" t="s">
        <v>137</v>
      </c>
      <c r="L527" s="412" t="s">
        <v>628</v>
      </c>
      <c r="M527" s="420" t="s">
        <v>629</v>
      </c>
      <c r="N527" s="414" t="s">
        <v>370</v>
      </c>
      <c r="O527" s="428">
        <f>SUMIFS(Налоги!O$15:O$29,Налоги!$A$15:$A$29,$A527,Налоги!$M$15:$M$29,$B527)</f>
        <v>0</v>
      </c>
      <c r="P527" s="428">
        <f>SUMIFS(Налоги!P$15:P$29,Налоги!$A$15:$A$29,$A527,Налоги!$M$15:$M$29,$B527)</f>
        <v>0</v>
      </c>
      <c r="Q527" s="428">
        <f>SUMIFS(Налоги!Q$15:Q$29,Налоги!$A$15:$A$29,$A527,Налоги!$M$15:$M$29,$B527)</f>
        <v>0</v>
      </c>
      <c r="R527" s="416">
        <f t="shared" si="104"/>
        <v>0</v>
      </c>
      <c r="S527" s="428">
        <f>SUMIFS(Налоги!R$15:R$29,Налоги!$A$15:$A$29,$A527,Налоги!$M$15:$M$29,$B527)</f>
        <v>0</v>
      </c>
      <c r="T527" s="428">
        <f>SUMIFS(Налоги!S$15:S$29,Налоги!$A$15:$A$29,$A527,Налоги!$M$15:$M$29,$B527)</f>
        <v>0</v>
      </c>
      <c r="U527" s="428">
        <f>SUMIFS(Налоги!T$15:T$29,Налоги!$A$15:$A$29,$A527,Налоги!$M$15:$M$29,$B527)</f>
        <v>0</v>
      </c>
      <c r="V527" s="428">
        <f>SUMIFS(Налоги!U$15:U$29,Налоги!$A$15:$A$29,$A527,Налоги!$M$15:$M$29,$B527)</f>
        <v>0</v>
      </c>
      <c r="W527" s="428">
        <f>SUMIFS(Налоги!V$15:V$29,Налоги!$A$15:$A$29,$A527,Налоги!$M$15:$M$29,$B527)</f>
        <v>0</v>
      </c>
      <c r="X527" s="428">
        <f>SUMIFS(Налоги!W$15:W$29,Налоги!$A$15:$A$29,$A527,Налоги!$M$15:$M$29,$B527)</f>
        <v>0</v>
      </c>
      <c r="Y527" s="428">
        <f>SUMIFS(Налоги!X$15:X$29,Налоги!$A$15:$A$29,$A527,Налоги!$M$15:$M$29,$B527)</f>
        <v>0</v>
      </c>
      <c r="Z527" s="428">
        <f>SUMIFS(Налоги!Y$15:Y$29,Налоги!$A$15:$A$29,$A527,Налоги!$M$15:$M$29,$B527)</f>
        <v>0</v>
      </c>
      <c r="AA527" s="428">
        <f>SUMIFS(Налоги!Z$15:Z$29,Налоги!$A$15:$A$29,$A527,Налоги!$M$15:$M$29,$B527)</f>
        <v>0</v>
      </c>
      <c r="AB527" s="428">
        <f>SUMIFS(Налоги!AA$15:AA$29,Налоги!$A$15:$A$29,$A527,Налоги!$M$15:$M$29,$B527)</f>
        <v>0</v>
      </c>
      <c r="AC527" s="428">
        <f>SUMIFS(Налоги!AB$15:AB$29,Налоги!$A$15:$A$29,$A527,Налоги!$M$15:$M$29,$B527)</f>
        <v>0</v>
      </c>
      <c r="AD527" s="428">
        <f>SUMIFS(Налоги!AC$15:AC$29,Налоги!$A$15:$A$29,$A527,Налоги!$M$15:$M$29,$B527)</f>
        <v>0</v>
      </c>
      <c r="AE527" s="428">
        <f>SUMIFS(Налоги!AD$15:AD$29,Налоги!$A$15:$A$29,$A527,Налоги!$M$15:$M$29,$B527)</f>
        <v>0</v>
      </c>
      <c r="AF527" s="428">
        <f>SUMIFS(Налоги!AE$15:AE$29,Налоги!$A$15:$A$29,$A527,Налоги!$M$15:$M$29,$B527)</f>
        <v>0</v>
      </c>
      <c r="AG527" s="428">
        <f>SUMIFS(Налоги!AF$15:AF$29,Налоги!$A$15:$A$29,$A527,Налоги!$M$15:$M$29,$B527)</f>
        <v>0</v>
      </c>
      <c r="AH527" s="428">
        <f>SUMIFS(Налоги!AG$15:AG$29,Налоги!$A$15:$A$29,$A527,Налоги!$M$15:$M$29,$B527)</f>
        <v>0</v>
      </c>
      <c r="AI527" s="428">
        <f>SUMIFS(Налоги!AH$15:AH$29,Налоги!$A$15:$A$29,$A527,Налоги!$M$15:$M$29,$B527)</f>
        <v>0</v>
      </c>
      <c r="AJ527" s="428">
        <f>SUMIFS(Налоги!AI$15:AI$29,Налоги!$A$15:$A$29,$A527,Налоги!$M$15:$M$29,$B527)</f>
        <v>0</v>
      </c>
      <c r="AK527" s="428">
        <f>SUMIFS(Налоги!AJ$15:AJ$29,Налоги!$A$15:$A$29,$A527,Налоги!$M$15:$M$29,$B527)</f>
        <v>0</v>
      </c>
      <c r="AL527" s="428">
        <f>SUMIFS(Налоги!AK$15:AK$29,Налоги!$A$15:$A$29,$A527,Налоги!$M$15:$M$29,$B527)</f>
        <v>0</v>
      </c>
      <c r="AM527" s="428">
        <f>SUMIFS(Налоги!AL$15:AL$29,Налоги!$A$15:$A$29,$A527,Налоги!$M$15:$M$29,$B527)</f>
        <v>0</v>
      </c>
      <c r="AN527" s="416">
        <f t="shared" si="92"/>
        <v>0</v>
      </c>
      <c r="AO527" s="416">
        <f t="shared" si="93"/>
        <v>0</v>
      </c>
      <c r="AP527" s="416">
        <f t="shared" si="94"/>
        <v>0</v>
      </c>
      <c r="AQ527" s="416">
        <f t="shared" si="95"/>
        <v>0</v>
      </c>
      <c r="AR527" s="416">
        <f t="shared" si="96"/>
        <v>0</v>
      </c>
      <c r="AS527" s="416">
        <f t="shared" si="97"/>
        <v>0</v>
      </c>
      <c r="AT527" s="416">
        <f t="shared" si="98"/>
        <v>0</v>
      </c>
      <c r="AU527" s="416">
        <f t="shared" si="99"/>
        <v>0</v>
      </c>
      <c r="AV527" s="416">
        <f t="shared" si="100"/>
        <v>0</v>
      </c>
      <c r="AW527" s="416">
        <f t="shared" si="101"/>
        <v>0</v>
      </c>
      <c r="AX527" s="194"/>
      <c r="AY527" s="194"/>
      <c r="AZ527" s="194"/>
    </row>
    <row r="528" spans="1:52" s="111" customFormat="1" outlineLevel="1">
      <c r="A528" s="551" t="str">
        <f t="shared" si="91"/>
        <v>1</v>
      </c>
      <c r="B528" s="111" t="s">
        <v>431</v>
      </c>
      <c r="L528" s="412" t="s">
        <v>630</v>
      </c>
      <c r="M528" s="420" t="s">
        <v>631</v>
      </c>
      <c r="N528" s="414" t="s">
        <v>370</v>
      </c>
      <c r="O528" s="428">
        <f>SUMIFS(Налоги!O$15:O$29,Налоги!$A$15:$A$29,$A528,Налоги!$M$15:$M$29,$B528)</f>
        <v>0</v>
      </c>
      <c r="P528" s="428">
        <f>SUMIFS(Налоги!P$15:P$29,Налоги!$A$15:$A$29,$A528,Налоги!$M$15:$M$29,$B528)</f>
        <v>5.65</v>
      </c>
      <c r="Q528" s="428">
        <f>SUMIFS(Налоги!Q$15:Q$29,Налоги!$A$15:$A$29,$A528,Налоги!$M$15:$M$29,$B528)</f>
        <v>5.65</v>
      </c>
      <c r="R528" s="416">
        <f t="shared" si="104"/>
        <v>0</v>
      </c>
      <c r="S528" s="428">
        <f>SUMIFS(Налоги!R$15:R$29,Налоги!$A$15:$A$29,$A528,Налоги!$M$15:$M$29,$B528)</f>
        <v>6.22</v>
      </c>
      <c r="T528" s="428">
        <f>SUMIFS(Налоги!S$15:S$29,Налоги!$A$15:$A$29,$A528,Налоги!$M$15:$M$29,$B528)</f>
        <v>6.08</v>
      </c>
      <c r="U528" s="428">
        <f>SUMIFS(Налоги!T$15:T$29,Налоги!$A$15:$A$29,$A528,Налоги!$M$15:$M$29,$B528)</f>
        <v>0</v>
      </c>
      <c r="V528" s="428">
        <f>SUMIFS(Налоги!U$15:U$29,Налоги!$A$15:$A$29,$A528,Налоги!$M$15:$M$29,$B528)</f>
        <v>0</v>
      </c>
      <c r="W528" s="428">
        <f>SUMIFS(Налоги!V$15:V$29,Налоги!$A$15:$A$29,$A528,Налоги!$M$15:$M$29,$B528)</f>
        <v>0</v>
      </c>
      <c r="X528" s="428">
        <f>SUMIFS(Налоги!W$15:W$29,Налоги!$A$15:$A$29,$A528,Налоги!$M$15:$M$29,$B528)</f>
        <v>0</v>
      </c>
      <c r="Y528" s="428">
        <f>SUMIFS(Налоги!X$15:X$29,Налоги!$A$15:$A$29,$A528,Налоги!$M$15:$M$29,$B528)</f>
        <v>0</v>
      </c>
      <c r="Z528" s="428">
        <f>SUMIFS(Налоги!Y$15:Y$29,Налоги!$A$15:$A$29,$A528,Налоги!$M$15:$M$29,$B528)</f>
        <v>0</v>
      </c>
      <c r="AA528" s="428">
        <f>SUMIFS(Налоги!Z$15:Z$29,Налоги!$A$15:$A$29,$A528,Налоги!$M$15:$M$29,$B528)</f>
        <v>0</v>
      </c>
      <c r="AB528" s="428">
        <f>SUMIFS(Налоги!AA$15:AA$29,Налоги!$A$15:$A$29,$A528,Налоги!$M$15:$M$29,$B528)</f>
        <v>0</v>
      </c>
      <c r="AC528" s="428">
        <f>SUMIFS(Налоги!AB$15:AB$29,Налоги!$A$15:$A$29,$A528,Налоги!$M$15:$M$29,$B528)</f>
        <v>0</v>
      </c>
      <c r="AD528" s="428">
        <f>SUMIFS(Налоги!AC$15:AC$29,Налоги!$A$15:$A$29,$A528,Налоги!$M$15:$M$29,$B528)</f>
        <v>6.08</v>
      </c>
      <c r="AE528" s="428">
        <f>SUMIFS(Налоги!AD$15:AD$29,Налоги!$A$15:$A$29,$A528,Налоги!$M$15:$M$29,$B528)</f>
        <v>0</v>
      </c>
      <c r="AF528" s="428">
        <f>SUMIFS(Налоги!AE$15:AE$29,Налоги!$A$15:$A$29,$A528,Налоги!$M$15:$M$29,$B528)</f>
        <v>0</v>
      </c>
      <c r="AG528" s="428">
        <f>SUMIFS(Налоги!AF$15:AF$29,Налоги!$A$15:$A$29,$A528,Налоги!$M$15:$M$29,$B528)</f>
        <v>0</v>
      </c>
      <c r="AH528" s="428">
        <f>SUMIFS(Налоги!AG$15:AG$29,Налоги!$A$15:$A$29,$A528,Налоги!$M$15:$M$29,$B528)</f>
        <v>0</v>
      </c>
      <c r="AI528" s="428">
        <f>SUMIFS(Налоги!AH$15:AH$29,Налоги!$A$15:$A$29,$A528,Налоги!$M$15:$M$29,$B528)</f>
        <v>0</v>
      </c>
      <c r="AJ528" s="428">
        <f>SUMIFS(Налоги!AI$15:AI$29,Налоги!$A$15:$A$29,$A528,Налоги!$M$15:$M$29,$B528)</f>
        <v>0</v>
      </c>
      <c r="AK528" s="428">
        <f>SUMIFS(Налоги!AJ$15:AJ$29,Налоги!$A$15:$A$29,$A528,Налоги!$M$15:$M$29,$B528)</f>
        <v>0</v>
      </c>
      <c r="AL528" s="428">
        <f>SUMIFS(Налоги!AK$15:AK$29,Налоги!$A$15:$A$29,$A528,Налоги!$M$15:$M$29,$B528)</f>
        <v>0</v>
      </c>
      <c r="AM528" s="428">
        <f>SUMIFS(Налоги!AL$15:AL$29,Налоги!$A$15:$A$29,$A528,Налоги!$M$15:$M$29,$B528)</f>
        <v>0</v>
      </c>
      <c r="AN528" s="416">
        <f t="shared" si="92"/>
        <v>-2.2508038585208952</v>
      </c>
      <c r="AO528" s="416">
        <f t="shared" si="93"/>
        <v>-100</v>
      </c>
      <c r="AP528" s="416">
        <f t="shared" si="94"/>
        <v>0</v>
      </c>
      <c r="AQ528" s="416">
        <f t="shared" si="95"/>
        <v>0</v>
      </c>
      <c r="AR528" s="416">
        <f t="shared" si="96"/>
        <v>0</v>
      </c>
      <c r="AS528" s="416">
        <f t="shared" si="97"/>
        <v>0</v>
      </c>
      <c r="AT528" s="416">
        <f t="shared" si="98"/>
        <v>0</v>
      </c>
      <c r="AU528" s="416">
        <f t="shared" si="99"/>
        <v>0</v>
      </c>
      <c r="AV528" s="416">
        <f t="shared" si="100"/>
        <v>0</v>
      </c>
      <c r="AW528" s="416">
        <f t="shared" si="101"/>
        <v>0</v>
      </c>
      <c r="AX528" s="194"/>
      <c r="AY528" s="194"/>
      <c r="AZ528" s="194"/>
    </row>
    <row r="529" spans="1:52" s="111" customFormat="1" outlineLevel="1">
      <c r="A529" s="551" t="str">
        <f t="shared" si="91"/>
        <v>1</v>
      </c>
      <c r="B529" s="111" t="s">
        <v>432</v>
      </c>
      <c r="L529" s="412" t="s">
        <v>632</v>
      </c>
      <c r="M529" s="420" t="s">
        <v>633</v>
      </c>
      <c r="N529" s="414" t="s">
        <v>370</v>
      </c>
      <c r="O529" s="428">
        <f>SUMIFS(Налоги!O$15:O$29,Налоги!$A$15:$A$29,$A529,Налоги!$M$15:$M$29,$B529)</f>
        <v>0</v>
      </c>
      <c r="P529" s="428">
        <f>SUMIFS(Налоги!P$15:P$29,Налоги!$A$15:$A$29,$A529,Налоги!$M$15:$M$29,$B529)</f>
        <v>1604.66</v>
      </c>
      <c r="Q529" s="428">
        <f>SUMIFS(Налоги!Q$15:Q$29,Налоги!$A$15:$A$29,$A529,Налоги!$M$15:$M$29,$B529)</f>
        <v>1604.66</v>
      </c>
      <c r="R529" s="416">
        <f t="shared" si="104"/>
        <v>0</v>
      </c>
      <c r="S529" s="428">
        <f>SUMIFS(Налоги!R$15:R$29,Налоги!$A$15:$A$29,$A529,Налоги!$M$15:$M$29,$B529)</f>
        <v>2141.44</v>
      </c>
      <c r="T529" s="428">
        <f>SUMIFS(Налоги!S$15:S$29,Налоги!$A$15:$A$29,$A529,Налоги!$M$15:$M$29,$B529)</f>
        <v>2548.63</v>
      </c>
      <c r="U529" s="428">
        <f>SUMIFS(Налоги!T$15:T$29,Налоги!$A$15:$A$29,$A529,Налоги!$M$15:$M$29,$B529)</f>
        <v>0</v>
      </c>
      <c r="V529" s="428">
        <f>SUMIFS(Налоги!U$15:U$29,Налоги!$A$15:$A$29,$A529,Налоги!$M$15:$M$29,$B529)</f>
        <v>0</v>
      </c>
      <c r="W529" s="428">
        <f>SUMIFS(Налоги!V$15:V$29,Налоги!$A$15:$A$29,$A529,Налоги!$M$15:$M$29,$B529)</f>
        <v>0</v>
      </c>
      <c r="X529" s="428">
        <f>SUMIFS(Налоги!W$15:W$29,Налоги!$A$15:$A$29,$A529,Налоги!$M$15:$M$29,$B529)</f>
        <v>0</v>
      </c>
      <c r="Y529" s="428">
        <f>SUMIFS(Налоги!X$15:X$29,Налоги!$A$15:$A$29,$A529,Налоги!$M$15:$M$29,$B529)</f>
        <v>0</v>
      </c>
      <c r="Z529" s="428">
        <f>SUMIFS(Налоги!Y$15:Y$29,Налоги!$A$15:$A$29,$A529,Налоги!$M$15:$M$29,$B529)</f>
        <v>0</v>
      </c>
      <c r="AA529" s="428">
        <f>SUMIFS(Налоги!Z$15:Z$29,Налоги!$A$15:$A$29,$A529,Налоги!$M$15:$M$29,$B529)</f>
        <v>0</v>
      </c>
      <c r="AB529" s="428">
        <f>SUMIFS(Налоги!AA$15:AA$29,Налоги!$A$15:$A$29,$A529,Налоги!$M$15:$M$29,$B529)</f>
        <v>0</v>
      </c>
      <c r="AC529" s="428">
        <f>SUMIFS(Налоги!AB$15:AB$29,Налоги!$A$15:$A$29,$A529,Налоги!$M$15:$M$29,$B529)</f>
        <v>0</v>
      </c>
      <c r="AD529" s="428">
        <f>SUMIFS(Налоги!AC$15:AC$29,Налоги!$A$15:$A$29,$A529,Налоги!$M$15:$M$29,$B529)</f>
        <v>2548.63</v>
      </c>
      <c r="AE529" s="428">
        <f>SUMIFS(Налоги!AD$15:AD$29,Налоги!$A$15:$A$29,$A529,Налоги!$M$15:$M$29,$B529)</f>
        <v>0</v>
      </c>
      <c r="AF529" s="428">
        <f>SUMIFS(Налоги!AE$15:AE$29,Налоги!$A$15:$A$29,$A529,Налоги!$M$15:$M$29,$B529)</f>
        <v>0</v>
      </c>
      <c r="AG529" s="428">
        <f>SUMIFS(Налоги!AF$15:AF$29,Налоги!$A$15:$A$29,$A529,Налоги!$M$15:$M$29,$B529)</f>
        <v>0</v>
      </c>
      <c r="AH529" s="428">
        <f>SUMIFS(Налоги!AG$15:AG$29,Налоги!$A$15:$A$29,$A529,Налоги!$M$15:$M$29,$B529)</f>
        <v>0</v>
      </c>
      <c r="AI529" s="428">
        <f>SUMIFS(Налоги!AH$15:AH$29,Налоги!$A$15:$A$29,$A529,Налоги!$M$15:$M$29,$B529)</f>
        <v>0</v>
      </c>
      <c r="AJ529" s="428">
        <f>SUMIFS(Налоги!AI$15:AI$29,Налоги!$A$15:$A$29,$A529,Налоги!$M$15:$M$29,$B529)</f>
        <v>0</v>
      </c>
      <c r="AK529" s="428">
        <f>SUMIFS(Налоги!AJ$15:AJ$29,Налоги!$A$15:$A$29,$A529,Налоги!$M$15:$M$29,$B529)</f>
        <v>0</v>
      </c>
      <c r="AL529" s="428">
        <f>SUMIFS(Налоги!AK$15:AK$29,Налоги!$A$15:$A$29,$A529,Налоги!$M$15:$M$29,$B529)</f>
        <v>0</v>
      </c>
      <c r="AM529" s="428">
        <f>SUMIFS(Налоги!AL$15:AL$29,Налоги!$A$15:$A$29,$A529,Налоги!$M$15:$M$29,$B529)</f>
        <v>0</v>
      </c>
      <c r="AN529" s="416">
        <f t="shared" si="92"/>
        <v>19.014775104602514</v>
      </c>
      <c r="AO529" s="416">
        <f t="shared" si="93"/>
        <v>-100</v>
      </c>
      <c r="AP529" s="416">
        <f t="shared" si="94"/>
        <v>0</v>
      </c>
      <c r="AQ529" s="416">
        <f t="shared" si="95"/>
        <v>0</v>
      </c>
      <c r="AR529" s="416">
        <f t="shared" si="96"/>
        <v>0</v>
      </c>
      <c r="AS529" s="416">
        <f t="shared" si="97"/>
        <v>0</v>
      </c>
      <c r="AT529" s="416">
        <f t="shared" si="98"/>
        <v>0</v>
      </c>
      <c r="AU529" s="416">
        <f t="shared" si="99"/>
        <v>0</v>
      </c>
      <c r="AV529" s="416">
        <f t="shared" si="100"/>
        <v>0</v>
      </c>
      <c r="AW529" s="416">
        <f t="shared" si="101"/>
        <v>0</v>
      </c>
      <c r="AX529" s="194"/>
      <c r="AY529" s="194"/>
      <c r="AZ529" s="194"/>
    </row>
    <row r="530" spans="1:52" s="111" customFormat="1" outlineLevel="1">
      <c r="A530" s="551" t="str">
        <f t="shared" si="91"/>
        <v>1</v>
      </c>
      <c r="B530" s="111" t="s">
        <v>433</v>
      </c>
      <c r="L530" s="412" t="s">
        <v>634</v>
      </c>
      <c r="M530" s="420" t="s">
        <v>635</v>
      </c>
      <c r="N530" s="414" t="s">
        <v>370</v>
      </c>
      <c r="O530" s="428">
        <f>SUMIFS(Налоги!O$15:O$29,Налоги!$A$15:$A$29,$A530,Налоги!$M$15:$M$29,$B530)</f>
        <v>0</v>
      </c>
      <c r="P530" s="428">
        <f>SUMIFS(Налоги!P$15:P$29,Налоги!$A$15:$A$29,$A530,Налоги!$M$15:$M$29,$B530)</f>
        <v>0</v>
      </c>
      <c r="Q530" s="428">
        <f>SUMIFS(Налоги!Q$15:Q$29,Налоги!$A$15:$A$29,$A530,Налоги!$M$15:$M$29,$B530)</f>
        <v>0</v>
      </c>
      <c r="R530" s="416">
        <f t="shared" si="104"/>
        <v>0</v>
      </c>
      <c r="S530" s="428">
        <f>SUMIFS(Налоги!R$15:R$29,Налоги!$A$15:$A$29,$A530,Налоги!$M$15:$M$29,$B530)</f>
        <v>0</v>
      </c>
      <c r="T530" s="428">
        <f>SUMIFS(Налоги!S$15:S$29,Налоги!$A$15:$A$29,$A530,Налоги!$M$15:$M$29,$B530)</f>
        <v>0</v>
      </c>
      <c r="U530" s="428">
        <f>SUMIFS(Налоги!T$15:T$29,Налоги!$A$15:$A$29,$A530,Налоги!$M$15:$M$29,$B530)</f>
        <v>0</v>
      </c>
      <c r="V530" s="428">
        <f>SUMIFS(Налоги!U$15:U$29,Налоги!$A$15:$A$29,$A530,Налоги!$M$15:$M$29,$B530)</f>
        <v>0</v>
      </c>
      <c r="W530" s="428">
        <f>SUMIFS(Налоги!V$15:V$29,Налоги!$A$15:$A$29,$A530,Налоги!$M$15:$M$29,$B530)</f>
        <v>0</v>
      </c>
      <c r="X530" s="428">
        <f>SUMIFS(Налоги!W$15:W$29,Налоги!$A$15:$A$29,$A530,Налоги!$M$15:$M$29,$B530)</f>
        <v>0</v>
      </c>
      <c r="Y530" s="428">
        <f>SUMIFS(Налоги!X$15:X$29,Налоги!$A$15:$A$29,$A530,Налоги!$M$15:$M$29,$B530)</f>
        <v>0</v>
      </c>
      <c r="Z530" s="428">
        <f>SUMIFS(Налоги!Y$15:Y$29,Налоги!$A$15:$A$29,$A530,Налоги!$M$15:$M$29,$B530)</f>
        <v>0</v>
      </c>
      <c r="AA530" s="428">
        <f>SUMIFS(Налоги!Z$15:Z$29,Налоги!$A$15:$A$29,$A530,Налоги!$M$15:$M$29,$B530)</f>
        <v>0</v>
      </c>
      <c r="AB530" s="428">
        <f>SUMIFS(Налоги!AA$15:AA$29,Налоги!$A$15:$A$29,$A530,Налоги!$M$15:$M$29,$B530)</f>
        <v>0</v>
      </c>
      <c r="AC530" s="428">
        <f>SUMIFS(Налоги!AB$15:AB$29,Налоги!$A$15:$A$29,$A530,Налоги!$M$15:$M$29,$B530)</f>
        <v>0</v>
      </c>
      <c r="AD530" s="428">
        <f>SUMIFS(Налоги!AC$15:AC$29,Налоги!$A$15:$A$29,$A530,Налоги!$M$15:$M$29,$B530)</f>
        <v>0</v>
      </c>
      <c r="AE530" s="428">
        <f>SUMIFS(Налоги!AD$15:AD$29,Налоги!$A$15:$A$29,$A530,Налоги!$M$15:$M$29,$B530)</f>
        <v>0</v>
      </c>
      <c r="AF530" s="428">
        <f>SUMIFS(Налоги!AE$15:AE$29,Налоги!$A$15:$A$29,$A530,Налоги!$M$15:$M$29,$B530)</f>
        <v>0</v>
      </c>
      <c r="AG530" s="428">
        <f>SUMIFS(Налоги!AF$15:AF$29,Налоги!$A$15:$A$29,$A530,Налоги!$M$15:$M$29,$B530)</f>
        <v>0</v>
      </c>
      <c r="AH530" s="428">
        <f>SUMIFS(Налоги!AG$15:AG$29,Налоги!$A$15:$A$29,$A530,Налоги!$M$15:$M$29,$B530)</f>
        <v>0</v>
      </c>
      <c r="AI530" s="428">
        <f>SUMIFS(Налоги!AH$15:AH$29,Налоги!$A$15:$A$29,$A530,Налоги!$M$15:$M$29,$B530)</f>
        <v>0</v>
      </c>
      <c r="AJ530" s="428">
        <f>SUMIFS(Налоги!AI$15:AI$29,Налоги!$A$15:$A$29,$A530,Налоги!$M$15:$M$29,$B530)</f>
        <v>0</v>
      </c>
      <c r="AK530" s="428">
        <f>SUMIFS(Налоги!AJ$15:AJ$29,Налоги!$A$15:$A$29,$A530,Налоги!$M$15:$M$29,$B530)</f>
        <v>0</v>
      </c>
      <c r="AL530" s="428">
        <f>SUMIFS(Налоги!AK$15:AK$29,Налоги!$A$15:$A$29,$A530,Налоги!$M$15:$M$29,$B530)</f>
        <v>0</v>
      </c>
      <c r="AM530" s="428">
        <f>SUMIFS(Налоги!AL$15:AL$29,Налоги!$A$15:$A$29,$A530,Налоги!$M$15:$M$29,$B530)</f>
        <v>0</v>
      </c>
      <c r="AN530" s="416">
        <f t="shared" si="92"/>
        <v>0</v>
      </c>
      <c r="AO530" s="416">
        <f t="shared" si="93"/>
        <v>0</v>
      </c>
      <c r="AP530" s="416">
        <f t="shared" si="94"/>
        <v>0</v>
      </c>
      <c r="AQ530" s="416">
        <f t="shared" si="95"/>
        <v>0</v>
      </c>
      <c r="AR530" s="416">
        <f t="shared" si="96"/>
        <v>0</v>
      </c>
      <c r="AS530" s="416">
        <f t="shared" si="97"/>
        <v>0</v>
      </c>
      <c r="AT530" s="416">
        <f t="shared" si="98"/>
        <v>0</v>
      </c>
      <c r="AU530" s="416">
        <f t="shared" si="99"/>
        <v>0</v>
      </c>
      <c r="AV530" s="416">
        <f t="shared" si="100"/>
        <v>0</v>
      </c>
      <c r="AW530" s="416">
        <f t="shared" si="101"/>
        <v>0</v>
      </c>
      <c r="AX530" s="194"/>
      <c r="AY530" s="194"/>
      <c r="AZ530" s="194"/>
    </row>
    <row r="531" spans="1:52" s="111" customFormat="1" outlineLevel="1">
      <c r="A531" s="551" t="str">
        <f t="shared" si="91"/>
        <v>1</v>
      </c>
      <c r="B531" s="111" t="s">
        <v>430</v>
      </c>
      <c r="L531" s="412" t="s">
        <v>636</v>
      </c>
      <c r="M531" s="420" t="s">
        <v>637</v>
      </c>
      <c r="N531" s="414" t="s">
        <v>370</v>
      </c>
      <c r="O531" s="428">
        <f>SUMIFS(Налоги!O$15:O$29,Налоги!$A$15:$A$29,$A531,Налоги!$M$15:$M$29,$B531)</f>
        <v>0</v>
      </c>
      <c r="P531" s="428">
        <f>SUMIFS(Налоги!P$15:P$29,Налоги!$A$15:$A$29,$A531,Налоги!$M$15:$M$29,$B531)</f>
        <v>0</v>
      </c>
      <c r="Q531" s="428">
        <f>SUMIFS(Налоги!Q$15:Q$29,Налоги!$A$15:$A$29,$A531,Налоги!$M$15:$M$29,$B531)</f>
        <v>0</v>
      </c>
      <c r="R531" s="416">
        <f t="shared" si="104"/>
        <v>0</v>
      </c>
      <c r="S531" s="428">
        <f>SUMIFS(Налоги!R$15:R$29,Налоги!$A$15:$A$29,$A531,Налоги!$M$15:$M$29,$B531)</f>
        <v>0</v>
      </c>
      <c r="T531" s="428">
        <f>SUMIFS(Налоги!S$15:S$29,Налоги!$A$15:$A$29,$A531,Налоги!$M$15:$M$29,$B531)</f>
        <v>0</v>
      </c>
      <c r="U531" s="428">
        <f>SUMIFS(Налоги!T$15:T$29,Налоги!$A$15:$A$29,$A531,Налоги!$M$15:$M$29,$B531)</f>
        <v>0</v>
      </c>
      <c r="V531" s="428">
        <f>SUMIFS(Налоги!U$15:U$29,Налоги!$A$15:$A$29,$A531,Налоги!$M$15:$M$29,$B531)</f>
        <v>0</v>
      </c>
      <c r="W531" s="428">
        <f>SUMIFS(Налоги!V$15:V$29,Налоги!$A$15:$A$29,$A531,Налоги!$M$15:$M$29,$B531)</f>
        <v>0</v>
      </c>
      <c r="X531" s="428">
        <f>SUMIFS(Налоги!W$15:W$29,Налоги!$A$15:$A$29,$A531,Налоги!$M$15:$M$29,$B531)</f>
        <v>0</v>
      </c>
      <c r="Y531" s="428">
        <f>SUMIFS(Налоги!X$15:X$29,Налоги!$A$15:$A$29,$A531,Налоги!$M$15:$M$29,$B531)</f>
        <v>0</v>
      </c>
      <c r="Z531" s="428">
        <f>SUMIFS(Налоги!Y$15:Y$29,Налоги!$A$15:$A$29,$A531,Налоги!$M$15:$M$29,$B531)</f>
        <v>0</v>
      </c>
      <c r="AA531" s="428">
        <f>SUMIFS(Налоги!Z$15:Z$29,Налоги!$A$15:$A$29,$A531,Налоги!$M$15:$M$29,$B531)</f>
        <v>0</v>
      </c>
      <c r="AB531" s="428">
        <f>SUMIFS(Налоги!AA$15:AA$29,Налоги!$A$15:$A$29,$A531,Налоги!$M$15:$M$29,$B531)</f>
        <v>0</v>
      </c>
      <c r="AC531" s="428">
        <f>SUMIFS(Налоги!AB$15:AB$29,Налоги!$A$15:$A$29,$A531,Налоги!$M$15:$M$29,$B531)</f>
        <v>0</v>
      </c>
      <c r="AD531" s="428">
        <f>SUMIFS(Налоги!AC$15:AC$29,Налоги!$A$15:$A$29,$A531,Налоги!$M$15:$M$29,$B531)</f>
        <v>0</v>
      </c>
      <c r="AE531" s="428">
        <f>SUMIFS(Налоги!AD$15:AD$29,Налоги!$A$15:$A$29,$A531,Налоги!$M$15:$M$29,$B531)</f>
        <v>0</v>
      </c>
      <c r="AF531" s="428">
        <f>SUMIFS(Налоги!AE$15:AE$29,Налоги!$A$15:$A$29,$A531,Налоги!$M$15:$M$29,$B531)</f>
        <v>0</v>
      </c>
      <c r="AG531" s="428">
        <f>SUMIFS(Налоги!AF$15:AF$29,Налоги!$A$15:$A$29,$A531,Налоги!$M$15:$M$29,$B531)</f>
        <v>0</v>
      </c>
      <c r="AH531" s="428">
        <f>SUMIFS(Налоги!AG$15:AG$29,Налоги!$A$15:$A$29,$A531,Налоги!$M$15:$M$29,$B531)</f>
        <v>0</v>
      </c>
      <c r="AI531" s="428">
        <f>SUMIFS(Налоги!AH$15:AH$29,Налоги!$A$15:$A$29,$A531,Налоги!$M$15:$M$29,$B531)</f>
        <v>0</v>
      </c>
      <c r="AJ531" s="428">
        <f>SUMIFS(Налоги!AI$15:AI$29,Налоги!$A$15:$A$29,$A531,Налоги!$M$15:$M$29,$B531)</f>
        <v>0</v>
      </c>
      <c r="AK531" s="428">
        <f>SUMIFS(Налоги!AJ$15:AJ$29,Налоги!$A$15:$A$29,$A531,Налоги!$M$15:$M$29,$B531)</f>
        <v>0</v>
      </c>
      <c r="AL531" s="428">
        <f>SUMIFS(Налоги!AK$15:AK$29,Налоги!$A$15:$A$29,$A531,Налоги!$M$15:$M$29,$B531)</f>
        <v>0</v>
      </c>
      <c r="AM531" s="428">
        <f>SUMIFS(Налоги!AL$15:AL$29,Налоги!$A$15:$A$29,$A531,Налоги!$M$15:$M$29,$B531)</f>
        <v>0</v>
      </c>
      <c r="AN531" s="416">
        <f t="shared" si="92"/>
        <v>0</v>
      </c>
      <c r="AO531" s="416">
        <f t="shared" si="93"/>
        <v>0</v>
      </c>
      <c r="AP531" s="416">
        <f t="shared" si="94"/>
        <v>0</v>
      </c>
      <c r="AQ531" s="416">
        <f t="shared" si="95"/>
        <v>0</v>
      </c>
      <c r="AR531" s="416">
        <f t="shared" si="96"/>
        <v>0</v>
      </c>
      <c r="AS531" s="416">
        <f t="shared" si="97"/>
        <v>0</v>
      </c>
      <c r="AT531" s="416">
        <f t="shared" si="98"/>
        <v>0</v>
      </c>
      <c r="AU531" s="416">
        <f t="shared" si="99"/>
        <v>0</v>
      </c>
      <c r="AV531" s="416">
        <f t="shared" si="100"/>
        <v>0</v>
      </c>
      <c r="AW531" s="416">
        <f t="shared" si="101"/>
        <v>0</v>
      </c>
      <c r="AX531" s="194"/>
      <c r="AY531" s="194"/>
      <c r="AZ531" s="194"/>
    </row>
    <row r="532" spans="1:52" s="111" customFormat="1" outlineLevel="1">
      <c r="A532" s="551" t="str">
        <f t="shared" si="91"/>
        <v>1</v>
      </c>
      <c r="B532" s="111" t="s">
        <v>1372</v>
      </c>
      <c r="L532" s="412" t="s">
        <v>638</v>
      </c>
      <c r="M532" s="420" t="s">
        <v>639</v>
      </c>
      <c r="N532" s="414" t="s">
        <v>370</v>
      </c>
      <c r="O532" s="415">
        <f>SUMIFS(Налоги!O$15:O$29,Налоги!$A$15:$A$29,$A532,Налоги!$M$15:$M$29,$B532)</f>
        <v>0</v>
      </c>
      <c r="P532" s="415">
        <f>SUMIFS(Налоги!P$15:P$29,Налоги!$A$15:$A$29,$A532,Налоги!$M$15:$M$29,$B532)</f>
        <v>3.1</v>
      </c>
      <c r="Q532" s="415">
        <f>SUMIFS(Налоги!Q$15:Q$29,Налоги!$A$15:$A$29,$A532,Налоги!$M$15:$M$29,$B532)</f>
        <v>3.1</v>
      </c>
      <c r="R532" s="416">
        <f t="shared" si="104"/>
        <v>0</v>
      </c>
      <c r="S532" s="415">
        <f>SUMIFS(Налоги!R$15:R$29,Налоги!$A$15:$A$29,$A532,Налоги!$M$15:$M$29,$B532)</f>
        <v>6.02</v>
      </c>
      <c r="T532" s="415">
        <f>SUMIFS(Налоги!S$15:S$29,Налоги!$A$15:$A$29,$A532,Налоги!$M$15:$M$29,$B532)</f>
        <v>3.61</v>
      </c>
      <c r="U532" s="415">
        <f>SUMIFS(Налоги!T$15:T$29,Налоги!$A$15:$A$29,$A532,Налоги!$M$15:$M$29,$B532)</f>
        <v>0</v>
      </c>
      <c r="V532" s="415">
        <f>SUMIFS(Налоги!U$15:U$29,Налоги!$A$15:$A$29,$A532,Налоги!$M$15:$M$29,$B532)</f>
        <v>0</v>
      </c>
      <c r="W532" s="415">
        <f>SUMIFS(Налоги!V$15:V$29,Налоги!$A$15:$A$29,$A532,Налоги!$M$15:$M$29,$B532)</f>
        <v>0</v>
      </c>
      <c r="X532" s="415">
        <f>SUMIFS(Налоги!W$15:W$29,Налоги!$A$15:$A$29,$A532,Налоги!$M$15:$M$29,$B532)</f>
        <v>0</v>
      </c>
      <c r="Y532" s="415">
        <f>SUMIFS(Налоги!X$15:X$29,Налоги!$A$15:$A$29,$A532,Налоги!$M$15:$M$29,$B532)</f>
        <v>0</v>
      </c>
      <c r="Z532" s="415">
        <f>SUMIFS(Налоги!Y$15:Y$29,Налоги!$A$15:$A$29,$A532,Налоги!$M$15:$M$29,$B532)</f>
        <v>0</v>
      </c>
      <c r="AA532" s="415">
        <f>SUMIFS(Налоги!Z$15:Z$29,Налоги!$A$15:$A$29,$A532,Налоги!$M$15:$M$29,$B532)</f>
        <v>0</v>
      </c>
      <c r="AB532" s="415">
        <f>SUMIFS(Налоги!AA$15:AA$29,Налоги!$A$15:$A$29,$A532,Налоги!$M$15:$M$29,$B532)</f>
        <v>0</v>
      </c>
      <c r="AC532" s="415">
        <f>SUMIFS(Налоги!AB$15:AB$29,Налоги!$A$15:$A$29,$A532,Налоги!$M$15:$M$29,$B532)</f>
        <v>0</v>
      </c>
      <c r="AD532" s="415">
        <f>SUMIFS(Налоги!AC$15:AC$29,Налоги!$A$15:$A$29,$A532,Налоги!$M$15:$M$29,$B532)</f>
        <v>3.61</v>
      </c>
      <c r="AE532" s="415">
        <f>SUMIFS(Налоги!AD$15:AD$29,Налоги!$A$15:$A$29,$A532,Налоги!$M$15:$M$29,$B532)</f>
        <v>0</v>
      </c>
      <c r="AF532" s="415">
        <f>SUMIFS(Налоги!AE$15:AE$29,Налоги!$A$15:$A$29,$A532,Налоги!$M$15:$M$29,$B532)</f>
        <v>0</v>
      </c>
      <c r="AG532" s="415">
        <f>SUMIFS(Налоги!AF$15:AF$29,Налоги!$A$15:$A$29,$A532,Налоги!$M$15:$M$29,$B532)</f>
        <v>0</v>
      </c>
      <c r="AH532" s="415">
        <f>SUMIFS(Налоги!AG$15:AG$29,Налоги!$A$15:$A$29,$A532,Налоги!$M$15:$M$29,$B532)</f>
        <v>0</v>
      </c>
      <c r="AI532" s="415">
        <f>SUMIFS(Налоги!AH$15:AH$29,Налоги!$A$15:$A$29,$A532,Налоги!$M$15:$M$29,$B532)</f>
        <v>0</v>
      </c>
      <c r="AJ532" s="415">
        <f>SUMIFS(Налоги!AI$15:AI$29,Налоги!$A$15:$A$29,$A532,Налоги!$M$15:$M$29,$B532)</f>
        <v>0</v>
      </c>
      <c r="AK532" s="415">
        <f>SUMIFS(Налоги!AJ$15:AJ$29,Налоги!$A$15:$A$29,$A532,Налоги!$M$15:$M$29,$B532)</f>
        <v>0</v>
      </c>
      <c r="AL532" s="415">
        <f>SUMIFS(Налоги!AK$15:AK$29,Налоги!$A$15:$A$29,$A532,Налоги!$M$15:$M$29,$B532)</f>
        <v>0</v>
      </c>
      <c r="AM532" s="415">
        <f>SUMIFS(Налоги!AL$15:AL$29,Налоги!$A$15:$A$29,$A532,Налоги!$M$15:$M$29,$B532)</f>
        <v>0</v>
      </c>
      <c r="AN532" s="416">
        <f t="shared" si="92"/>
        <v>-40.033222591362119</v>
      </c>
      <c r="AO532" s="416">
        <f t="shared" si="93"/>
        <v>-100</v>
      </c>
      <c r="AP532" s="416">
        <f t="shared" si="94"/>
        <v>0</v>
      </c>
      <c r="AQ532" s="416">
        <f t="shared" si="95"/>
        <v>0</v>
      </c>
      <c r="AR532" s="416">
        <f t="shared" si="96"/>
        <v>0</v>
      </c>
      <c r="AS532" s="416">
        <f t="shared" si="97"/>
        <v>0</v>
      </c>
      <c r="AT532" s="416">
        <f t="shared" si="98"/>
        <v>0</v>
      </c>
      <c r="AU532" s="416">
        <f t="shared" si="99"/>
        <v>0</v>
      </c>
      <c r="AV532" s="416">
        <f t="shared" si="100"/>
        <v>0</v>
      </c>
      <c r="AW532" s="416">
        <f t="shared" si="101"/>
        <v>0</v>
      </c>
      <c r="AX532" s="194"/>
      <c r="AY532" s="194"/>
      <c r="AZ532" s="194"/>
    </row>
    <row r="533" spans="1:52" s="111" customFormat="1" outlineLevel="1">
      <c r="A533" s="551" t="str">
        <f t="shared" si="91"/>
        <v>1</v>
      </c>
      <c r="B533" s="111" t="s">
        <v>1373</v>
      </c>
      <c r="L533" s="412" t="s">
        <v>640</v>
      </c>
      <c r="M533" s="420" t="s">
        <v>641</v>
      </c>
      <c r="N533" s="414" t="s">
        <v>370</v>
      </c>
      <c r="O533" s="428">
        <f>SUMIFS(Налоги!O$15:O$29,Налоги!$A$15:$A$29,$A533,Налоги!$M$15:$M$29,$B533)</f>
        <v>0</v>
      </c>
      <c r="P533" s="428">
        <f>SUMIFS(Налоги!P$15:P$29,Налоги!$A$15:$A$29,$A533,Налоги!$M$15:$M$29,$B533)</f>
        <v>0</v>
      </c>
      <c r="Q533" s="428">
        <f>SUMIFS(Налоги!Q$15:Q$29,Налоги!$A$15:$A$29,$A533,Налоги!$M$15:$M$29,$B533)</f>
        <v>0</v>
      </c>
      <c r="R533" s="416">
        <f>Q533-P533</f>
        <v>0</v>
      </c>
      <c r="S533" s="428">
        <f>SUMIFS(Налоги!R$15:R$29,Налоги!$A$15:$A$29,$A533,Налоги!$M$15:$M$29,$B533)</f>
        <v>0</v>
      </c>
      <c r="T533" s="428">
        <f>SUMIFS(Налоги!S$15:S$29,Налоги!$A$15:$A$29,$A533,Налоги!$M$15:$M$29,$B533)</f>
        <v>0</v>
      </c>
      <c r="U533" s="428">
        <f>SUMIFS(Налоги!T$15:T$29,Налоги!$A$15:$A$29,$A533,Налоги!$M$15:$M$29,$B533)</f>
        <v>0</v>
      </c>
      <c r="V533" s="428">
        <f>SUMIFS(Налоги!U$15:U$29,Налоги!$A$15:$A$29,$A533,Налоги!$M$15:$M$29,$B533)</f>
        <v>0</v>
      </c>
      <c r="W533" s="428">
        <f>SUMIFS(Налоги!V$15:V$29,Налоги!$A$15:$A$29,$A533,Налоги!$M$15:$M$29,$B533)</f>
        <v>0</v>
      </c>
      <c r="X533" s="428">
        <f>SUMIFS(Налоги!W$15:W$29,Налоги!$A$15:$A$29,$A533,Налоги!$M$15:$M$29,$B533)</f>
        <v>0</v>
      </c>
      <c r="Y533" s="428">
        <f>SUMIFS(Налоги!X$15:X$29,Налоги!$A$15:$A$29,$A533,Налоги!$M$15:$M$29,$B533)</f>
        <v>0</v>
      </c>
      <c r="Z533" s="428">
        <f>SUMIFS(Налоги!Y$15:Y$29,Налоги!$A$15:$A$29,$A533,Налоги!$M$15:$M$29,$B533)</f>
        <v>0</v>
      </c>
      <c r="AA533" s="428">
        <f>SUMIFS(Налоги!Z$15:Z$29,Налоги!$A$15:$A$29,$A533,Налоги!$M$15:$M$29,$B533)</f>
        <v>0</v>
      </c>
      <c r="AB533" s="428">
        <f>SUMIFS(Налоги!AA$15:AA$29,Налоги!$A$15:$A$29,$A533,Налоги!$M$15:$M$29,$B533)</f>
        <v>0</v>
      </c>
      <c r="AC533" s="428">
        <f>SUMIFS(Налоги!AB$15:AB$29,Налоги!$A$15:$A$29,$A533,Налоги!$M$15:$M$29,$B533)</f>
        <v>0</v>
      </c>
      <c r="AD533" s="428">
        <f>SUMIFS(Налоги!AC$15:AC$29,Налоги!$A$15:$A$29,$A533,Налоги!$M$15:$M$29,$B533)</f>
        <v>0</v>
      </c>
      <c r="AE533" s="428">
        <f>SUMIFS(Налоги!AD$15:AD$29,Налоги!$A$15:$A$29,$A533,Налоги!$M$15:$M$29,$B533)</f>
        <v>0</v>
      </c>
      <c r="AF533" s="428">
        <f>SUMIFS(Налоги!AE$15:AE$29,Налоги!$A$15:$A$29,$A533,Налоги!$M$15:$M$29,$B533)</f>
        <v>0</v>
      </c>
      <c r="AG533" s="428">
        <f>SUMIFS(Налоги!AF$15:AF$29,Налоги!$A$15:$A$29,$A533,Налоги!$M$15:$M$29,$B533)</f>
        <v>0</v>
      </c>
      <c r="AH533" s="428">
        <f>SUMIFS(Налоги!AG$15:AG$29,Налоги!$A$15:$A$29,$A533,Налоги!$M$15:$M$29,$B533)</f>
        <v>0</v>
      </c>
      <c r="AI533" s="428">
        <f>SUMIFS(Налоги!AH$15:AH$29,Налоги!$A$15:$A$29,$A533,Налоги!$M$15:$M$29,$B533)</f>
        <v>0</v>
      </c>
      <c r="AJ533" s="428">
        <f>SUMIFS(Налоги!AI$15:AI$29,Налоги!$A$15:$A$29,$A533,Налоги!$M$15:$M$29,$B533)</f>
        <v>0</v>
      </c>
      <c r="AK533" s="428">
        <f>SUMIFS(Налоги!AJ$15:AJ$29,Налоги!$A$15:$A$29,$A533,Налоги!$M$15:$M$29,$B533)</f>
        <v>0</v>
      </c>
      <c r="AL533" s="428">
        <f>SUMIFS(Налоги!AK$15:AK$29,Налоги!$A$15:$A$29,$A533,Налоги!$M$15:$M$29,$B533)</f>
        <v>0</v>
      </c>
      <c r="AM533" s="428">
        <f>SUMIFS(Налоги!AL$15:AL$29,Налоги!$A$15:$A$29,$A533,Налоги!$M$15:$M$29,$B533)</f>
        <v>0</v>
      </c>
      <c r="AN533" s="416">
        <f t="shared" si="92"/>
        <v>0</v>
      </c>
      <c r="AO533" s="416">
        <f t="shared" si="93"/>
        <v>0</v>
      </c>
      <c r="AP533" s="416">
        <f t="shared" si="94"/>
        <v>0</v>
      </c>
      <c r="AQ533" s="416">
        <f t="shared" si="95"/>
        <v>0</v>
      </c>
      <c r="AR533" s="416">
        <f t="shared" si="96"/>
        <v>0</v>
      </c>
      <c r="AS533" s="416">
        <f t="shared" si="97"/>
        <v>0</v>
      </c>
      <c r="AT533" s="416">
        <f t="shared" si="98"/>
        <v>0</v>
      </c>
      <c r="AU533" s="416">
        <f t="shared" si="99"/>
        <v>0</v>
      </c>
      <c r="AV533" s="416">
        <f t="shared" si="100"/>
        <v>0</v>
      </c>
      <c r="AW533" s="416">
        <f t="shared" si="101"/>
        <v>0</v>
      </c>
      <c r="AX533" s="194"/>
      <c r="AY533" s="194"/>
      <c r="AZ533" s="194"/>
    </row>
    <row r="534" spans="1:52" s="111" customFormat="1" outlineLevel="1">
      <c r="A534" s="551" t="str">
        <f>A533</f>
        <v>1</v>
      </c>
      <c r="B534" s="111" t="s">
        <v>434</v>
      </c>
      <c r="L534" s="412" t="s">
        <v>642</v>
      </c>
      <c r="M534" s="429" t="s">
        <v>1163</v>
      </c>
      <c r="N534" s="414" t="s">
        <v>370</v>
      </c>
      <c r="O534" s="428">
        <f>SUMIFS(Налоги!O$15:O$29,Налоги!$A$15:$A$29,$A534,Налоги!$M$15:$M$29,$B534)</f>
        <v>0</v>
      </c>
      <c r="P534" s="428">
        <f>SUMIFS(Налоги!P$15:P$29,Налоги!$A$15:$A$29,$A534,Налоги!$M$15:$M$29,$B534)</f>
        <v>648.66</v>
      </c>
      <c r="Q534" s="428">
        <f>SUMIFS(Налоги!Q$15:Q$29,Налоги!$A$15:$A$29,$A534,Налоги!$M$15:$M$29,$B534)</f>
        <v>0.16</v>
      </c>
      <c r="R534" s="416">
        <f t="shared" si="104"/>
        <v>-648.5</v>
      </c>
      <c r="S534" s="428">
        <f>SUMIFS(Налоги!R$15:R$29,Налоги!$A$15:$A$29,$A534,Налоги!$M$15:$M$29,$B534)</f>
        <v>493.44</v>
      </c>
      <c r="T534" s="428">
        <f>SUMIFS(Налоги!S$15:S$29,Налоги!$A$15:$A$29,$A534,Налоги!$M$15:$M$29,$B534)</f>
        <v>223.46</v>
      </c>
      <c r="U534" s="428">
        <f>SUMIFS(Налоги!T$15:T$29,Налоги!$A$15:$A$29,$A534,Налоги!$M$15:$M$29,$B534)</f>
        <v>0</v>
      </c>
      <c r="V534" s="428">
        <f>SUMIFS(Налоги!U$15:U$29,Налоги!$A$15:$A$29,$A534,Налоги!$M$15:$M$29,$B534)</f>
        <v>0</v>
      </c>
      <c r="W534" s="428">
        <f>SUMIFS(Налоги!V$15:V$29,Налоги!$A$15:$A$29,$A534,Налоги!$M$15:$M$29,$B534)</f>
        <v>0</v>
      </c>
      <c r="X534" s="428">
        <f>SUMIFS(Налоги!W$15:W$29,Налоги!$A$15:$A$29,$A534,Налоги!$M$15:$M$29,$B534)</f>
        <v>0</v>
      </c>
      <c r="Y534" s="428">
        <f>SUMIFS(Налоги!X$15:X$29,Налоги!$A$15:$A$29,$A534,Налоги!$M$15:$M$29,$B534)</f>
        <v>0</v>
      </c>
      <c r="Z534" s="428">
        <f>SUMIFS(Налоги!Y$15:Y$29,Налоги!$A$15:$A$29,$A534,Налоги!$M$15:$M$29,$B534)</f>
        <v>0</v>
      </c>
      <c r="AA534" s="428">
        <f>SUMIFS(Налоги!Z$15:Z$29,Налоги!$A$15:$A$29,$A534,Налоги!$M$15:$M$29,$B534)</f>
        <v>0</v>
      </c>
      <c r="AB534" s="428">
        <f>SUMIFS(Налоги!AA$15:AA$29,Налоги!$A$15:$A$29,$A534,Налоги!$M$15:$M$29,$B534)</f>
        <v>0</v>
      </c>
      <c r="AC534" s="428">
        <f>SUMIFS(Налоги!AB$15:AB$29,Налоги!$A$15:$A$29,$A534,Налоги!$M$15:$M$29,$B534)</f>
        <v>0</v>
      </c>
      <c r="AD534" s="428">
        <f>SUMIFS(Налоги!AC$15:AC$29,Налоги!$A$15:$A$29,$A534,Налоги!$M$15:$M$29,$B534)</f>
        <v>208.26000000000002</v>
      </c>
      <c r="AE534" s="428">
        <f>SUMIFS(Налоги!AD$15:AD$29,Налоги!$A$15:$A$29,$A534,Налоги!$M$15:$M$29,$B534)</f>
        <v>0</v>
      </c>
      <c r="AF534" s="428">
        <f>SUMIFS(Налоги!AE$15:AE$29,Налоги!$A$15:$A$29,$A534,Налоги!$M$15:$M$29,$B534)</f>
        <v>0</v>
      </c>
      <c r="AG534" s="428">
        <f>SUMIFS(Налоги!AF$15:AF$29,Налоги!$A$15:$A$29,$A534,Налоги!$M$15:$M$29,$B534)</f>
        <v>0</v>
      </c>
      <c r="AH534" s="428">
        <f>SUMIFS(Налоги!AG$15:AG$29,Налоги!$A$15:$A$29,$A534,Налоги!$M$15:$M$29,$B534)</f>
        <v>0</v>
      </c>
      <c r="AI534" s="428">
        <f>SUMIFS(Налоги!AH$15:AH$29,Налоги!$A$15:$A$29,$A534,Налоги!$M$15:$M$29,$B534)</f>
        <v>0</v>
      </c>
      <c r="AJ534" s="428">
        <f>SUMIFS(Налоги!AI$15:AI$29,Налоги!$A$15:$A$29,$A534,Налоги!$M$15:$M$29,$B534)</f>
        <v>0</v>
      </c>
      <c r="AK534" s="428">
        <f>SUMIFS(Налоги!AJ$15:AJ$29,Налоги!$A$15:$A$29,$A534,Налоги!$M$15:$M$29,$B534)</f>
        <v>0</v>
      </c>
      <c r="AL534" s="428">
        <f>SUMIFS(Налоги!AK$15:AK$29,Налоги!$A$15:$A$29,$A534,Налоги!$M$15:$M$29,$B534)</f>
        <v>0</v>
      </c>
      <c r="AM534" s="428">
        <f>SUMIFS(Налоги!AL$15:AL$29,Налоги!$A$15:$A$29,$A534,Налоги!$M$15:$M$29,$B534)</f>
        <v>0</v>
      </c>
      <c r="AN534" s="416">
        <f t="shared" si="92"/>
        <v>-57.794260700389103</v>
      </c>
      <c r="AO534" s="416">
        <f t="shared" si="93"/>
        <v>-100</v>
      </c>
      <c r="AP534" s="416">
        <f t="shared" si="94"/>
        <v>0</v>
      </c>
      <c r="AQ534" s="416">
        <f t="shared" si="95"/>
        <v>0</v>
      </c>
      <c r="AR534" s="416">
        <f t="shared" si="96"/>
        <v>0</v>
      </c>
      <c r="AS534" s="416">
        <f t="shared" si="97"/>
        <v>0</v>
      </c>
      <c r="AT534" s="416">
        <f t="shared" si="98"/>
        <v>0</v>
      </c>
      <c r="AU534" s="416">
        <f t="shared" si="99"/>
        <v>0</v>
      </c>
      <c r="AV534" s="416">
        <f t="shared" si="100"/>
        <v>0</v>
      </c>
      <c r="AW534" s="416">
        <f t="shared" si="101"/>
        <v>0</v>
      </c>
      <c r="AX534" s="194"/>
      <c r="AY534" s="194"/>
      <c r="AZ534" s="194"/>
    </row>
    <row r="535" spans="1:52" s="111" customFormat="1" ht="78.75" outlineLevel="1">
      <c r="A535" s="551" t="str">
        <f t="shared" ref="A535:A584" si="105">A534</f>
        <v>1</v>
      </c>
      <c r="B535" s="111" t="s">
        <v>1396</v>
      </c>
      <c r="L535" s="412" t="s">
        <v>169</v>
      </c>
      <c r="M535" s="430" t="s">
        <v>485</v>
      </c>
      <c r="N535" s="414" t="s">
        <v>370</v>
      </c>
      <c r="O535" s="431"/>
      <c r="P535" s="431"/>
      <c r="Q535" s="431"/>
      <c r="R535" s="416">
        <f t="shared" ref="R535:R578" si="106">Q535-P535</f>
        <v>0</v>
      </c>
      <c r="S535" s="431"/>
      <c r="T535" s="431"/>
      <c r="U535" s="431"/>
      <c r="V535" s="431"/>
      <c r="W535" s="431"/>
      <c r="X535" s="431"/>
      <c r="Y535" s="431"/>
      <c r="Z535" s="431"/>
      <c r="AA535" s="431"/>
      <c r="AB535" s="431"/>
      <c r="AC535" s="431"/>
      <c r="AD535" s="431"/>
      <c r="AE535" s="431"/>
      <c r="AF535" s="431"/>
      <c r="AG535" s="431"/>
      <c r="AH535" s="431"/>
      <c r="AI535" s="431"/>
      <c r="AJ535" s="431"/>
      <c r="AK535" s="431"/>
      <c r="AL535" s="431"/>
      <c r="AM535" s="431"/>
      <c r="AN535" s="416">
        <f t="shared" si="92"/>
        <v>0</v>
      </c>
      <c r="AO535" s="416">
        <f t="shared" si="93"/>
        <v>0</v>
      </c>
      <c r="AP535" s="416">
        <f t="shared" si="94"/>
        <v>0</v>
      </c>
      <c r="AQ535" s="416">
        <f t="shared" si="95"/>
        <v>0</v>
      </c>
      <c r="AR535" s="416">
        <f t="shared" si="96"/>
        <v>0</v>
      </c>
      <c r="AS535" s="416">
        <f t="shared" si="97"/>
        <v>0</v>
      </c>
      <c r="AT535" s="416">
        <f t="shared" si="98"/>
        <v>0</v>
      </c>
      <c r="AU535" s="416">
        <f t="shared" si="99"/>
        <v>0</v>
      </c>
      <c r="AV535" s="416">
        <f t="shared" si="100"/>
        <v>0</v>
      </c>
      <c r="AW535" s="416">
        <f t="shared" si="101"/>
        <v>0</v>
      </c>
      <c r="AX535" s="194"/>
      <c r="AY535" s="194"/>
      <c r="AZ535" s="194"/>
    </row>
    <row r="536" spans="1:52" s="111" customFormat="1" outlineLevel="1">
      <c r="A536" s="551" t="str">
        <f t="shared" si="105"/>
        <v>1</v>
      </c>
      <c r="B536" s="111" t="s">
        <v>643</v>
      </c>
      <c r="L536" s="412" t="s">
        <v>385</v>
      </c>
      <c r="M536" s="413" t="s">
        <v>643</v>
      </c>
      <c r="N536" s="414" t="s">
        <v>370</v>
      </c>
      <c r="O536" s="428">
        <f>SUMIFS(Аренда!O$15:O$24,Аренда!$A$15:$A$24,$A536,Аренда!$M$15:$M$24,"Арендная и концессионная плата. Лизинговые платежи")</f>
        <v>0</v>
      </c>
      <c r="P536" s="428">
        <f>SUMIFS(Аренда!P$15:P$24,Аренда!$A$15:$A$24,$A536,Аренда!$M$15:$M$24,"Арендная и концессионная плата. Лизинговые платежи")</f>
        <v>0</v>
      </c>
      <c r="Q536" s="428">
        <f>SUMIFS(Аренда!Q$15:Q$24,Аренда!$A$15:$A$24,$A536,Аренда!$M$15:$M$24,"Арендная и концессионная плата. Лизинговые платежи")</f>
        <v>0</v>
      </c>
      <c r="R536" s="416">
        <f t="shared" si="106"/>
        <v>0</v>
      </c>
      <c r="S536" s="428">
        <f>SUMIFS(Аренда!R$15:R$24,Аренда!$A$15:$A$24,$A536,Аренда!$M$15:$M$24,"Арендная и концессионная плата. Лизинговые платежи")</f>
        <v>0</v>
      </c>
      <c r="T536" s="428">
        <f>SUMIFS(Аренда!S$15:S$24,Аренда!$A$15:$A$24,$A536,Аренда!$M$15:$M$24,"Арендная и концессионная плата. Лизинговые платежи")</f>
        <v>0</v>
      </c>
      <c r="U536" s="428">
        <f>SUMIFS(Аренда!T$15:T$24,Аренда!$A$15:$A$24,$A536,Аренда!$M$15:$M$24,"Арендная и концессионная плата. Лизинговые платежи")</f>
        <v>0</v>
      </c>
      <c r="V536" s="428">
        <f>SUMIFS(Аренда!U$15:U$24,Аренда!$A$15:$A$24,$A536,Аренда!$M$15:$M$24,"Арендная и концессионная плата. Лизинговые платежи")</f>
        <v>0</v>
      </c>
      <c r="W536" s="428">
        <f>SUMIFS(Аренда!V$15:V$24,Аренда!$A$15:$A$24,$A536,Аренда!$M$15:$M$24,"Арендная и концессионная плата. Лизинговые платежи")</f>
        <v>0</v>
      </c>
      <c r="X536" s="428">
        <f>SUMIFS(Аренда!W$15:W$24,Аренда!$A$15:$A$24,$A536,Аренда!$M$15:$M$24,"Арендная и концессионная плата. Лизинговые платежи")</f>
        <v>0</v>
      </c>
      <c r="Y536" s="428">
        <f>SUMIFS(Аренда!X$15:X$24,Аренда!$A$15:$A$24,$A536,Аренда!$M$15:$M$24,"Арендная и концессионная плата. Лизинговые платежи")</f>
        <v>0</v>
      </c>
      <c r="Z536" s="428">
        <f>SUMIFS(Аренда!Y$15:Y$24,Аренда!$A$15:$A$24,$A536,Аренда!$M$15:$M$24,"Арендная и концессионная плата. Лизинговые платежи")</f>
        <v>0</v>
      </c>
      <c r="AA536" s="428">
        <f>SUMIFS(Аренда!Z$15:Z$24,Аренда!$A$15:$A$24,$A536,Аренда!$M$15:$M$24,"Арендная и концессионная плата. Лизинговые платежи")</f>
        <v>0</v>
      </c>
      <c r="AB536" s="428">
        <f>SUMIFS(Аренда!AA$15:AA$24,Аренда!$A$15:$A$24,$A536,Аренда!$M$15:$M$24,"Арендная и концессионная плата. Лизинговые платежи")</f>
        <v>0</v>
      </c>
      <c r="AC536" s="428">
        <f>SUMIFS(Аренда!AB$15:AB$24,Аренда!$A$15:$A$24,$A536,Аренда!$M$15:$M$24,"Арендная и концессионная плата. Лизинговые платежи")</f>
        <v>0</v>
      </c>
      <c r="AD536" s="428">
        <f>SUMIFS(Аренда!AC$15:AC$24,Аренда!$A$15:$A$24,$A536,Аренда!$M$15:$M$24,"Арендная и концессионная плата. Лизинговые платежи")</f>
        <v>0</v>
      </c>
      <c r="AE536" s="428">
        <f>SUMIFS(Аренда!AD$15:AD$24,Аренда!$A$15:$A$24,$A536,Аренда!$M$15:$M$24,"Арендная и концессионная плата. Лизинговые платежи")</f>
        <v>0</v>
      </c>
      <c r="AF536" s="428">
        <f>SUMIFS(Аренда!AE$15:AE$24,Аренда!$A$15:$A$24,$A536,Аренда!$M$15:$M$24,"Арендная и концессионная плата. Лизинговые платежи")</f>
        <v>0</v>
      </c>
      <c r="AG536" s="428">
        <f>SUMIFS(Аренда!AF$15:AF$24,Аренда!$A$15:$A$24,$A536,Аренда!$M$15:$M$24,"Арендная и концессионная плата. Лизинговые платежи")</f>
        <v>0</v>
      </c>
      <c r="AH536" s="428">
        <f>SUMIFS(Аренда!AG$15:AG$24,Аренда!$A$15:$A$24,$A536,Аренда!$M$15:$M$24,"Арендная и концессионная плата. Лизинговые платежи")</f>
        <v>0</v>
      </c>
      <c r="AI536" s="428">
        <f>SUMIFS(Аренда!AH$15:AH$24,Аренда!$A$15:$A$24,$A536,Аренда!$M$15:$M$24,"Арендная и концессионная плата. Лизинговые платежи")</f>
        <v>0</v>
      </c>
      <c r="AJ536" s="428">
        <f>SUMIFS(Аренда!AI$15:AI$24,Аренда!$A$15:$A$24,$A536,Аренда!$M$15:$M$24,"Арендная и концессионная плата. Лизинговые платежи")</f>
        <v>0</v>
      </c>
      <c r="AK536" s="428">
        <f>SUMIFS(Аренда!AJ$15:AJ$24,Аренда!$A$15:$A$24,$A536,Аренда!$M$15:$M$24,"Арендная и концессионная плата. Лизинговые платежи")</f>
        <v>0</v>
      </c>
      <c r="AL536" s="428">
        <f>SUMIFS(Аренда!AK$15:AK$24,Аренда!$A$15:$A$24,$A536,Аренда!$M$15:$M$24,"Арендная и концессионная плата. Лизинговые платежи")</f>
        <v>0</v>
      </c>
      <c r="AM536" s="428">
        <f>SUMIFS(Аренда!AL$15:AL$24,Аренда!$A$15:$A$24,$A536,Аренда!$M$15:$M$24,"Арендная и концессионная плата. Лизинговые платежи")</f>
        <v>0</v>
      </c>
      <c r="AN536" s="416">
        <f t="shared" si="92"/>
        <v>0</v>
      </c>
      <c r="AO536" s="416">
        <f t="shared" si="93"/>
        <v>0</v>
      </c>
      <c r="AP536" s="416">
        <f t="shared" si="94"/>
        <v>0</v>
      </c>
      <c r="AQ536" s="416">
        <f t="shared" si="95"/>
        <v>0</v>
      </c>
      <c r="AR536" s="416">
        <f t="shared" si="96"/>
        <v>0</v>
      </c>
      <c r="AS536" s="416">
        <f t="shared" si="97"/>
        <v>0</v>
      </c>
      <c r="AT536" s="416">
        <f t="shared" si="98"/>
        <v>0</v>
      </c>
      <c r="AU536" s="416">
        <f t="shared" si="99"/>
        <v>0</v>
      </c>
      <c r="AV536" s="416">
        <f t="shared" si="100"/>
        <v>0</v>
      </c>
      <c r="AW536" s="416">
        <f t="shared" si="101"/>
        <v>0</v>
      </c>
      <c r="AX536" s="194"/>
      <c r="AY536" s="194"/>
      <c r="AZ536" s="194"/>
    </row>
    <row r="537" spans="1:52" s="111" customFormat="1" outlineLevel="1">
      <c r="A537" s="551" t="str">
        <f t="shared" si="105"/>
        <v>1</v>
      </c>
      <c r="L537" s="412" t="s">
        <v>511</v>
      </c>
      <c r="M537" s="413" t="s">
        <v>644</v>
      </c>
      <c r="N537" s="414" t="s">
        <v>370</v>
      </c>
      <c r="O537" s="415"/>
      <c r="P537" s="415"/>
      <c r="Q537" s="415"/>
      <c r="R537" s="416">
        <f>Q537-P537</f>
        <v>0</v>
      </c>
      <c r="S537" s="415"/>
      <c r="T537" s="415"/>
      <c r="U537" s="415"/>
      <c r="V537" s="415"/>
      <c r="W537" s="415"/>
      <c r="X537" s="415"/>
      <c r="Y537" s="415"/>
      <c r="Z537" s="415"/>
      <c r="AA537" s="415"/>
      <c r="AB537" s="415"/>
      <c r="AC537" s="415"/>
      <c r="AD537" s="415"/>
      <c r="AE537" s="415"/>
      <c r="AF537" s="415"/>
      <c r="AG537" s="415"/>
      <c r="AH537" s="415"/>
      <c r="AI537" s="415"/>
      <c r="AJ537" s="415"/>
      <c r="AK537" s="415"/>
      <c r="AL537" s="415"/>
      <c r="AM537" s="415"/>
      <c r="AN537" s="416">
        <f t="shared" si="92"/>
        <v>0</v>
      </c>
      <c r="AO537" s="416">
        <f t="shared" si="93"/>
        <v>0</v>
      </c>
      <c r="AP537" s="416">
        <f t="shared" si="94"/>
        <v>0</v>
      </c>
      <c r="AQ537" s="416">
        <f t="shared" si="95"/>
        <v>0</v>
      </c>
      <c r="AR537" s="416">
        <f t="shared" si="96"/>
        <v>0</v>
      </c>
      <c r="AS537" s="416">
        <f t="shared" si="97"/>
        <v>0</v>
      </c>
      <c r="AT537" s="416">
        <f t="shared" si="98"/>
        <v>0</v>
      </c>
      <c r="AU537" s="416">
        <f t="shared" si="99"/>
        <v>0</v>
      </c>
      <c r="AV537" s="416">
        <f t="shared" si="100"/>
        <v>0</v>
      </c>
      <c r="AW537" s="416">
        <f t="shared" si="101"/>
        <v>0</v>
      </c>
      <c r="AX537" s="194"/>
      <c r="AY537" s="194"/>
      <c r="AZ537" s="194"/>
    </row>
    <row r="538" spans="1:52" s="111" customFormat="1" outlineLevel="1">
      <c r="A538" s="551" t="str">
        <f t="shared" si="105"/>
        <v>1</v>
      </c>
      <c r="B538" s="111" t="s">
        <v>646</v>
      </c>
      <c r="L538" s="412" t="s">
        <v>645</v>
      </c>
      <c r="M538" s="420" t="s">
        <v>646</v>
      </c>
      <c r="N538" s="414" t="s">
        <v>370</v>
      </c>
      <c r="O538" s="415"/>
      <c r="P538" s="415"/>
      <c r="Q538" s="415"/>
      <c r="R538" s="416">
        <f t="shared" si="106"/>
        <v>0</v>
      </c>
      <c r="S538" s="415"/>
      <c r="T538" s="415"/>
      <c r="U538" s="415"/>
      <c r="V538" s="415"/>
      <c r="W538" s="415"/>
      <c r="X538" s="415"/>
      <c r="Y538" s="415"/>
      <c r="Z538" s="415"/>
      <c r="AA538" s="415"/>
      <c r="AB538" s="415"/>
      <c r="AC538" s="415"/>
      <c r="AD538" s="415"/>
      <c r="AE538" s="415"/>
      <c r="AF538" s="415"/>
      <c r="AG538" s="415"/>
      <c r="AH538" s="415"/>
      <c r="AI538" s="415"/>
      <c r="AJ538" s="415"/>
      <c r="AK538" s="415"/>
      <c r="AL538" s="415"/>
      <c r="AM538" s="415"/>
      <c r="AN538" s="416">
        <f t="shared" si="92"/>
        <v>0</v>
      </c>
      <c r="AO538" s="416">
        <f t="shared" si="93"/>
        <v>0</v>
      </c>
      <c r="AP538" s="416">
        <f t="shared" si="94"/>
        <v>0</v>
      </c>
      <c r="AQ538" s="416">
        <f t="shared" si="95"/>
        <v>0</v>
      </c>
      <c r="AR538" s="416">
        <f t="shared" si="96"/>
        <v>0</v>
      </c>
      <c r="AS538" s="416">
        <f t="shared" si="97"/>
        <v>0</v>
      </c>
      <c r="AT538" s="416">
        <f t="shared" si="98"/>
        <v>0</v>
      </c>
      <c r="AU538" s="416">
        <f t="shared" si="99"/>
        <v>0</v>
      </c>
      <c r="AV538" s="416">
        <f t="shared" si="100"/>
        <v>0</v>
      </c>
      <c r="AW538" s="416">
        <f t="shared" si="101"/>
        <v>0</v>
      </c>
      <c r="AX538" s="194"/>
      <c r="AY538" s="194"/>
      <c r="AZ538" s="194"/>
    </row>
    <row r="539" spans="1:52" s="111" customFormat="1" outlineLevel="1">
      <c r="A539" s="551" t="str">
        <f t="shared" si="105"/>
        <v>1</v>
      </c>
      <c r="B539" s="111" t="s">
        <v>647</v>
      </c>
      <c r="L539" s="412" t="s">
        <v>513</v>
      </c>
      <c r="M539" s="413" t="s">
        <v>647</v>
      </c>
      <c r="N539" s="414" t="s">
        <v>370</v>
      </c>
      <c r="O539" s="415"/>
      <c r="P539" s="415"/>
      <c r="Q539" s="415"/>
      <c r="R539" s="416">
        <f t="shared" si="106"/>
        <v>0</v>
      </c>
      <c r="S539" s="415"/>
      <c r="T539" s="415">
        <f>SUMIFS(Экономия_корр!O$15:O$24,Экономия_корр!$A$15:$A$24,$A539,Экономия_корр!$M$15:$M$24,"Экономия расходов с учетом ИПЦ")</f>
        <v>0</v>
      </c>
      <c r="U539" s="415">
        <f>SUMIFS(Экономия_корр!P$15:P$24,Экономия_корр!$A$15:$A$24,$A539,Экономия_корр!$M$15:$M$24,"Экономия расходов с учетом ИПЦ")</f>
        <v>0</v>
      </c>
      <c r="V539" s="415">
        <f>SUMIFS(Экономия_корр!Q$15:Q$24,Экономия_корр!$A$15:$A$24,$A539,Экономия_корр!$M$15:$M$24,"Экономия расходов с учетом ИПЦ")</f>
        <v>0</v>
      </c>
      <c r="W539" s="415">
        <f>SUMIFS(Экономия_корр!R$15:R$24,Экономия_корр!$A$15:$A$24,$A539,Экономия_корр!$M$15:$M$24,"Экономия расходов с учетом ИПЦ")</f>
        <v>0</v>
      </c>
      <c r="X539" s="415">
        <f>SUMIFS(Экономия_корр!S$15:S$24,Экономия_корр!$A$15:$A$24,$A539,Экономия_корр!$M$15:$M$24,"Экономия расходов с учетом ИПЦ")</f>
        <v>0</v>
      </c>
      <c r="Y539" s="415">
        <f>SUMIFS(Экономия_корр!T$15:T$24,Экономия_корр!$A$15:$A$24,$A539,Экономия_корр!$M$15:$M$24,"Экономия расходов с учетом ИПЦ")</f>
        <v>0</v>
      </c>
      <c r="Z539" s="415">
        <f>SUMIFS(Экономия_корр!U$15:U$24,Экономия_корр!$A$15:$A$24,$A539,Экономия_корр!$M$15:$M$24,"Экономия расходов с учетом ИПЦ")</f>
        <v>0</v>
      </c>
      <c r="AA539" s="415">
        <f>SUMIFS(Экономия_корр!V$15:V$24,Экономия_корр!$A$15:$A$24,$A539,Экономия_корр!$M$15:$M$24,"Экономия расходов с учетом ИПЦ")</f>
        <v>0</v>
      </c>
      <c r="AB539" s="415">
        <f>SUMIFS(Экономия_корр!W$15:W$24,Экономия_корр!$A$15:$A$24,$A539,Экономия_корр!$M$15:$M$24,"Экономия расходов с учетом ИПЦ")</f>
        <v>0</v>
      </c>
      <c r="AC539" s="415">
        <f>SUMIFS(Экономия_корр!X$15:X$24,Экономия_корр!$A$15:$A$24,$A539,Экономия_корр!$M$15:$M$24,"Экономия расходов с учетом ИПЦ")</f>
        <v>0</v>
      </c>
      <c r="AD539" s="415">
        <f>SUMIFS(Экономия_корр!Y$15:Y$24,Экономия_корр!$A$15:$A$24,$A539,Экономия_корр!$M$15:$M$24,"Экономия расходов с учетом ИПЦ")</f>
        <v>0</v>
      </c>
      <c r="AE539" s="415">
        <f>SUMIFS(Экономия_корр!Z$15:Z$24,Экономия_корр!$A$15:$A$24,$A539,Экономия_корр!$M$15:$M$24,"Экономия расходов с учетом ИПЦ")</f>
        <v>0</v>
      </c>
      <c r="AF539" s="415">
        <f>SUMIFS(Экономия_корр!AA$15:AA$24,Экономия_корр!$A$15:$A$24,$A539,Экономия_корр!$M$15:$M$24,"Экономия расходов с учетом ИПЦ")</f>
        <v>0</v>
      </c>
      <c r="AG539" s="415">
        <f>SUMIFS(Экономия_корр!AB$15:AB$24,Экономия_корр!$A$15:$A$24,$A539,Экономия_корр!$M$15:$M$24,"Экономия расходов с учетом ИПЦ")</f>
        <v>0</v>
      </c>
      <c r="AH539" s="415">
        <f>SUMIFS(Экономия_корр!AC$15:AC$24,Экономия_корр!$A$15:$A$24,$A539,Экономия_корр!$M$15:$M$24,"Экономия расходов с учетом ИПЦ")</f>
        <v>0</v>
      </c>
      <c r="AI539" s="415">
        <f>SUMIFS(Экономия_корр!AD$15:AD$24,Экономия_корр!$A$15:$A$24,$A539,Экономия_корр!$M$15:$M$24,"Экономия расходов с учетом ИПЦ")</f>
        <v>0</v>
      </c>
      <c r="AJ539" s="415">
        <f>SUMIFS(Экономия_корр!AE$15:AE$24,Экономия_корр!$A$15:$A$24,$A539,Экономия_корр!$M$15:$M$24,"Экономия расходов с учетом ИПЦ")</f>
        <v>0</v>
      </c>
      <c r="AK539" s="415">
        <f>SUMIFS(Экономия_корр!AF$15:AF$24,Экономия_корр!$A$15:$A$24,$A539,Экономия_корр!$M$15:$M$24,"Экономия расходов с учетом ИПЦ")</f>
        <v>0</v>
      </c>
      <c r="AL539" s="415">
        <f>SUMIFS(Экономия_корр!AG$15:AG$24,Экономия_корр!$A$15:$A$24,$A539,Экономия_корр!$M$15:$M$24,"Экономия расходов с учетом ИПЦ")</f>
        <v>0</v>
      </c>
      <c r="AM539" s="415">
        <f>SUMIFS(Экономия_корр!AH$15:AH$24,Экономия_корр!$A$15:$A$24,$A539,Экономия_корр!$M$15:$M$24,"Экономия расходов с учетом ИПЦ")</f>
        <v>0</v>
      </c>
      <c r="AN539" s="416">
        <f t="shared" si="92"/>
        <v>0</v>
      </c>
      <c r="AO539" s="416">
        <f t="shared" si="93"/>
        <v>0</v>
      </c>
      <c r="AP539" s="416">
        <f t="shared" si="94"/>
        <v>0</v>
      </c>
      <c r="AQ539" s="416">
        <f t="shared" si="95"/>
        <v>0</v>
      </c>
      <c r="AR539" s="416">
        <f t="shared" si="96"/>
        <v>0</v>
      </c>
      <c r="AS539" s="416">
        <f t="shared" si="97"/>
        <v>0</v>
      </c>
      <c r="AT539" s="416">
        <f t="shared" si="98"/>
        <v>0</v>
      </c>
      <c r="AU539" s="416">
        <f t="shared" si="99"/>
        <v>0</v>
      </c>
      <c r="AV539" s="416">
        <f t="shared" si="100"/>
        <v>0</v>
      </c>
      <c r="AW539" s="416">
        <f t="shared" si="101"/>
        <v>0</v>
      </c>
      <c r="AX539" s="194"/>
      <c r="AY539" s="194"/>
      <c r="AZ539" s="194"/>
    </row>
    <row r="540" spans="1:52" s="111" customFormat="1" outlineLevel="1">
      <c r="A540" s="551" t="str">
        <f t="shared" si="105"/>
        <v>1</v>
      </c>
      <c r="B540" s="111" t="s">
        <v>648</v>
      </c>
      <c r="L540" s="412" t="s">
        <v>516</v>
      </c>
      <c r="M540" s="413" t="s">
        <v>648</v>
      </c>
      <c r="N540" s="414" t="s">
        <v>370</v>
      </c>
      <c r="O540" s="415"/>
      <c r="P540" s="415"/>
      <c r="Q540" s="415"/>
      <c r="R540" s="416">
        <f t="shared" si="106"/>
        <v>0</v>
      </c>
      <c r="S540" s="415"/>
      <c r="T540" s="415"/>
      <c r="U540" s="415"/>
      <c r="V540" s="415"/>
      <c r="W540" s="415"/>
      <c r="X540" s="415"/>
      <c r="Y540" s="415"/>
      <c r="Z540" s="415"/>
      <c r="AA540" s="415"/>
      <c r="AB540" s="415"/>
      <c r="AC540" s="415"/>
      <c r="AD540" s="415"/>
      <c r="AE540" s="415"/>
      <c r="AF540" s="415"/>
      <c r="AG540" s="415"/>
      <c r="AH540" s="415"/>
      <c r="AI540" s="415"/>
      <c r="AJ540" s="415"/>
      <c r="AK540" s="415"/>
      <c r="AL540" s="415"/>
      <c r="AM540" s="415"/>
      <c r="AN540" s="416">
        <f t="shared" si="92"/>
        <v>0</v>
      </c>
      <c r="AO540" s="416">
        <f t="shared" si="93"/>
        <v>0</v>
      </c>
      <c r="AP540" s="416">
        <f t="shared" si="94"/>
        <v>0</v>
      </c>
      <c r="AQ540" s="416">
        <f t="shared" si="95"/>
        <v>0</v>
      </c>
      <c r="AR540" s="416">
        <f t="shared" si="96"/>
        <v>0</v>
      </c>
      <c r="AS540" s="416">
        <f t="shared" si="97"/>
        <v>0</v>
      </c>
      <c r="AT540" s="416">
        <f t="shared" si="98"/>
        <v>0</v>
      </c>
      <c r="AU540" s="416">
        <f t="shared" si="99"/>
        <v>0</v>
      </c>
      <c r="AV540" s="416">
        <f t="shared" si="100"/>
        <v>0</v>
      </c>
      <c r="AW540" s="416">
        <f t="shared" si="101"/>
        <v>0</v>
      </c>
      <c r="AX540" s="194"/>
      <c r="AY540" s="194"/>
      <c r="AZ540" s="194"/>
    </row>
    <row r="541" spans="1:52" s="111" customFormat="1" outlineLevel="1">
      <c r="A541" s="551" t="str">
        <f t="shared" si="105"/>
        <v>1</v>
      </c>
      <c r="B541" s="111" t="s">
        <v>649</v>
      </c>
      <c r="L541" s="412" t="s">
        <v>519</v>
      </c>
      <c r="M541" s="413" t="s">
        <v>649</v>
      </c>
      <c r="N541" s="414" t="s">
        <v>370</v>
      </c>
      <c r="O541" s="415"/>
      <c r="P541" s="415"/>
      <c r="Q541" s="415"/>
      <c r="R541" s="416">
        <f t="shared" si="106"/>
        <v>0</v>
      </c>
      <c r="S541" s="415"/>
      <c r="T541" s="415"/>
      <c r="U541" s="415"/>
      <c r="V541" s="415"/>
      <c r="W541" s="415"/>
      <c r="X541" s="415"/>
      <c r="Y541" s="415"/>
      <c r="Z541" s="415"/>
      <c r="AA541" s="415"/>
      <c r="AB541" s="415"/>
      <c r="AC541" s="415"/>
      <c r="AD541" s="415"/>
      <c r="AE541" s="415"/>
      <c r="AF541" s="415"/>
      <c r="AG541" s="415"/>
      <c r="AH541" s="415"/>
      <c r="AI541" s="415"/>
      <c r="AJ541" s="415"/>
      <c r="AK541" s="415"/>
      <c r="AL541" s="415"/>
      <c r="AM541" s="415"/>
      <c r="AN541" s="416">
        <f t="shared" si="92"/>
        <v>0</v>
      </c>
      <c r="AO541" s="416">
        <f t="shared" si="93"/>
        <v>0</v>
      </c>
      <c r="AP541" s="416">
        <f t="shared" si="94"/>
        <v>0</v>
      </c>
      <c r="AQ541" s="416">
        <f t="shared" si="95"/>
        <v>0</v>
      </c>
      <c r="AR541" s="416">
        <f t="shared" si="96"/>
        <v>0</v>
      </c>
      <c r="AS541" s="416">
        <f t="shared" si="97"/>
        <v>0</v>
      </c>
      <c r="AT541" s="416">
        <f t="shared" si="98"/>
        <v>0</v>
      </c>
      <c r="AU541" s="416">
        <f t="shared" si="99"/>
        <v>0</v>
      </c>
      <c r="AV541" s="416">
        <f t="shared" si="100"/>
        <v>0</v>
      </c>
      <c r="AW541" s="416">
        <f t="shared" si="101"/>
        <v>0</v>
      </c>
      <c r="AX541" s="194"/>
      <c r="AY541" s="194"/>
      <c r="AZ541" s="194"/>
    </row>
    <row r="542" spans="1:52" s="111" customFormat="1" outlineLevel="1">
      <c r="A542" s="551" t="str">
        <f t="shared" si="105"/>
        <v>1</v>
      </c>
      <c r="B542" s="111" t="s">
        <v>651</v>
      </c>
      <c r="L542" s="412" t="s">
        <v>650</v>
      </c>
      <c r="M542" s="413" t="s">
        <v>651</v>
      </c>
      <c r="N542" s="414" t="s">
        <v>370</v>
      </c>
      <c r="O542" s="421">
        <f>SUM(O543,O544)</f>
        <v>0</v>
      </c>
      <c r="P542" s="416">
        <f t="shared" ref="P542:AM542" si="107">SUM(P543,P544)</f>
        <v>0</v>
      </c>
      <c r="Q542" s="416">
        <f t="shared" si="107"/>
        <v>0</v>
      </c>
      <c r="R542" s="416">
        <f t="shared" si="106"/>
        <v>0</v>
      </c>
      <c r="S542" s="416">
        <f t="shared" si="107"/>
        <v>0</v>
      </c>
      <c r="T542" s="421">
        <f t="shared" si="107"/>
        <v>0</v>
      </c>
      <c r="U542" s="416">
        <f t="shared" si="107"/>
        <v>0</v>
      </c>
      <c r="V542" s="416">
        <f t="shared" si="107"/>
        <v>0</v>
      </c>
      <c r="W542" s="416">
        <f t="shared" si="107"/>
        <v>0</v>
      </c>
      <c r="X542" s="416">
        <f t="shared" si="107"/>
        <v>0</v>
      </c>
      <c r="Y542" s="416">
        <f t="shared" si="107"/>
        <v>0</v>
      </c>
      <c r="Z542" s="416">
        <f t="shared" si="107"/>
        <v>0</v>
      </c>
      <c r="AA542" s="416">
        <f t="shared" si="107"/>
        <v>0</v>
      </c>
      <c r="AB542" s="416">
        <f t="shared" si="107"/>
        <v>0</v>
      </c>
      <c r="AC542" s="416">
        <f t="shared" si="107"/>
        <v>0</v>
      </c>
      <c r="AD542" s="421">
        <f t="shared" si="107"/>
        <v>0</v>
      </c>
      <c r="AE542" s="416">
        <f t="shared" si="107"/>
        <v>0</v>
      </c>
      <c r="AF542" s="416">
        <f t="shared" si="107"/>
        <v>0</v>
      </c>
      <c r="AG542" s="416">
        <f t="shared" si="107"/>
        <v>0</v>
      </c>
      <c r="AH542" s="416">
        <f t="shared" si="107"/>
        <v>0</v>
      </c>
      <c r="AI542" s="416">
        <f t="shared" si="107"/>
        <v>0</v>
      </c>
      <c r="AJ542" s="416">
        <f t="shared" si="107"/>
        <v>0</v>
      </c>
      <c r="AK542" s="416">
        <f t="shared" si="107"/>
        <v>0</v>
      </c>
      <c r="AL542" s="416">
        <f t="shared" si="107"/>
        <v>0</v>
      </c>
      <c r="AM542" s="416">
        <f t="shared" si="107"/>
        <v>0</v>
      </c>
      <c r="AN542" s="416">
        <f t="shared" si="92"/>
        <v>0</v>
      </c>
      <c r="AO542" s="416">
        <f t="shared" si="93"/>
        <v>0</v>
      </c>
      <c r="AP542" s="416">
        <f t="shared" si="94"/>
        <v>0</v>
      </c>
      <c r="AQ542" s="416">
        <f t="shared" si="95"/>
        <v>0</v>
      </c>
      <c r="AR542" s="416">
        <f t="shared" si="96"/>
        <v>0</v>
      </c>
      <c r="AS542" s="416">
        <f t="shared" si="97"/>
        <v>0</v>
      </c>
      <c r="AT542" s="416">
        <f t="shared" si="98"/>
        <v>0</v>
      </c>
      <c r="AU542" s="416">
        <f t="shared" si="99"/>
        <v>0</v>
      </c>
      <c r="AV542" s="416">
        <f t="shared" si="100"/>
        <v>0</v>
      </c>
      <c r="AW542" s="416">
        <f t="shared" si="101"/>
        <v>0</v>
      </c>
      <c r="AX542" s="194"/>
      <c r="AY542" s="194"/>
      <c r="AZ542" s="194"/>
    </row>
    <row r="543" spans="1:52" s="111" customFormat="1" outlineLevel="1">
      <c r="A543" s="551" t="str">
        <f t="shared" si="105"/>
        <v>1</v>
      </c>
      <c r="L543" s="412" t="s">
        <v>652</v>
      </c>
      <c r="M543" s="420" t="s">
        <v>653</v>
      </c>
      <c r="N543" s="414" t="s">
        <v>370</v>
      </c>
      <c r="O543" s="415"/>
      <c r="P543" s="415"/>
      <c r="Q543" s="415"/>
      <c r="R543" s="416">
        <f t="shared" si="106"/>
        <v>0</v>
      </c>
      <c r="S543" s="415"/>
      <c r="T543" s="415"/>
      <c r="U543" s="415"/>
      <c r="V543" s="415"/>
      <c r="W543" s="415"/>
      <c r="X543" s="415"/>
      <c r="Y543" s="415"/>
      <c r="Z543" s="415"/>
      <c r="AA543" s="415"/>
      <c r="AB543" s="415"/>
      <c r="AC543" s="415"/>
      <c r="AD543" s="415"/>
      <c r="AE543" s="415"/>
      <c r="AF543" s="415"/>
      <c r="AG543" s="415"/>
      <c r="AH543" s="415"/>
      <c r="AI543" s="415"/>
      <c r="AJ543" s="415"/>
      <c r="AK543" s="415"/>
      <c r="AL543" s="415"/>
      <c r="AM543" s="415"/>
      <c r="AN543" s="416">
        <f t="shared" si="92"/>
        <v>0</v>
      </c>
      <c r="AO543" s="416">
        <f t="shared" si="93"/>
        <v>0</v>
      </c>
      <c r="AP543" s="416">
        <f t="shared" si="94"/>
        <v>0</v>
      </c>
      <c r="AQ543" s="416">
        <f t="shared" si="95"/>
        <v>0</v>
      </c>
      <c r="AR543" s="416">
        <f t="shared" si="96"/>
        <v>0</v>
      </c>
      <c r="AS543" s="416">
        <f t="shared" si="97"/>
        <v>0</v>
      </c>
      <c r="AT543" s="416">
        <f t="shared" si="98"/>
        <v>0</v>
      </c>
      <c r="AU543" s="416">
        <f t="shared" si="99"/>
        <v>0</v>
      </c>
      <c r="AV543" s="416">
        <f t="shared" si="100"/>
        <v>0</v>
      </c>
      <c r="AW543" s="416">
        <f t="shared" si="101"/>
        <v>0</v>
      </c>
      <c r="AX543" s="194"/>
      <c r="AY543" s="194"/>
      <c r="AZ543" s="194"/>
    </row>
    <row r="544" spans="1:52" s="111" customFormat="1" outlineLevel="1">
      <c r="A544" s="551" t="str">
        <f t="shared" si="105"/>
        <v>1</v>
      </c>
      <c r="L544" s="412" t="s">
        <v>654</v>
      </c>
      <c r="M544" s="420" t="s">
        <v>655</v>
      </c>
      <c r="N544" s="414" t="s">
        <v>370</v>
      </c>
      <c r="O544" s="415"/>
      <c r="P544" s="415"/>
      <c r="Q544" s="415"/>
      <c r="R544" s="416">
        <f t="shared" si="106"/>
        <v>0</v>
      </c>
      <c r="S544" s="415"/>
      <c r="T544" s="415"/>
      <c r="U544" s="415"/>
      <c r="V544" s="415"/>
      <c r="W544" s="415"/>
      <c r="X544" s="415"/>
      <c r="Y544" s="415"/>
      <c r="Z544" s="415"/>
      <c r="AA544" s="415"/>
      <c r="AB544" s="415"/>
      <c r="AC544" s="415"/>
      <c r="AD544" s="415"/>
      <c r="AE544" s="415"/>
      <c r="AF544" s="415"/>
      <c r="AG544" s="415"/>
      <c r="AH544" s="415"/>
      <c r="AI544" s="415"/>
      <c r="AJ544" s="415"/>
      <c r="AK544" s="415"/>
      <c r="AL544" s="415"/>
      <c r="AM544" s="415"/>
      <c r="AN544" s="416">
        <f t="shared" si="92"/>
        <v>0</v>
      </c>
      <c r="AO544" s="416">
        <f t="shared" si="93"/>
        <v>0</v>
      </c>
      <c r="AP544" s="416">
        <f t="shared" si="94"/>
        <v>0</v>
      </c>
      <c r="AQ544" s="416">
        <f t="shared" si="95"/>
        <v>0</v>
      </c>
      <c r="AR544" s="416">
        <f t="shared" si="96"/>
        <v>0</v>
      </c>
      <c r="AS544" s="416">
        <f t="shared" si="97"/>
        <v>0</v>
      </c>
      <c r="AT544" s="416">
        <f t="shared" si="98"/>
        <v>0</v>
      </c>
      <c r="AU544" s="416">
        <f t="shared" si="99"/>
        <v>0</v>
      </c>
      <c r="AV544" s="416">
        <f t="shared" si="100"/>
        <v>0</v>
      </c>
      <c r="AW544" s="416">
        <f t="shared" si="101"/>
        <v>0</v>
      </c>
      <c r="AX544" s="194"/>
      <c r="AY544" s="194"/>
      <c r="AZ544" s="194"/>
    </row>
    <row r="545" spans="1:52" s="111" customFormat="1" ht="33.75" outlineLevel="1">
      <c r="A545" s="551" t="str">
        <f t="shared" si="105"/>
        <v>1</v>
      </c>
      <c r="B545" s="111" t="s">
        <v>1397</v>
      </c>
      <c r="L545" s="412" t="s">
        <v>656</v>
      </c>
      <c r="M545" s="413" t="s">
        <v>657</v>
      </c>
      <c r="N545" s="414" t="s">
        <v>370</v>
      </c>
      <c r="O545" s="415"/>
      <c r="P545" s="415"/>
      <c r="Q545" s="415"/>
      <c r="R545" s="416">
        <f t="shared" si="106"/>
        <v>0</v>
      </c>
      <c r="S545" s="415"/>
      <c r="T545" s="415"/>
      <c r="U545" s="415"/>
      <c r="V545" s="415"/>
      <c r="W545" s="415"/>
      <c r="X545" s="415"/>
      <c r="Y545" s="415"/>
      <c r="Z545" s="415"/>
      <c r="AA545" s="415"/>
      <c r="AB545" s="415"/>
      <c r="AC545" s="415"/>
      <c r="AD545" s="415"/>
      <c r="AE545" s="415"/>
      <c r="AF545" s="415"/>
      <c r="AG545" s="415"/>
      <c r="AH545" s="415"/>
      <c r="AI545" s="415"/>
      <c r="AJ545" s="415"/>
      <c r="AK545" s="415"/>
      <c r="AL545" s="415"/>
      <c r="AM545" s="415"/>
      <c r="AN545" s="416">
        <f t="shared" si="92"/>
        <v>0</v>
      </c>
      <c r="AO545" s="416">
        <f t="shared" si="93"/>
        <v>0</v>
      </c>
      <c r="AP545" s="416">
        <f t="shared" si="94"/>
        <v>0</v>
      </c>
      <c r="AQ545" s="416">
        <f t="shared" si="95"/>
        <v>0</v>
      </c>
      <c r="AR545" s="416">
        <f t="shared" si="96"/>
        <v>0</v>
      </c>
      <c r="AS545" s="416">
        <f t="shared" si="97"/>
        <v>0</v>
      </c>
      <c r="AT545" s="416">
        <f t="shared" si="98"/>
        <v>0</v>
      </c>
      <c r="AU545" s="416">
        <f t="shared" si="99"/>
        <v>0</v>
      </c>
      <c r="AV545" s="416">
        <f t="shared" si="100"/>
        <v>0</v>
      </c>
      <c r="AW545" s="416">
        <f t="shared" si="101"/>
        <v>0</v>
      </c>
      <c r="AX545" s="194"/>
      <c r="AY545" s="194"/>
      <c r="AZ545" s="194"/>
    </row>
    <row r="546" spans="1:52" s="116" customFormat="1" outlineLevel="1">
      <c r="A546" s="551" t="str">
        <f t="shared" si="105"/>
        <v>1</v>
      </c>
      <c r="B546" s="111" t="s">
        <v>1105</v>
      </c>
      <c r="L546" s="432" t="s">
        <v>103</v>
      </c>
      <c r="M546" s="408" t="s">
        <v>658</v>
      </c>
      <c r="N546" s="433" t="s">
        <v>370</v>
      </c>
      <c r="O546" s="434">
        <f>SUMIFS(ЭЭ!O$15:O$27,ЭЭ!$A$15:$A$27,$A546,ЭЭ!$M$15:$M$27,"Всего по тарифу")</f>
        <v>0</v>
      </c>
      <c r="P546" s="434">
        <f>SUMIFS(ЭЭ!P$15:P$27,ЭЭ!$A$15:$A$27,$A546,ЭЭ!$M$15:$M$27,"Всего по тарифу")</f>
        <v>5298.89</v>
      </c>
      <c r="Q546" s="434">
        <f>SUMIFS(ЭЭ!Q$15:Q$27,ЭЭ!$A$15:$A$27,$A546,ЭЭ!$M$15:$M$27,"Всего по тарифу")</f>
        <v>3699.6</v>
      </c>
      <c r="R546" s="410">
        <f t="shared" si="106"/>
        <v>-1599.2900000000004</v>
      </c>
      <c r="S546" s="434">
        <f>SUMIFS(ЭЭ!R$15:R$27,ЭЭ!$A$15:$A$27,$A546,ЭЭ!$M$15:$M$27,"Всего по тарифу")</f>
        <v>11554.04</v>
      </c>
      <c r="T546" s="434">
        <f>SUMIFS(ЭЭ!S$15:S$27,ЭЭ!$A$15:$A$27,$A546,ЭЭ!$M$15:$M$27,"Всего по тарифу")</f>
        <v>6287.77</v>
      </c>
      <c r="U546" s="434">
        <f>SUMIFS(ЭЭ!T$15:T$27,ЭЭ!$A$15:$A$27,$A546,ЭЭ!$M$15:$M$27,"Всего по тарифу")</f>
        <v>0</v>
      </c>
      <c r="V546" s="434">
        <f>SUMIFS(ЭЭ!U$15:U$27,ЭЭ!$A$15:$A$27,$A546,ЭЭ!$M$15:$M$27,"Всего по тарифу")</f>
        <v>0</v>
      </c>
      <c r="W546" s="434">
        <f>SUMIFS(ЭЭ!V$15:V$27,ЭЭ!$A$15:$A$27,$A546,ЭЭ!$M$15:$M$27,"Всего по тарифу")</f>
        <v>0</v>
      </c>
      <c r="X546" s="434">
        <f>SUMIFS(ЭЭ!W$15:W$27,ЭЭ!$A$15:$A$27,$A546,ЭЭ!$M$15:$M$27,"Всего по тарифу")</f>
        <v>0</v>
      </c>
      <c r="Y546" s="434">
        <f>SUMIFS(ЭЭ!X$15:X$27,ЭЭ!$A$15:$A$27,$A546,ЭЭ!$M$15:$M$27,"Всего по тарифу")</f>
        <v>0</v>
      </c>
      <c r="Z546" s="434">
        <f>SUMIFS(ЭЭ!Y$15:Y$27,ЭЭ!$A$15:$A$27,$A546,ЭЭ!$M$15:$M$27,"Всего по тарифу")</f>
        <v>0</v>
      </c>
      <c r="AA546" s="434">
        <f>SUMIFS(ЭЭ!Z$15:Z$27,ЭЭ!$A$15:$A$27,$A546,ЭЭ!$M$15:$M$27,"Всего по тарифу")</f>
        <v>0</v>
      </c>
      <c r="AB546" s="434">
        <f>SUMIFS(ЭЭ!AA$15:AA$27,ЭЭ!$A$15:$A$27,$A546,ЭЭ!$M$15:$M$27,"Всего по тарифу")</f>
        <v>0</v>
      </c>
      <c r="AC546" s="434">
        <f>SUMIFS(ЭЭ!AB$15:AB$27,ЭЭ!$A$15:$A$27,$A546,ЭЭ!$M$15:$M$27,"Всего по тарифу")</f>
        <v>0</v>
      </c>
      <c r="AD546" s="434">
        <f>SUMIFS(ЭЭ!AC$15:AC$27,ЭЭ!$A$15:$A$27,$A546,ЭЭ!$M$15:$M$27,"Всего по тарифу")</f>
        <v>6253.01</v>
      </c>
      <c r="AE546" s="434">
        <f>SUMIFS(ЭЭ!AD$15:AD$27,ЭЭ!$A$15:$A$27,$A546,ЭЭ!$M$15:$M$27,"Всего по тарифу")</f>
        <v>12016.201600000002</v>
      </c>
      <c r="AF546" s="434">
        <f>SUMIFS(ЭЭ!AE$15:AE$27,ЭЭ!$A$15:$A$27,$A546,ЭЭ!$M$15:$M$27,"Всего по тарифу")</f>
        <v>12496.849664000003</v>
      </c>
      <c r="AG546" s="434">
        <f>SUMIFS(ЭЭ!AF$15:AF$27,ЭЭ!$A$15:$A$27,$A546,ЭЭ!$M$15:$M$27,"Всего по тарифу")</f>
        <v>12996.723650560003</v>
      </c>
      <c r="AH546" s="434">
        <f>SUMIFS(ЭЭ!AG$15:AG$27,ЭЭ!$A$15:$A$27,$A546,ЭЭ!$M$15:$M$27,"Всего по тарифу")</f>
        <v>0</v>
      </c>
      <c r="AI546" s="434">
        <f>SUMIFS(ЭЭ!AH$15:AH$27,ЭЭ!$A$15:$A$27,$A546,ЭЭ!$M$15:$M$27,"Всего по тарифу")</f>
        <v>0</v>
      </c>
      <c r="AJ546" s="434">
        <f>SUMIFS(ЭЭ!AI$15:AI$27,ЭЭ!$A$15:$A$27,$A546,ЭЭ!$M$15:$M$27,"Всего по тарифу")</f>
        <v>0</v>
      </c>
      <c r="AK546" s="434">
        <f>SUMIFS(ЭЭ!AJ$15:AJ$27,ЭЭ!$A$15:$A$27,$A546,ЭЭ!$M$15:$M$27,"Всего по тарифу")</f>
        <v>0</v>
      </c>
      <c r="AL546" s="434">
        <f>SUMIFS(ЭЭ!AK$15:AK$27,ЭЭ!$A$15:$A$27,$A546,ЭЭ!$M$15:$M$27,"Всего по тарифу")</f>
        <v>0</v>
      </c>
      <c r="AM546" s="434">
        <f>SUMIFS(ЭЭ!AL$15:AL$27,ЭЭ!$A$15:$A$27,$A546,ЭЭ!$M$15:$M$27,"Всего по тарифу")</f>
        <v>0</v>
      </c>
      <c r="AN546" s="410">
        <f t="shared" si="92"/>
        <v>-45.880315456757984</v>
      </c>
      <c r="AO546" s="410">
        <f t="shared" si="93"/>
        <v>92.166678127813668</v>
      </c>
      <c r="AP546" s="410">
        <f t="shared" si="94"/>
        <v>4.0000000000000062</v>
      </c>
      <c r="AQ546" s="410">
        <f t="shared" si="95"/>
        <v>3.9999999999999996</v>
      </c>
      <c r="AR546" s="410">
        <f t="shared" si="96"/>
        <v>-100</v>
      </c>
      <c r="AS546" s="410">
        <f t="shared" si="97"/>
        <v>0</v>
      </c>
      <c r="AT546" s="410">
        <f t="shared" si="98"/>
        <v>0</v>
      </c>
      <c r="AU546" s="410">
        <f t="shared" si="99"/>
        <v>0</v>
      </c>
      <c r="AV546" s="410">
        <f t="shared" si="100"/>
        <v>0</v>
      </c>
      <c r="AW546" s="410">
        <f t="shared" si="101"/>
        <v>0</v>
      </c>
      <c r="AX546" s="194"/>
      <c r="AY546" s="194"/>
      <c r="AZ546" s="194"/>
    </row>
    <row r="547" spans="1:52" s="116" customFormat="1" ht="33.75" outlineLevel="1">
      <c r="A547" s="551" t="str">
        <f t="shared" si="105"/>
        <v>1</v>
      </c>
      <c r="B547" s="111" t="s">
        <v>1106</v>
      </c>
      <c r="L547" s="432" t="s">
        <v>104</v>
      </c>
      <c r="M547" s="408" t="s">
        <v>659</v>
      </c>
      <c r="N547" s="433" t="s">
        <v>370</v>
      </c>
      <c r="O547" s="434">
        <f>SUMIFS(Амортизация!O$15:O$65,Амортизация!$A$15:$A$65,$A547,Амортизация!$M$15:$M$65,"Сумма амортизационных отчислений")</f>
        <v>0</v>
      </c>
      <c r="P547" s="434">
        <f>SUMIFS(Амортизация!P$15:P$65,Амортизация!$A$15:$A$65,$A547,Амортизация!$M$15:$M$65,"Сумма амортизационных отчислений")</f>
        <v>240.9</v>
      </c>
      <c r="Q547" s="434">
        <f>SUMIFS(Амортизация!Q$15:Q$65,Амортизация!$A$15:$A$65,$A547,Амортизация!$M$15:$M$65,"Сумма амортизационных отчислений")</f>
        <v>240.9</v>
      </c>
      <c r="R547" s="410">
        <f t="shared" si="106"/>
        <v>0</v>
      </c>
      <c r="S547" s="434">
        <f>SUMIFS(Амортизация!R$15:R$65,Амортизация!$A$15:$A$65,$A547,Амортизация!$M$15:$M$65,"Сумма амортизационных отчислений")</f>
        <v>235.85999999999999</v>
      </c>
      <c r="T547" s="434">
        <f>SUMIFS(Амортизация!S$15:S$65,Амортизация!$A$15:$A$65,$A547,Амортизация!$M$15:$M$65,"Сумма амортизационных отчислений")</f>
        <v>263.63</v>
      </c>
      <c r="U547" s="434">
        <f>SUMIFS(Амортизация!T$15:T$65,Амортизация!$A$15:$A$65,$A547,Амортизация!$M$15:$M$65,"Сумма амортизационных отчислений")</f>
        <v>0</v>
      </c>
      <c r="V547" s="434">
        <f>SUMIFS(Амортизация!U$15:U$65,Амортизация!$A$15:$A$65,$A547,Амортизация!$M$15:$M$65,"Сумма амортизационных отчислений")</f>
        <v>0</v>
      </c>
      <c r="W547" s="434">
        <f>SUMIFS(Амортизация!V$15:V$65,Амортизация!$A$15:$A$65,$A547,Амортизация!$M$15:$M$65,"Сумма амортизационных отчислений")</f>
        <v>0</v>
      </c>
      <c r="X547" s="434">
        <f>SUMIFS(Амортизация!W$15:W$65,Амортизация!$A$15:$A$65,$A547,Амортизация!$M$15:$M$65,"Сумма амортизационных отчислений")</f>
        <v>0</v>
      </c>
      <c r="Y547" s="434">
        <f>SUMIFS(Амортизация!X$15:X$65,Амортизация!$A$15:$A$65,$A547,Амортизация!$M$15:$M$65,"Сумма амортизационных отчислений")</f>
        <v>0</v>
      </c>
      <c r="Z547" s="434">
        <f>SUMIFS(Амортизация!Y$15:Y$65,Амортизация!$A$15:$A$65,$A547,Амортизация!$M$15:$M$65,"Сумма амортизационных отчислений")</f>
        <v>0</v>
      </c>
      <c r="AA547" s="434">
        <f>SUMIFS(Амортизация!Z$15:Z$65,Амортизация!$A$15:$A$65,$A547,Амортизация!$M$15:$M$65,"Сумма амортизационных отчислений")</f>
        <v>0</v>
      </c>
      <c r="AB547" s="434">
        <f>SUMIFS(Амортизация!AA$15:AA$65,Амортизация!$A$15:$A$65,$A547,Амортизация!$M$15:$M$65,"Сумма амортизационных отчислений")</f>
        <v>0</v>
      </c>
      <c r="AC547" s="434">
        <f>SUMIFS(Амортизация!AB$15:AB$65,Амортизация!$A$15:$A$65,$A547,Амортизация!$M$15:$M$65,"Сумма амортизационных отчислений")</f>
        <v>0</v>
      </c>
      <c r="AD547" s="434">
        <f>SUMIFS(Амортизация!AC$15:AC$65,Амортизация!$A$15:$A$65,$A547,Амортизация!$M$15:$M$65,"Сумма амортизационных отчислений")</f>
        <v>263.63</v>
      </c>
      <c r="AE547" s="434">
        <f>SUMIFS(Амортизация!AD$15:AD$65,Амортизация!$A$15:$A$65,$A547,Амортизация!$M$15:$M$65,"Сумма амортизационных отчислений")</f>
        <v>0</v>
      </c>
      <c r="AF547" s="434">
        <f>SUMIFS(Амортизация!AE$15:AE$65,Амортизация!$A$15:$A$65,$A547,Амортизация!$M$15:$M$65,"Сумма амортизационных отчислений")</f>
        <v>0</v>
      </c>
      <c r="AG547" s="434">
        <f>SUMIFS(Амортизация!AF$15:AF$65,Амортизация!$A$15:$A$65,$A547,Амортизация!$M$15:$M$65,"Сумма амортизационных отчислений")</f>
        <v>0</v>
      </c>
      <c r="AH547" s="434">
        <f>SUMIFS(Амортизация!AG$15:AG$65,Амортизация!$A$15:$A$65,$A547,Амортизация!$M$15:$M$65,"Сумма амортизационных отчислений")</f>
        <v>0</v>
      </c>
      <c r="AI547" s="434">
        <f>SUMIFS(Амортизация!AH$15:AH$65,Амортизация!$A$15:$A$65,$A547,Амортизация!$M$15:$M$65,"Сумма амортизационных отчислений")</f>
        <v>0</v>
      </c>
      <c r="AJ547" s="434">
        <f>SUMIFS(Амортизация!AI$15:AI$65,Амортизация!$A$15:$A$65,$A547,Амортизация!$M$15:$M$65,"Сумма амортизационных отчислений")</f>
        <v>0</v>
      </c>
      <c r="AK547" s="434">
        <f>SUMIFS(Амортизация!AJ$15:AJ$65,Амортизация!$A$15:$A$65,$A547,Амортизация!$M$15:$M$65,"Сумма амортизационных отчислений")</f>
        <v>0</v>
      </c>
      <c r="AL547" s="434">
        <f>SUMIFS(Амортизация!AK$15:AK$65,Амортизация!$A$15:$A$65,$A547,Амортизация!$M$15:$M$65,"Сумма амортизационных отчислений")</f>
        <v>0</v>
      </c>
      <c r="AM547" s="434">
        <f>SUMIFS(Амортизация!AL$15:AL$65,Амортизация!$A$15:$A$65,$A547,Амортизация!$M$15:$M$65,"Сумма амортизационных отчислений")</f>
        <v>0</v>
      </c>
      <c r="AN547" s="410">
        <f t="shared" si="92"/>
        <v>11.773933689476813</v>
      </c>
      <c r="AO547" s="410">
        <f t="shared" si="93"/>
        <v>-100</v>
      </c>
      <c r="AP547" s="410">
        <f t="shared" si="94"/>
        <v>0</v>
      </c>
      <c r="AQ547" s="410">
        <f t="shared" si="95"/>
        <v>0</v>
      </c>
      <c r="AR547" s="410">
        <f t="shared" si="96"/>
        <v>0</v>
      </c>
      <c r="AS547" s="410">
        <f t="shared" si="97"/>
        <v>0</v>
      </c>
      <c r="AT547" s="410">
        <f t="shared" si="98"/>
        <v>0</v>
      </c>
      <c r="AU547" s="410">
        <f t="shared" si="99"/>
        <v>0</v>
      </c>
      <c r="AV547" s="410">
        <f t="shared" si="100"/>
        <v>0</v>
      </c>
      <c r="AW547" s="410">
        <f t="shared" si="101"/>
        <v>0</v>
      </c>
      <c r="AX547" s="194"/>
      <c r="AY547" s="194"/>
      <c r="AZ547" s="194"/>
    </row>
    <row r="548" spans="1:52" s="111" customFormat="1" outlineLevel="1">
      <c r="A548" s="551" t="str">
        <f t="shared" si="105"/>
        <v>1</v>
      </c>
      <c r="L548" s="412" t="s">
        <v>148</v>
      </c>
      <c r="M548" s="474" t="s">
        <v>1239</v>
      </c>
      <c r="N548" s="414" t="s">
        <v>370</v>
      </c>
      <c r="O548" s="415">
        <f>SUMIFS('ИП + источники'!P$17:P$65,'ИП + источники'!$A$17:$A$65,$A548,'ИП + источники'!$M$17:$M$65,"Амортизационные отчисления")+SUMIFS('ИП + источники'!P$17:P$65,'ИП + источники'!$A$17:$A$65,$A548,'ИП + источники'!$M$17:$M$65,"погашение займов и кредитов из амортизации")</f>
        <v>0</v>
      </c>
      <c r="P548" s="415">
        <f>SUMIFS('ИП + источники'!Q$17:Q$65,'ИП + источники'!$A$17:$A$65,$A548,'ИП + источники'!$M$17:$M$65,"Амортизационные отчисления")+SUMIFS('ИП + источники'!Q$17:Q$65,'ИП + источники'!$A$17:$A$65,$A548,'ИП + источники'!$M$17:$M$65,"погашение займов и кредитов из амортизации")</f>
        <v>0</v>
      </c>
      <c r="Q548" s="415">
        <f>SUMIFS('ИП + источники'!R$17:R$65,'ИП + источники'!$A$17:$A$65,$A548,'ИП + источники'!$M$17:$M$65,"Амортизационные отчисления")+SUMIFS('ИП + источники'!R$17:R$65,'ИП + источники'!$A$17:$A$65,$A548,'ИП + источники'!$M$17:$M$65,"погашение займов и кредитов из амортизации")</f>
        <v>0</v>
      </c>
      <c r="R548" s="416">
        <f t="shared" si="106"/>
        <v>0</v>
      </c>
      <c r="S548" s="415">
        <f>SUMIFS('ИП + источники'!T$17:T$65,'ИП + источники'!$A$17:$A$65,$A548,'ИП + источники'!$M$17:$M$65,"Амортизационные отчисления")+SUMIFS('ИП + источники'!T$17:T$65,'ИП + источники'!$A$17:$A$65,$A548,'ИП + источники'!$M$17:$M$65,"погашение займов и кредитов из амортизации")</f>
        <v>0</v>
      </c>
      <c r="T548" s="415">
        <f>SUMIFS('ИП + источники'!U$17:U$65,'ИП + источники'!$A$17:$A$65,$A548,'ИП + источники'!$M$17:$M$65,"Амортизационные отчисления")+SUMIFS('ИП + источники'!U$17:U$65,'ИП + источники'!$A$17:$A$65,$A548,'ИП + источники'!$M$17:$M$65,"погашение займов и кредитов из амортизации")</f>
        <v>0</v>
      </c>
      <c r="U548" s="415">
        <f>SUMIFS('ИП + источники'!V$17:V$65,'ИП + источники'!$A$17:$A$65,$A548,'ИП + источники'!$M$17:$M$65,"Амортизационные отчисления")+SUMIFS('ИП + источники'!V$17:V$65,'ИП + источники'!$A$17:$A$65,$A548,'ИП + источники'!$M$17:$M$65,"погашение займов и кредитов из амортизации")</f>
        <v>0</v>
      </c>
      <c r="V548" s="415">
        <f>SUMIFS('ИП + источники'!W$17:W$65,'ИП + источники'!$A$17:$A$65,$A548,'ИП + источники'!$M$17:$M$65,"Амортизационные отчисления")+SUMIFS('ИП + источники'!W$17:W$65,'ИП + источники'!$A$17:$A$65,$A548,'ИП + источники'!$M$17:$M$65,"погашение займов и кредитов из амортизации")</f>
        <v>0</v>
      </c>
      <c r="W548" s="415">
        <f>SUMIFS('ИП + источники'!X$17:X$65,'ИП + источники'!$A$17:$A$65,$A548,'ИП + источники'!$M$17:$M$65,"Амортизационные отчисления")+SUMIFS('ИП + источники'!X$17:X$65,'ИП + источники'!$A$17:$A$65,$A548,'ИП + источники'!$M$17:$M$65,"погашение займов и кредитов из амортизации")</f>
        <v>0</v>
      </c>
      <c r="X548" s="415">
        <f>SUMIFS('ИП + источники'!Y$17:Y$65,'ИП + источники'!$A$17:$A$65,$A548,'ИП + источники'!$M$17:$M$65,"Амортизационные отчисления")+SUMIFS('ИП + источники'!Y$17:Y$65,'ИП + источники'!$A$17:$A$65,$A548,'ИП + источники'!$M$17:$M$65,"погашение займов и кредитов из амортизации")</f>
        <v>0</v>
      </c>
      <c r="Y548" s="415">
        <f>SUMIFS('ИП + источники'!Z$17:Z$65,'ИП + источники'!$A$17:$A$65,$A548,'ИП + источники'!$M$17:$M$65,"Амортизационные отчисления")+SUMIFS('ИП + источники'!Z$17:Z$65,'ИП + источники'!$A$17:$A$65,$A548,'ИП + источники'!$M$17:$M$65,"погашение займов и кредитов из амортизации")</f>
        <v>0</v>
      </c>
      <c r="Z548" s="415">
        <f>SUMIFS('ИП + источники'!AA$17:AA$65,'ИП + источники'!$A$17:$A$65,$A548,'ИП + источники'!$M$17:$M$65,"Амортизационные отчисления")+SUMIFS('ИП + источники'!AA$17:AA$65,'ИП + источники'!$A$17:$A$65,$A548,'ИП + источники'!$M$17:$M$65,"погашение займов и кредитов из амортизации")</f>
        <v>0</v>
      </c>
      <c r="AA548" s="415">
        <f>SUMIFS('ИП + источники'!AB$17:AB$65,'ИП + источники'!$A$17:$A$65,$A548,'ИП + источники'!$M$17:$M$65,"Амортизационные отчисления")+SUMIFS('ИП + источники'!AB$17:AB$65,'ИП + источники'!$A$17:$A$65,$A548,'ИП + источники'!$M$17:$M$65,"погашение займов и кредитов из амортизации")</f>
        <v>0</v>
      </c>
      <c r="AB548" s="415">
        <f>SUMIFS('ИП + источники'!AC$17:AC$65,'ИП + источники'!$A$17:$A$65,$A548,'ИП + источники'!$M$17:$M$65,"Амортизационные отчисления")+SUMIFS('ИП + источники'!AC$17:AC$65,'ИП + источники'!$A$17:$A$65,$A548,'ИП + источники'!$M$17:$M$65,"погашение займов и кредитов из амортизации")</f>
        <v>0</v>
      </c>
      <c r="AC548" s="415">
        <f>SUMIFS('ИП + источники'!AD$17:AD$65,'ИП + источники'!$A$17:$A$65,$A548,'ИП + источники'!$M$17:$M$65,"Амортизационные отчисления")+SUMIFS('ИП + источники'!AD$17:AD$65,'ИП + источники'!$A$17:$A$65,$A548,'ИП + источники'!$M$17:$M$65,"погашение займов и кредитов из амортизации")</f>
        <v>0</v>
      </c>
      <c r="AD548" s="415">
        <f>SUMIFS('ИП + источники'!AE$17:AE$65,'ИП + источники'!$A$17:$A$65,$A548,'ИП + источники'!$M$17:$M$65,"Амортизационные отчисления")+SUMIFS('ИП + источники'!AE$17:AE$65,'ИП + источники'!$A$17:$A$65,$A548,'ИП + источники'!$M$17:$M$65,"погашение займов и кредитов из амортизации")</f>
        <v>0</v>
      </c>
      <c r="AE548" s="415">
        <f>SUMIFS('ИП + источники'!AF$17:AF$65,'ИП + источники'!$A$17:$A$65,$A548,'ИП + источники'!$M$17:$M$65,"Амортизационные отчисления")+SUMIFS('ИП + источники'!AF$17:AF$65,'ИП + источники'!$A$17:$A$65,$A548,'ИП + источники'!$M$17:$M$65,"погашение займов и кредитов из амортизации")</f>
        <v>0</v>
      </c>
      <c r="AF548" s="415">
        <f>SUMIFS('ИП + источники'!AG$17:AG$65,'ИП + источники'!$A$17:$A$65,$A548,'ИП + источники'!$M$17:$M$65,"Амортизационные отчисления")+SUMIFS('ИП + источники'!AG$17:AG$65,'ИП + источники'!$A$17:$A$65,$A548,'ИП + источники'!$M$17:$M$65,"погашение займов и кредитов из амортизации")</f>
        <v>0</v>
      </c>
      <c r="AG548" s="415">
        <f>SUMIFS('ИП + источники'!AH$17:AH$65,'ИП + источники'!$A$17:$A$65,$A548,'ИП + источники'!$M$17:$M$65,"Амортизационные отчисления")+SUMIFS('ИП + источники'!AH$17:AH$65,'ИП + источники'!$A$17:$A$65,$A548,'ИП + источники'!$M$17:$M$65,"погашение займов и кредитов из амортизации")</f>
        <v>0</v>
      </c>
      <c r="AH548" s="415">
        <f>SUMIFS('ИП + источники'!AI$17:AI$65,'ИП + источники'!$A$17:$A$65,$A548,'ИП + источники'!$M$17:$M$65,"Амортизационные отчисления")+SUMIFS('ИП + источники'!AI$17:AI$65,'ИП + источники'!$A$17:$A$65,$A548,'ИП + источники'!$M$17:$M$65,"погашение займов и кредитов из амортизации")</f>
        <v>0</v>
      </c>
      <c r="AI548" s="415">
        <f>SUMIFS('ИП + источники'!AJ$17:AJ$65,'ИП + источники'!$A$17:$A$65,$A548,'ИП + источники'!$M$17:$M$65,"Амортизационные отчисления")+SUMIFS('ИП + источники'!AJ$17:AJ$65,'ИП + источники'!$A$17:$A$65,$A548,'ИП + источники'!$M$17:$M$65,"погашение займов и кредитов из амортизации")</f>
        <v>0</v>
      </c>
      <c r="AJ548" s="415">
        <f>SUMIFS('ИП + источники'!AK$17:AK$65,'ИП + источники'!$A$17:$A$65,$A548,'ИП + источники'!$M$17:$M$65,"Амортизационные отчисления")+SUMIFS('ИП + источники'!AK$17:AK$65,'ИП + источники'!$A$17:$A$65,$A548,'ИП + источники'!$M$17:$M$65,"погашение займов и кредитов из амортизации")</f>
        <v>0</v>
      </c>
      <c r="AK548" s="415">
        <f>SUMIFS('ИП + источники'!AL$17:AL$65,'ИП + источники'!$A$17:$A$65,$A548,'ИП + источники'!$M$17:$M$65,"Амортизационные отчисления")+SUMIFS('ИП + источники'!AL$17:AL$65,'ИП + источники'!$A$17:$A$65,$A548,'ИП + источники'!$M$17:$M$65,"погашение займов и кредитов из амортизации")</f>
        <v>0</v>
      </c>
      <c r="AL548" s="415">
        <f>SUMIFS('ИП + источники'!AM$17:AM$65,'ИП + источники'!$A$17:$A$65,$A548,'ИП + источники'!$M$17:$M$65,"Амортизационные отчисления")+SUMIFS('ИП + источники'!AM$17:AM$65,'ИП + источники'!$A$17:$A$65,$A548,'ИП + источники'!$M$17:$M$65,"погашение займов и кредитов из амортизации")</f>
        <v>0</v>
      </c>
      <c r="AM548" s="415">
        <f>SUMIFS('ИП + источники'!AN$17:AN$65,'ИП + источники'!$A$17:$A$65,$A548,'ИП + источники'!$M$17:$M$65,"Амортизационные отчисления")+SUMIFS('ИП + источники'!AN$17:AN$65,'ИП + источники'!$A$17:$A$65,$A548,'ИП + источники'!$M$17:$M$65,"погашение займов и кредитов из амортизации")</f>
        <v>0</v>
      </c>
      <c r="AN548" s="416">
        <f t="shared" si="92"/>
        <v>0</v>
      </c>
      <c r="AO548" s="416">
        <f t="shared" si="93"/>
        <v>0</v>
      </c>
      <c r="AP548" s="416">
        <f t="shared" si="94"/>
        <v>0</v>
      </c>
      <c r="AQ548" s="416">
        <f t="shared" si="95"/>
        <v>0</v>
      </c>
      <c r="AR548" s="416">
        <f t="shared" si="96"/>
        <v>0</v>
      </c>
      <c r="AS548" s="416">
        <f t="shared" si="97"/>
        <v>0</v>
      </c>
      <c r="AT548" s="416">
        <f t="shared" si="98"/>
        <v>0</v>
      </c>
      <c r="AU548" s="416">
        <f t="shared" si="99"/>
        <v>0</v>
      </c>
      <c r="AV548" s="416">
        <f t="shared" si="100"/>
        <v>0</v>
      </c>
      <c r="AW548" s="416">
        <f t="shared" si="101"/>
        <v>0</v>
      </c>
      <c r="AX548" s="194"/>
      <c r="AY548" s="194"/>
      <c r="AZ548" s="194"/>
    </row>
    <row r="549" spans="1:52" s="116" customFormat="1" outlineLevel="1">
      <c r="A549" s="551" t="str">
        <f t="shared" si="105"/>
        <v>1</v>
      </c>
      <c r="B549" s="111" t="s">
        <v>660</v>
      </c>
      <c r="L549" s="432" t="s">
        <v>120</v>
      </c>
      <c r="M549" s="435" t="s">
        <v>660</v>
      </c>
      <c r="N549" s="409" t="s">
        <v>370</v>
      </c>
      <c r="O549" s="411">
        <f>O550+O551+O552+O553</f>
        <v>0</v>
      </c>
      <c r="P549" s="411">
        <f t="shared" ref="P549:AM549" si="108">P550+P551+P552+P553</f>
        <v>0</v>
      </c>
      <c r="Q549" s="411">
        <f t="shared" si="108"/>
        <v>0</v>
      </c>
      <c r="R549" s="436">
        <f t="shared" si="106"/>
        <v>0</v>
      </c>
      <c r="S549" s="411">
        <f t="shared" si="108"/>
        <v>0</v>
      </c>
      <c r="T549" s="411">
        <f t="shared" si="108"/>
        <v>0</v>
      </c>
      <c r="U549" s="411">
        <f t="shared" si="108"/>
        <v>0</v>
      </c>
      <c r="V549" s="411">
        <f t="shared" si="108"/>
        <v>0</v>
      </c>
      <c r="W549" s="411">
        <f t="shared" si="108"/>
        <v>0</v>
      </c>
      <c r="X549" s="411">
        <f t="shared" si="108"/>
        <v>0</v>
      </c>
      <c r="Y549" s="411">
        <f t="shared" si="108"/>
        <v>0</v>
      </c>
      <c r="Z549" s="411">
        <f t="shared" si="108"/>
        <v>0</v>
      </c>
      <c r="AA549" s="411">
        <f t="shared" si="108"/>
        <v>0</v>
      </c>
      <c r="AB549" s="411">
        <f t="shared" si="108"/>
        <v>0</v>
      </c>
      <c r="AC549" s="411">
        <f t="shared" si="108"/>
        <v>0</v>
      </c>
      <c r="AD549" s="411">
        <f t="shared" si="108"/>
        <v>0</v>
      </c>
      <c r="AE549" s="411">
        <f t="shared" si="108"/>
        <v>0</v>
      </c>
      <c r="AF549" s="411">
        <f t="shared" si="108"/>
        <v>0</v>
      </c>
      <c r="AG549" s="411">
        <f t="shared" si="108"/>
        <v>0</v>
      </c>
      <c r="AH549" s="411">
        <f t="shared" si="108"/>
        <v>0</v>
      </c>
      <c r="AI549" s="411">
        <f t="shared" si="108"/>
        <v>0</v>
      </c>
      <c r="AJ549" s="411">
        <f t="shared" si="108"/>
        <v>0</v>
      </c>
      <c r="AK549" s="411">
        <f t="shared" si="108"/>
        <v>0</v>
      </c>
      <c r="AL549" s="411">
        <f t="shared" si="108"/>
        <v>0</v>
      </c>
      <c r="AM549" s="411">
        <f t="shared" si="108"/>
        <v>0</v>
      </c>
      <c r="AN549" s="410">
        <f t="shared" si="92"/>
        <v>0</v>
      </c>
      <c r="AO549" s="410">
        <f t="shared" si="93"/>
        <v>0</v>
      </c>
      <c r="AP549" s="410">
        <f t="shared" si="94"/>
        <v>0</v>
      </c>
      <c r="AQ549" s="410">
        <f t="shared" si="95"/>
        <v>0</v>
      </c>
      <c r="AR549" s="410">
        <f t="shared" si="96"/>
        <v>0</v>
      </c>
      <c r="AS549" s="410">
        <f t="shared" si="97"/>
        <v>0</v>
      </c>
      <c r="AT549" s="410">
        <f t="shared" si="98"/>
        <v>0</v>
      </c>
      <c r="AU549" s="410">
        <f t="shared" si="99"/>
        <v>0</v>
      </c>
      <c r="AV549" s="410">
        <f t="shared" si="100"/>
        <v>0</v>
      </c>
      <c r="AW549" s="410">
        <f t="shared" si="101"/>
        <v>0</v>
      </c>
      <c r="AX549" s="194"/>
      <c r="AY549" s="194"/>
      <c r="AZ549" s="194"/>
    </row>
    <row r="550" spans="1:52" s="111" customFormat="1" outlineLevel="1">
      <c r="A550" s="551" t="str">
        <f t="shared" si="105"/>
        <v>1</v>
      </c>
      <c r="L550" s="412" t="s">
        <v>122</v>
      </c>
      <c r="M550" s="413" t="s">
        <v>661</v>
      </c>
      <c r="N550" s="414" t="s">
        <v>370</v>
      </c>
      <c r="O550" s="415">
        <f>SUMIFS('ИП + источники'!P$17:P$65,'ИП + источники'!$A$17:$A$65,$A550,'ИП + источники'!$M$17:$M$65,"погашение займов и кредитов из нормативной прибыли")</f>
        <v>0</v>
      </c>
      <c r="P550" s="415">
        <f>SUMIFS('ИП + источники'!Q$17:Q$65,'ИП + источники'!$A$17:$A$65,$A550,'ИП + источники'!$M$17:$M$65,"погашение займов и кредитов из нормативной прибыли")</f>
        <v>0</v>
      </c>
      <c r="Q550" s="415">
        <f>SUMIFS('ИП + источники'!R$17:R$65,'ИП + источники'!$A$17:$A$65,$A550,'ИП + источники'!$M$17:$M$65,"погашение займов и кредитов из нормативной прибыли")</f>
        <v>0</v>
      </c>
      <c r="R550" s="416">
        <f t="shared" si="106"/>
        <v>0</v>
      </c>
      <c r="S550" s="415">
        <f>SUMIFS('ИП + источники'!T$17:T$65,'ИП + источники'!$A$17:$A$65,$A550,'ИП + источники'!$M$17:$M$65,"погашение займов и кредитов из нормативной прибыли")</f>
        <v>0</v>
      </c>
      <c r="T550" s="415">
        <f>SUMIFS('ИП + источники'!U$17:U$65,'ИП + источники'!$A$17:$A$65,$A550,'ИП + источники'!$M$17:$M$65,"погашение займов и кредитов из нормативной прибыли")</f>
        <v>0</v>
      </c>
      <c r="U550" s="415">
        <f>SUMIFS('ИП + источники'!V$17:V$65,'ИП + источники'!$A$17:$A$65,$A550,'ИП + источники'!$M$17:$M$65,"погашение займов и кредитов из нормативной прибыли")</f>
        <v>0</v>
      </c>
      <c r="V550" s="415">
        <f>SUMIFS('ИП + источники'!W$17:W$65,'ИП + источники'!$A$17:$A$65,$A550,'ИП + источники'!$M$17:$M$65,"погашение займов и кредитов из нормативной прибыли")</f>
        <v>0</v>
      </c>
      <c r="W550" s="415">
        <f>SUMIFS('ИП + источники'!X$17:X$65,'ИП + источники'!$A$17:$A$65,$A550,'ИП + источники'!$M$17:$M$65,"погашение займов и кредитов из нормативной прибыли")</f>
        <v>0</v>
      </c>
      <c r="X550" s="415">
        <f>SUMIFS('ИП + источники'!Y$17:Y$65,'ИП + источники'!$A$17:$A$65,$A550,'ИП + источники'!$M$17:$M$65,"погашение займов и кредитов из нормативной прибыли")</f>
        <v>0</v>
      </c>
      <c r="Y550" s="415">
        <f>SUMIFS('ИП + источники'!Z$17:Z$65,'ИП + источники'!$A$17:$A$65,$A550,'ИП + источники'!$M$17:$M$65,"погашение займов и кредитов из нормативной прибыли")</f>
        <v>0</v>
      </c>
      <c r="Z550" s="415">
        <f>SUMIFS('ИП + источники'!AA$17:AA$65,'ИП + источники'!$A$17:$A$65,$A550,'ИП + источники'!$M$17:$M$65,"погашение займов и кредитов из нормативной прибыли")</f>
        <v>0</v>
      </c>
      <c r="AA550" s="415">
        <f>SUMIFS('ИП + источники'!AB$17:AB$65,'ИП + источники'!$A$17:$A$65,$A550,'ИП + источники'!$M$17:$M$65,"погашение займов и кредитов из нормативной прибыли")</f>
        <v>0</v>
      </c>
      <c r="AB550" s="415">
        <f>SUMIFS('ИП + источники'!AC$17:AC$65,'ИП + источники'!$A$17:$A$65,$A550,'ИП + источники'!$M$17:$M$65,"погашение займов и кредитов из нормативной прибыли")</f>
        <v>0</v>
      </c>
      <c r="AC550" s="415">
        <f>SUMIFS('ИП + источники'!AD$17:AD$65,'ИП + источники'!$A$17:$A$65,$A550,'ИП + источники'!$M$17:$M$65,"погашение займов и кредитов из нормативной прибыли")</f>
        <v>0</v>
      </c>
      <c r="AD550" s="415">
        <f>SUMIFS('ИП + источники'!AE$17:AE$65,'ИП + источники'!$A$17:$A$65,$A550,'ИП + источники'!$M$17:$M$65,"погашение займов и кредитов из нормативной прибыли")</f>
        <v>0</v>
      </c>
      <c r="AE550" s="415">
        <f>SUMIFS('ИП + источники'!AF$17:AF$65,'ИП + источники'!$A$17:$A$65,$A550,'ИП + источники'!$M$17:$M$65,"погашение займов и кредитов из нормативной прибыли")</f>
        <v>0</v>
      </c>
      <c r="AF550" s="415">
        <f>SUMIFS('ИП + источники'!AG$17:AG$65,'ИП + источники'!$A$17:$A$65,$A550,'ИП + источники'!$M$17:$M$65,"погашение займов и кредитов из нормативной прибыли")</f>
        <v>0</v>
      </c>
      <c r="AG550" s="415">
        <f>SUMIFS('ИП + источники'!AH$17:AH$65,'ИП + источники'!$A$17:$A$65,$A550,'ИП + источники'!$M$17:$M$65,"погашение займов и кредитов из нормативной прибыли")</f>
        <v>0</v>
      </c>
      <c r="AH550" s="415">
        <f>SUMIFS('ИП + источники'!AI$17:AI$65,'ИП + источники'!$A$17:$A$65,$A550,'ИП + источники'!$M$17:$M$65,"погашение займов и кредитов из нормативной прибыли")</f>
        <v>0</v>
      </c>
      <c r="AI550" s="415">
        <f>SUMIFS('ИП + источники'!AJ$17:AJ$65,'ИП + источники'!$A$17:$A$65,$A550,'ИП + источники'!$M$17:$M$65,"погашение займов и кредитов из нормативной прибыли")</f>
        <v>0</v>
      </c>
      <c r="AJ550" s="415">
        <f>SUMIFS('ИП + источники'!AK$17:AK$65,'ИП + источники'!$A$17:$A$65,$A550,'ИП + источники'!$M$17:$M$65,"погашение займов и кредитов из нормативной прибыли")</f>
        <v>0</v>
      </c>
      <c r="AK550" s="415">
        <f>SUMIFS('ИП + источники'!AL$17:AL$65,'ИП + источники'!$A$17:$A$65,$A550,'ИП + источники'!$M$17:$M$65,"погашение займов и кредитов из нормативной прибыли")</f>
        <v>0</v>
      </c>
      <c r="AL550" s="415">
        <f>SUMIFS('ИП + источники'!AM$17:AM$65,'ИП + источники'!$A$17:$A$65,$A550,'ИП + источники'!$M$17:$M$65,"погашение займов и кредитов из нормативной прибыли")</f>
        <v>0</v>
      </c>
      <c r="AM550" s="415">
        <f>SUMIFS('ИП + источники'!AN$17:AN$65,'ИП + источники'!$A$17:$A$65,$A550,'ИП + источники'!$M$17:$M$65,"погашение займов и кредитов из нормативной прибыли")</f>
        <v>0</v>
      </c>
      <c r="AN550" s="416">
        <f t="shared" si="92"/>
        <v>0</v>
      </c>
      <c r="AO550" s="416">
        <f t="shared" si="93"/>
        <v>0</v>
      </c>
      <c r="AP550" s="416">
        <f t="shared" si="94"/>
        <v>0</v>
      </c>
      <c r="AQ550" s="416">
        <f t="shared" si="95"/>
        <v>0</v>
      </c>
      <c r="AR550" s="416">
        <f t="shared" si="96"/>
        <v>0</v>
      </c>
      <c r="AS550" s="416">
        <f t="shared" si="97"/>
        <v>0</v>
      </c>
      <c r="AT550" s="416">
        <f t="shared" si="98"/>
        <v>0</v>
      </c>
      <c r="AU550" s="416">
        <f t="shared" si="99"/>
        <v>0</v>
      </c>
      <c r="AV550" s="416">
        <f t="shared" si="100"/>
        <v>0</v>
      </c>
      <c r="AW550" s="416">
        <f t="shared" si="101"/>
        <v>0</v>
      </c>
      <c r="AX550" s="194"/>
      <c r="AY550" s="194"/>
      <c r="AZ550" s="194"/>
    </row>
    <row r="551" spans="1:52" s="111" customFormat="1" outlineLevel="1">
      <c r="A551" s="551" t="str">
        <f t="shared" si="105"/>
        <v>1</v>
      </c>
      <c r="L551" s="412" t="s">
        <v>123</v>
      </c>
      <c r="M551" s="413" t="s">
        <v>662</v>
      </c>
      <c r="N551" s="414" t="s">
        <v>370</v>
      </c>
      <c r="O551" s="415">
        <f>SUMIFS('ИП + источники'!P$17:P$65,'ИП + источники'!$A$17:$A$65,$A551,'ИП + источники'!$M$17:$M$65,"уплата процентов по кредитам из нормативной прибыли")</f>
        <v>0</v>
      </c>
      <c r="P551" s="415">
        <f>SUMIFS('ИП + источники'!Q$17:Q$65,'ИП + источники'!$A$17:$A$65,$A551,'ИП + источники'!$M$17:$M$65,"уплата процентов по кредитам из нормативной прибыли")</f>
        <v>0</v>
      </c>
      <c r="Q551" s="415">
        <f>SUMIFS('ИП + источники'!R$17:R$65,'ИП + источники'!$A$17:$A$65,$A551,'ИП + источники'!$M$17:$M$65,"уплата процентов по кредитам из нормативной прибыли")</f>
        <v>0</v>
      </c>
      <c r="R551" s="416">
        <f t="shared" si="106"/>
        <v>0</v>
      </c>
      <c r="S551" s="415">
        <f>SUMIFS('ИП + источники'!T$17:T$65,'ИП + источники'!$A$17:$A$65,$A551,'ИП + источники'!$M$17:$M$65,"уплата процентов по кредитам из нормативной прибыли")</f>
        <v>0</v>
      </c>
      <c r="T551" s="415">
        <f>SUMIFS('ИП + источники'!U$17:U$65,'ИП + источники'!$A$17:$A$65,$A551,'ИП + источники'!$M$17:$M$65,"уплата процентов по кредитам из нормативной прибыли")</f>
        <v>0</v>
      </c>
      <c r="U551" s="415">
        <f>SUMIFS('ИП + источники'!V$17:V$65,'ИП + источники'!$A$17:$A$65,$A551,'ИП + источники'!$M$17:$M$65,"уплата процентов по кредитам из нормативной прибыли")</f>
        <v>0</v>
      </c>
      <c r="V551" s="415">
        <f>SUMIFS('ИП + источники'!W$17:W$65,'ИП + источники'!$A$17:$A$65,$A551,'ИП + источники'!$M$17:$M$65,"уплата процентов по кредитам из нормативной прибыли")</f>
        <v>0</v>
      </c>
      <c r="W551" s="415">
        <f>SUMIFS('ИП + источники'!X$17:X$65,'ИП + источники'!$A$17:$A$65,$A551,'ИП + источники'!$M$17:$M$65,"уплата процентов по кредитам из нормативной прибыли")</f>
        <v>0</v>
      </c>
      <c r="X551" s="415">
        <f>SUMIFS('ИП + источники'!Y$17:Y$65,'ИП + источники'!$A$17:$A$65,$A551,'ИП + источники'!$M$17:$M$65,"уплата процентов по кредитам из нормативной прибыли")</f>
        <v>0</v>
      </c>
      <c r="Y551" s="415">
        <f>SUMIFS('ИП + источники'!Z$17:Z$65,'ИП + источники'!$A$17:$A$65,$A551,'ИП + источники'!$M$17:$M$65,"уплата процентов по кредитам из нормативной прибыли")</f>
        <v>0</v>
      </c>
      <c r="Z551" s="415">
        <f>SUMIFS('ИП + источники'!AA$17:AA$65,'ИП + источники'!$A$17:$A$65,$A551,'ИП + источники'!$M$17:$M$65,"уплата процентов по кредитам из нормативной прибыли")</f>
        <v>0</v>
      </c>
      <c r="AA551" s="415">
        <f>SUMIFS('ИП + источники'!AB$17:AB$65,'ИП + источники'!$A$17:$A$65,$A551,'ИП + источники'!$M$17:$M$65,"уплата процентов по кредитам из нормативной прибыли")</f>
        <v>0</v>
      </c>
      <c r="AB551" s="415">
        <f>SUMIFS('ИП + источники'!AC$17:AC$65,'ИП + источники'!$A$17:$A$65,$A551,'ИП + источники'!$M$17:$M$65,"уплата процентов по кредитам из нормативной прибыли")</f>
        <v>0</v>
      </c>
      <c r="AC551" s="415">
        <f>SUMIFS('ИП + источники'!AD$17:AD$65,'ИП + источники'!$A$17:$A$65,$A551,'ИП + источники'!$M$17:$M$65,"уплата процентов по кредитам из нормативной прибыли")</f>
        <v>0</v>
      </c>
      <c r="AD551" s="415">
        <f>SUMIFS('ИП + источники'!AE$17:AE$65,'ИП + источники'!$A$17:$A$65,$A551,'ИП + источники'!$M$17:$M$65,"уплата процентов по кредитам из нормативной прибыли")</f>
        <v>0</v>
      </c>
      <c r="AE551" s="415">
        <f>SUMIFS('ИП + источники'!AF$17:AF$65,'ИП + источники'!$A$17:$A$65,$A551,'ИП + источники'!$M$17:$M$65,"уплата процентов по кредитам из нормативной прибыли")</f>
        <v>0</v>
      </c>
      <c r="AF551" s="415">
        <f>SUMIFS('ИП + источники'!AG$17:AG$65,'ИП + источники'!$A$17:$A$65,$A551,'ИП + источники'!$M$17:$M$65,"уплата процентов по кредитам из нормативной прибыли")</f>
        <v>0</v>
      </c>
      <c r="AG551" s="415">
        <f>SUMIFS('ИП + источники'!AH$17:AH$65,'ИП + источники'!$A$17:$A$65,$A551,'ИП + источники'!$M$17:$M$65,"уплата процентов по кредитам из нормативной прибыли")</f>
        <v>0</v>
      </c>
      <c r="AH551" s="415">
        <f>SUMIFS('ИП + источники'!AI$17:AI$65,'ИП + источники'!$A$17:$A$65,$A551,'ИП + источники'!$M$17:$M$65,"уплата процентов по кредитам из нормативной прибыли")</f>
        <v>0</v>
      </c>
      <c r="AI551" s="415">
        <f>SUMIFS('ИП + источники'!AJ$17:AJ$65,'ИП + источники'!$A$17:$A$65,$A551,'ИП + источники'!$M$17:$M$65,"уплата процентов по кредитам из нормативной прибыли")</f>
        <v>0</v>
      </c>
      <c r="AJ551" s="415">
        <f>SUMIFS('ИП + источники'!AK$17:AK$65,'ИП + источники'!$A$17:$A$65,$A551,'ИП + источники'!$M$17:$M$65,"уплата процентов по кредитам из нормативной прибыли")</f>
        <v>0</v>
      </c>
      <c r="AK551" s="415">
        <f>SUMIFS('ИП + источники'!AL$17:AL$65,'ИП + источники'!$A$17:$A$65,$A551,'ИП + источники'!$M$17:$M$65,"уплата процентов по кредитам из нормативной прибыли")</f>
        <v>0</v>
      </c>
      <c r="AL551" s="415">
        <f>SUMIFS('ИП + источники'!AM$17:AM$65,'ИП + источники'!$A$17:$A$65,$A551,'ИП + источники'!$M$17:$M$65,"уплата процентов по кредитам из нормативной прибыли")</f>
        <v>0</v>
      </c>
      <c r="AM551" s="415">
        <f>SUMIFS('ИП + источники'!AN$17:AN$65,'ИП + источники'!$A$17:$A$65,$A551,'ИП + источники'!$M$17:$M$65,"уплата процентов по кредитам из нормативной прибыли")</f>
        <v>0</v>
      </c>
      <c r="AN551" s="416">
        <f t="shared" si="92"/>
        <v>0</v>
      </c>
      <c r="AO551" s="416">
        <f t="shared" si="93"/>
        <v>0</v>
      </c>
      <c r="AP551" s="416">
        <f t="shared" si="94"/>
        <v>0</v>
      </c>
      <c r="AQ551" s="416">
        <f t="shared" si="95"/>
        <v>0</v>
      </c>
      <c r="AR551" s="416">
        <f t="shared" si="96"/>
        <v>0</v>
      </c>
      <c r="AS551" s="416">
        <f t="shared" si="97"/>
        <v>0</v>
      </c>
      <c r="AT551" s="416">
        <f t="shared" si="98"/>
        <v>0</v>
      </c>
      <c r="AU551" s="416">
        <f t="shared" si="99"/>
        <v>0</v>
      </c>
      <c r="AV551" s="416">
        <f t="shared" si="100"/>
        <v>0</v>
      </c>
      <c r="AW551" s="416">
        <f t="shared" si="101"/>
        <v>0</v>
      </c>
      <c r="AX551" s="194"/>
      <c r="AY551" s="194"/>
      <c r="AZ551" s="194"/>
    </row>
    <row r="552" spans="1:52" s="111" customFormat="1" outlineLevel="1">
      <c r="A552" s="551" t="str">
        <f t="shared" si="105"/>
        <v>1</v>
      </c>
      <c r="L552" s="412" t="s">
        <v>396</v>
      </c>
      <c r="M552" s="413" t="s">
        <v>663</v>
      </c>
      <c r="N552" s="414" t="s">
        <v>370</v>
      </c>
      <c r="O552" s="415">
        <f>SUMIFS('ИП + источники'!P$17:P$65,'ИП + источники'!$A$17:$A$65,$A552,'ИП + источники'!$M$17:$M$65,"Прибыль на капвложения")</f>
        <v>0</v>
      </c>
      <c r="P552" s="415">
        <f>SUMIFS('ИП + источники'!Q$17:Q$65,'ИП + источники'!$A$17:$A$65,$A552,'ИП + источники'!$M$17:$M$65,"Прибыль на капвложения")</f>
        <v>0</v>
      </c>
      <c r="Q552" s="415">
        <f>SUMIFS('ИП + источники'!R$17:R$65,'ИП + источники'!$A$17:$A$65,$A552,'ИП + источники'!$M$17:$M$65,"Прибыль на капвложения")</f>
        <v>0</v>
      </c>
      <c r="R552" s="416">
        <f t="shared" si="106"/>
        <v>0</v>
      </c>
      <c r="S552" s="415">
        <f>SUMIFS('ИП + источники'!T$17:T$65,'ИП + источники'!$A$17:$A$65,$A552,'ИП + источники'!$M$17:$M$65,"Прибыль на капвложения")</f>
        <v>0</v>
      </c>
      <c r="T552" s="415">
        <f>SUMIFS('ИП + источники'!U$17:U$65,'ИП + источники'!$A$17:$A$65,$A552,'ИП + источники'!$M$17:$M$65,"Прибыль на капвложения")</f>
        <v>0</v>
      </c>
      <c r="U552" s="415">
        <f>SUMIFS('ИП + источники'!V$17:V$65,'ИП + источники'!$A$17:$A$65,$A552,'ИП + источники'!$M$17:$M$65,"Прибыль на капвложения")</f>
        <v>0</v>
      </c>
      <c r="V552" s="415">
        <f>SUMIFS('ИП + источники'!W$17:W$65,'ИП + источники'!$A$17:$A$65,$A552,'ИП + источники'!$M$17:$M$65,"Прибыль на капвложения")</f>
        <v>0</v>
      </c>
      <c r="W552" s="415">
        <f>SUMIFS('ИП + источники'!X$17:X$65,'ИП + источники'!$A$17:$A$65,$A552,'ИП + источники'!$M$17:$M$65,"Прибыль на капвложения")</f>
        <v>0</v>
      </c>
      <c r="X552" s="415">
        <f>SUMIFS('ИП + источники'!Y$17:Y$65,'ИП + источники'!$A$17:$A$65,$A552,'ИП + источники'!$M$17:$M$65,"Прибыль на капвложения")</f>
        <v>0</v>
      </c>
      <c r="Y552" s="415">
        <f>SUMIFS('ИП + источники'!Z$17:Z$65,'ИП + источники'!$A$17:$A$65,$A552,'ИП + источники'!$M$17:$M$65,"Прибыль на капвложения")</f>
        <v>0</v>
      </c>
      <c r="Z552" s="415">
        <f>SUMIFS('ИП + источники'!AA$17:AA$65,'ИП + источники'!$A$17:$A$65,$A552,'ИП + источники'!$M$17:$M$65,"Прибыль на капвложения")</f>
        <v>0</v>
      </c>
      <c r="AA552" s="415">
        <f>SUMIFS('ИП + источники'!AB$17:AB$65,'ИП + источники'!$A$17:$A$65,$A552,'ИП + источники'!$M$17:$M$65,"Прибыль на капвложения")</f>
        <v>0</v>
      </c>
      <c r="AB552" s="415">
        <f>SUMIFS('ИП + источники'!AC$17:AC$65,'ИП + источники'!$A$17:$A$65,$A552,'ИП + источники'!$M$17:$M$65,"Прибыль на капвложения")</f>
        <v>0</v>
      </c>
      <c r="AC552" s="415">
        <f>SUMIFS('ИП + источники'!AD$17:AD$65,'ИП + источники'!$A$17:$A$65,$A552,'ИП + источники'!$M$17:$M$65,"Прибыль на капвложения")</f>
        <v>0</v>
      </c>
      <c r="AD552" s="415">
        <f>SUMIFS('ИП + источники'!AE$17:AE$65,'ИП + источники'!$A$17:$A$65,$A552,'ИП + источники'!$M$17:$M$65,"Прибыль на капвложения")</f>
        <v>0</v>
      </c>
      <c r="AE552" s="415">
        <f>SUMIFS('ИП + источники'!AF$17:AF$65,'ИП + источники'!$A$17:$A$65,$A552,'ИП + источники'!$M$17:$M$65,"Прибыль на капвложения")</f>
        <v>0</v>
      </c>
      <c r="AF552" s="415">
        <f>SUMIFS('ИП + источники'!AG$17:AG$65,'ИП + источники'!$A$17:$A$65,$A552,'ИП + источники'!$M$17:$M$65,"Прибыль на капвложения")</f>
        <v>0</v>
      </c>
      <c r="AG552" s="415">
        <f>SUMIFS('ИП + источники'!AH$17:AH$65,'ИП + источники'!$A$17:$A$65,$A552,'ИП + источники'!$M$17:$M$65,"Прибыль на капвложения")</f>
        <v>0</v>
      </c>
      <c r="AH552" s="415">
        <f>SUMIFS('ИП + источники'!AI$17:AI$65,'ИП + источники'!$A$17:$A$65,$A552,'ИП + источники'!$M$17:$M$65,"Прибыль на капвложения")</f>
        <v>0</v>
      </c>
      <c r="AI552" s="415">
        <f>SUMIFS('ИП + источники'!AJ$17:AJ$65,'ИП + источники'!$A$17:$A$65,$A552,'ИП + источники'!$M$17:$M$65,"Прибыль на капвложения")</f>
        <v>0</v>
      </c>
      <c r="AJ552" s="415">
        <f>SUMIFS('ИП + источники'!AK$17:AK$65,'ИП + источники'!$A$17:$A$65,$A552,'ИП + источники'!$M$17:$M$65,"Прибыль на капвложения")</f>
        <v>0</v>
      </c>
      <c r="AK552" s="415">
        <f>SUMIFS('ИП + источники'!AL$17:AL$65,'ИП + источники'!$A$17:$A$65,$A552,'ИП + источники'!$M$17:$M$65,"Прибыль на капвложения")</f>
        <v>0</v>
      </c>
      <c r="AL552" s="415">
        <f>SUMIFS('ИП + источники'!AM$17:AM$65,'ИП + источники'!$A$17:$A$65,$A552,'ИП + источники'!$M$17:$M$65,"Прибыль на капвложения")</f>
        <v>0</v>
      </c>
      <c r="AM552" s="415">
        <f>SUMIFS('ИП + источники'!AN$17:AN$65,'ИП + источники'!$A$17:$A$65,$A552,'ИП + источники'!$M$17:$M$65,"Прибыль на капвложения")</f>
        <v>0</v>
      </c>
      <c r="AN552" s="416">
        <f t="shared" si="92"/>
        <v>0</v>
      </c>
      <c r="AO552" s="416">
        <f t="shared" si="93"/>
        <v>0</v>
      </c>
      <c r="AP552" s="416">
        <f t="shared" si="94"/>
        <v>0</v>
      </c>
      <c r="AQ552" s="416">
        <f t="shared" si="95"/>
        <v>0</v>
      </c>
      <c r="AR552" s="416">
        <f t="shared" si="96"/>
        <v>0</v>
      </c>
      <c r="AS552" s="416">
        <f t="shared" si="97"/>
        <v>0</v>
      </c>
      <c r="AT552" s="416">
        <f t="shared" si="98"/>
        <v>0</v>
      </c>
      <c r="AU552" s="416">
        <f t="shared" si="99"/>
        <v>0</v>
      </c>
      <c r="AV552" s="416">
        <f t="shared" si="100"/>
        <v>0</v>
      </c>
      <c r="AW552" s="416">
        <f t="shared" si="101"/>
        <v>0</v>
      </c>
      <c r="AX552" s="194"/>
      <c r="AY552" s="194"/>
      <c r="AZ552" s="194"/>
    </row>
    <row r="553" spans="1:52" s="111" customFormat="1" ht="22.5" outlineLevel="1">
      <c r="A553" s="551" t="str">
        <f t="shared" si="105"/>
        <v>1</v>
      </c>
      <c r="B553" s="111" t="s">
        <v>1398</v>
      </c>
      <c r="L553" s="412" t="s">
        <v>397</v>
      </c>
      <c r="M553" s="413" t="s">
        <v>664</v>
      </c>
      <c r="N553" s="414" t="s">
        <v>370</v>
      </c>
      <c r="O553" s="415"/>
      <c r="P553" s="415"/>
      <c r="Q553" s="415"/>
      <c r="R553" s="416">
        <f t="shared" si="106"/>
        <v>0</v>
      </c>
      <c r="S553" s="415"/>
      <c r="T553" s="415"/>
      <c r="U553" s="415"/>
      <c r="V553" s="415"/>
      <c r="W553" s="415"/>
      <c r="X553" s="415"/>
      <c r="Y553" s="415"/>
      <c r="Z553" s="415"/>
      <c r="AA553" s="415"/>
      <c r="AB553" s="415"/>
      <c r="AC553" s="415"/>
      <c r="AD553" s="415"/>
      <c r="AE553" s="415"/>
      <c r="AF553" s="415"/>
      <c r="AG553" s="415"/>
      <c r="AH553" s="415"/>
      <c r="AI553" s="415"/>
      <c r="AJ553" s="415"/>
      <c r="AK553" s="415"/>
      <c r="AL553" s="415"/>
      <c r="AM553" s="415"/>
      <c r="AN553" s="416">
        <f t="shared" si="92"/>
        <v>0</v>
      </c>
      <c r="AO553" s="416">
        <f t="shared" si="93"/>
        <v>0</v>
      </c>
      <c r="AP553" s="416">
        <f t="shared" si="94"/>
        <v>0</v>
      </c>
      <c r="AQ553" s="416">
        <f t="shared" si="95"/>
        <v>0</v>
      </c>
      <c r="AR553" s="416">
        <f t="shared" si="96"/>
        <v>0</v>
      </c>
      <c r="AS553" s="416">
        <f t="shared" si="97"/>
        <v>0</v>
      </c>
      <c r="AT553" s="416">
        <f t="shared" si="98"/>
        <v>0</v>
      </c>
      <c r="AU553" s="416">
        <f t="shared" si="99"/>
        <v>0</v>
      </c>
      <c r="AV553" s="416">
        <f t="shared" si="100"/>
        <v>0</v>
      </c>
      <c r="AW553" s="416">
        <f t="shared" si="101"/>
        <v>0</v>
      </c>
      <c r="AX553" s="194"/>
      <c r="AY553" s="194"/>
      <c r="AZ553" s="194"/>
    </row>
    <row r="554" spans="1:52" s="111" customFormat="1" ht="22.5" outlineLevel="1">
      <c r="A554" s="551" t="str">
        <f t="shared" si="105"/>
        <v>1</v>
      </c>
      <c r="B554" s="111" t="s">
        <v>665</v>
      </c>
      <c r="L554" s="412" t="s">
        <v>124</v>
      </c>
      <c r="M554" s="330" t="s">
        <v>665</v>
      </c>
      <c r="N554" s="414" t="s">
        <v>370</v>
      </c>
      <c r="O554" s="415"/>
      <c r="P554" s="415"/>
      <c r="Q554" s="415"/>
      <c r="R554" s="416">
        <f t="shared" si="106"/>
        <v>0</v>
      </c>
      <c r="S554" s="415"/>
      <c r="T554" s="415"/>
      <c r="U554" s="415"/>
      <c r="V554" s="415"/>
      <c r="W554" s="415"/>
      <c r="X554" s="415"/>
      <c r="Y554" s="415"/>
      <c r="Z554" s="415"/>
      <c r="AA554" s="415"/>
      <c r="AB554" s="415"/>
      <c r="AC554" s="415"/>
      <c r="AD554" s="415"/>
      <c r="AE554" s="415"/>
      <c r="AF554" s="415"/>
      <c r="AG554" s="415"/>
      <c r="AH554" s="415"/>
      <c r="AI554" s="415"/>
      <c r="AJ554" s="415"/>
      <c r="AK554" s="415"/>
      <c r="AL554" s="415"/>
      <c r="AM554" s="415"/>
      <c r="AN554" s="416">
        <f t="shared" si="92"/>
        <v>0</v>
      </c>
      <c r="AO554" s="416">
        <f t="shared" si="93"/>
        <v>0</v>
      </c>
      <c r="AP554" s="416">
        <f t="shared" si="94"/>
        <v>0</v>
      </c>
      <c r="AQ554" s="416">
        <f t="shared" si="95"/>
        <v>0</v>
      </c>
      <c r="AR554" s="416">
        <f t="shared" si="96"/>
        <v>0</v>
      </c>
      <c r="AS554" s="416">
        <f t="shared" si="97"/>
        <v>0</v>
      </c>
      <c r="AT554" s="416">
        <f t="shared" si="98"/>
        <v>0</v>
      </c>
      <c r="AU554" s="416">
        <f t="shared" si="99"/>
        <v>0</v>
      </c>
      <c r="AV554" s="416">
        <f t="shared" si="100"/>
        <v>0</v>
      </c>
      <c r="AW554" s="416">
        <f t="shared" si="101"/>
        <v>0</v>
      </c>
      <c r="AX554" s="194"/>
      <c r="AY554" s="194"/>
      <c r="AZ554" s="194"/>
    </row>
    <row r="555" spans="1:52" s="111" customFormat="1" ht="33.75" outlineLevel="1">
      <c r="A555" s="551" t="str">
        <f t="shared" si="105"/>
        <v>1</v>
      </c>
      <c r="L555" s="412" t="s">
        <v>125</v>
      </c>
      <c r="M555" s="330" t="s">
        <v>666</v>
      </c>
      <c r="N555" s="414" t="s">
        <v>370</v>
      </c>
      <c r="O555" s="415"/>
      <c r="P555" s="415"/>
      <c r="Q555" s="415"/>
      <c r="R555" s="416">
        <f t="shared" ref="R555:R560" si="109">Q555-P555</f>
        <v>0</v>
      </c>
      <c r="S555" s="415"/>
      <c r="T555" s="415">
        <f>SUMIFS('Корректировка НВВ'!$P$15:$P$50,'Корректировка НВВ'!$A$15:$A$50,$A555,'Корректировка НВВ'!$L$15:$L$50,"III")</f>
        <v>0</v>
      </c>
      <c r="U555" s="415"/>
      <c r="V555" s="415"/>
      <c r="W555" s="415"/>
      <c r="X555" s="415"/>
      <c r="Y555" s="415"/>
      <c r="Z555" s="415"/>
      <c r="AA555" s="415"/>
      <c r="AB555" s="415"/>
      <c r="AC555" s="415"/>
      <c r="AD555" s="415">
        <f>SUMIFS('Корректировка НВВ'!$Q$15:$Q$50,'Корректировка НВВ'!$A$15:$A$50,$A555,'Корректировка НВВ'!$L$15:$L$50,"III")</f>
        <v>0</v>
      </c>
      <c r="AE555" s="415"/>
      <c r="AF555" s="415"/>
      <c r="AG555" s="415"/>
      <c r="AH555" s="415"/>
      <c r="AI555" s="415"/>
      <c r="AJ555" s="415"/>
      <c r="AK555" s="415"/>
      <c r="AL555" s="415"/>
      <c r="AM555" s="415"/>
      <c r="AN555" s="417"/>
      <c r="AO555" s="417"/>
      <c r="AP555" s="417"/>
      <c r="AQ555" s="417"/>
      <c r="AR555" s="417"/>
      <c r="AS555" s="417"/>
      <c r="AT555" s="417"/>
      <c r="AU555" s="417"/>
      <c r="AV555" s="417"/>
      <c r="AW555" s="417"/>
      <c r="AX555" s="194"/>
      <c r="AY555" s="194"/>
      <c r="AZ555" s="194"/>
    </row>
    <row r="556" spans="1:52" s="111" customFormat="1" ht="123.75" outlineLevel="1">
      <c r="A556" s="551" t="str">
        <f t="shared" si="105"/>
        <v>1</v>
      </c>
      <c r="L556" s="412" t="s">
        <v>126</v>
      </c>
      <c r="M556" s="330" t="s">
        <v>667</v>
      </c>
      <c r="N556" s="414" t="s">
        <v>370</v>
      </c>
      <c r="O556" s="415"/>
      <c r="P556" s="415"/>
      <c r="Q556" s="415"/>
      <c r="R556" s="416">
        <f t="shared" si="109"/>
        <v>0</v>
      </c>
      <c r="S556" s="415"/>
      <c r="T556" s="415">
        <f>SUMIFS('Корректировка НВВ'!$P$15:$P$50,'Корректировка НВВ'!$A$15:$A$50,$A556,'Корректировка НВВ'!$L$15:$L$50,"IV")</f>
        <v>0</v>
      </c>
      <c r="U556" s="415"/>
      <c r="V556" s="415"/>
      <c r="W556" s="415"/>
      <c r="X556" s="415"/>
      <c r="Y556" s="415"/>
      <c r="Z556" s="415"/>
      <c r="AA556" s="415"/>
      <c r="AB556" s="415"/>
      <c r="AC556" s="415"/>
      <c r="AD556" s="415">
        <f>SUMIFS('Корректировка НВВ'!$Q$15:$Q$50,'Корректировка НВВ'!$A$15:$A$50,$A556,'Корректировка НВВ'!$L$15:$L$50,"IV")</f>
        <v>0</v>
      </c>
      <c r="AE556" s="415"/>
      <c r="AF556" s="415"/>
      <c r="AG556" s="415"/>
      <c r="AH556" s="415"/>
      <c r="AI556" s="415"/>
      <c r="AJ556" s="415"/>
      <c r="AK556" s="415"/>
      <c r="AL556" s="415"/>
      <c r="AM556" s="415"/>
      <c r="AN556" s="417"/>
      <c r="AO556" s="417"/>
      <c r="AP556" s="417"/>
      <c r="AQ556" s="417"/>
      <c r="AR556" s="417"/>
      <c r="AS556" s="417"/>
      <c r="AT556" s="417"/>
      <c r="AU556" s="417"/>
      <c r="AV556" s="417"/>
      <c r="AW556" s="417"/>
      <c r="AX556" s="194"/>
      <c r="AY556" s="194"/>
      <c r="AZ556" s="194"/>
    </row>
    <row r="557" spans="1:52" s="111" customFormat="1" ht="45" outlineLevel="1">
      <c r="A557" s="551" t="str">
        <f t="shared" si="105"/>
        <v>1</v>
      </c>
      <c r="L557" s="412" t="s">
        <v>127</v>
      </c>
      <c r="M557" s="330" t="s">
        <v>1228</v>
      </c>
      <c r="N557" s="414" t="s">
        <v>370</v>
      </c>
      <c r="O557" s="415"/>
      <c r="P557" s="415"/>
      <c r="Q557" s="415"/>
      <c r="R557" s="416">
        <f t="shared" si="109"/>
        <v>0</v>
      </c>
      <c r="S557" s="415"/>
      <c r="T557" s="415">
        <f>SUMIFS('Корректировка НВВ'!$P$15:$P$50,'Корректировка НВВ'!$A$15:$A$50,$A557,'Корректировка НВВ'!$L$15:$L$50,"I")+SUMIFS('Корректировка НВВ'!$P$15:$P$50,'Корректировка НВВ'!$A$15:$A$50,$A557,'Корректировка НВВ'!$L$15:$L$50,"II")</f>
        <v>1356.5503990000034</v>
      </c>
      <c r="U557" s="415"/>
      <c r="V557" s="415"/>
      <c r="W557" s="415"/>
      <c r="X557" s="415"/>
      <c r="Y557" s="415"/>
      <c r="Z557" s="415"/>
      <c r="AA557" s="415"/>
      <c r="AB557" s="415"/>
      <c r="AC557" s="415"/>
      <c r="AD557" s="415">
        <f>SUMIFS('Корректировка НВВ'!$Q$15:$Q$50,'Корректировка НВВ'!$A$15:$A$50,$A557,'Корректировка НВВ'!$L$15:$L$50,"I")+SUMIFS('Корректировка НВВ'!$Q$15:$Q$50,'Корректировка НВВ'!$A$15:$A$50,$A557,'Корректировка НВВ'!$L$15:$L$50,"II")</f>
        <v>1356.5503990000034</v>
      </c>
      <c r="AE557" s="415"/>
      <c r="AF557" s="415"/>
      <c r="AG557" s="415"/>
      <c r="AH557" s="415"/>
      <c r="AI557" s="415"/>
      <c r="AJ557" s="415"/>
      <c r="AK557" s="415"/>
      <c r="AL557" s="415"/>
      <c r="AM557" s="415"/>
      <c r="AN557" s="417"/>
      <c r="AO557" s="417"/>
      <c r="AP557" s="417"/>
      <c r="AQ557" s="417"/>
      <c r="AR557" s="417"/>
      <c r="AS557" s="417"/>
      <c r="AT557" s="417"/>
      <c r="AU557" s="417"/>
      <c r="AV557" s="417"/>
      <c r="AW557" s="417"/>
      <c r="AX557" s="194"/>
      <c r="AY557" s="194"/>
      <c r="AZ557" s="194"/>
    </row>
    <row r="558" spans="1:52" s="111" customFormat="1" outlineLevel="1">
      <c r="A558" s="551" t="str">
        <f t="shared" si="105"/>
        <v>1</v>
      </c>
      <c r="L558" s="412" t="s">
        <v>128</v>
      </c>
      <c r="M558" s="437" t="s">
        <v>668</v>
      </c>
      <c r="N558" s="414" t="s">
        <v>370</v>
      </c>
      <c r="O558" s="415"/>
      <c r="P558" s="415"/>
      <c r="Q558" s="415"/>
      <c r="R558" s="416">
        <f t="shared" si="109"/>
        <v>0</v>
      </c>
      <c r="S558" s="415"/>
      <c r="T558" s="415"/>
      <c r="U558" s="415"/>
      <c r="V558" s="415"/>
      <c r="W558" s="415"/>
      <c r="X558" s="415"/>
      <c r="Y558" s="415"/>
      <c r="Z558" s="415"/>
      <c r="AA558" s="415"/>
      <c r="AB558" s="415"/>
      <c r="AC558" s="415"/>
      <c r="AD558" s="415"/>
      <c r="AE558" s="415"/>
      <c r="AF558" s="415"/>
      <c r="AG558" s="415"/>
      <c r="AH558" s="415"/>
      <c r="AI558" s="415"/>
      <c r="AJ558" s="415"/>
      <c r="AK558" s="415"/>
      <c r="AL558" s="415"/>
      <c r="AM558" s="415"/>
      <c r="AN558" s="417"/>
      <c r="AO558" s="417"/>
      <c r="AP558" s="417"/>
      <c r="AQ558" s="417"/>
      <c r="AR558" s="417"/>
      <c r="AS558" s="417"/>
      <c r="AT558" s="417"/>
      <c r="AU558" s="417"/>
      <c r="AV558" s="417"/>
      <c r="AW558" s="417"/>
      <c r="AX558" s="194"/>
      <c r="AY558" s="194"/>
      <c r="AZ558" s="194"/>
    </row>
    <row r="559" spans="1:52" s="111" customFormat="1" outlineLevel="1">
      <c r="A559" s="551" t="str">
        <f t="shared" si="105"/>
        <v>1</v>
      </c>
      <c r="L559" s="412" t="s">
        <v>1237</v>
      </c>
      <c r="M559" s="413" t="s">
        <v>1238</v>
      </c>
      <c r="N559" s="414" t="s">
        <v>145</v>
      </c>
      <c r="O559" s="428" t="e">
        <f>IF(O560=0,0,O558/O560*100)</f>
        <v>#N/A</v>
      </c>
      <c r="P559" s="428" t="e">
        <f>IF(P560=0,0,P558/P560*100)</f>
        <v>#N/A</v>
      </c>
      <c r="Q559" s="428" t="e">
        <f>IF(Q560=0,0,Q558/Q560*100)</f>
        <v>#N/A</v>
      </c>
      <c r="R559" s="416" t="e">
        <f t="shared" si="109"/>
        <v>#N/A</v>
      </c>
      <c r="S559" s="428" t="e">
        <f t="shared" ref="S559:AM559" si="110">IF(S560=0,0,S558/S560*100)</f>
        <v>#N/A</v>
      </c>
      <c r="T559" s="428" t="e">
        <f t="shared" si="110"/>
        <v>#N/A</v>
      </c>
      <c r="U559" s="428" t="e">
        <f t="shared" si="110"/>
        <v>#N/A</v>
      </c>
      <c r="V559" s="428" t="e">
        <f t="shared" si="110"/>
        <v>#N/A</v>
      </c>
      <c r="W559" s="428" t="e">
        <f t="shared" si="110"/>
        <v>#N/A</v>
      </c>
      <c r="X559" s="428" t="e">
        <f t="shared" si="110"/>
        <v>#N/A</v>
      </c>
      <c r="Y559" s="428" t="e">
        <f t="shared" si="110"/>
        <v>#N/A</v>
      </c>
      <c r="Z559" s="428" t="e">
        <f t="shared" si="110"/>
        <v>#N/A</v>
      </c>
      <c r="AA559" s="428" t="e">
        <f t="shared" si="110"/>
        <v>#N/A</v>
      </c>
      <c r="AB559" s="428" t="e">
        <f t="shared" si="110"/>
        <v>#N/A</v>
      </c>
      <c r="AC559" s="428" t="e">
        <f t="shared" si="110"/>
        <v>#N/A</v>
      </c>
      <c r="AD559" s="428" t="e">
        <f t="shared" si="110"/>
        <v>#N/A</v>
      </c>
      <c r="AE559" s="428" t="e">
        <f t="shared" si="110"/>
        <v>#N/A</v>
      </c>
      <c r="AF559" s="428" t="e">
        <f t="shared" si="110"/>
        <v>#N/A</v>
      </c>
      <c r="AG559" s="428" t="e">
        <f t="shared" si="110"/>
        <v>#N/A</v>
      </c>
      <c r="AH559" s="428" t="e">
        <f t="shared" si="110"/>
        <v>#N/A</v>
      </c>
      <c r="AI559" s="428" t="e">
        <f t="shared" si="110"/>
        <v>#N/A</v>
      </c>
      <c r="AJ559" s="428" t="e">
        <f t="shared" si="110"/>
        <v>#N/A</v>
      </c>
      <c r="AK559" s="428" t="e">
        <f t="shared" si="110"/>
        <v>#N/A</v>
      </c>
      <c r="AL559" s="428" t="e">
        <f t="shared" si="110"/>
        <v>#N/A</v>
      </c>
      <c r="AM559" s="428" t="e">
        <f t="shared" si="110"/>
        <v>#N/A</v>
      </c>
      <c r="AN559" s="417"/>
      <c r="AO559" s="417"/>
      <c r="AP559" s="417"/>
      <c r="AQ559" s="417"/>
      <c r="AR559" s="417"/>
      <c r="AS559" s="417"/>
      <c r="AT559" s="417"/>
      <c r="AU559" s="417"/>
      <c r="AV559" s="417"/>
      <c r="AW559" s="417"/>
      <c r="AX559" s="194"/>
      <c r="AY559" s="194"/>
      <c r="AZ559" s="194"/>
    </row>
    <row r="560" spans="1:52" s="116" customFormat="1" outlineLevel="1">
      <c r="A560" s="551" t="str">
        <f t="shared" si="105"/>
        <v>1</v>
      </c>
      <c r="L560" s="432" t="s">
        <v>129</v>
      </c>
      <c r="M560" s="435" t="s">
        <v>669</v>
      </c>
      <c r="N560" s="409" t="s">
        <v>370</v>
      </c>
      <c r="O560" s="411" t="e">
        <f>O462+O512+O546+O547+O549+O554+O555-O556+O557+O558</f>
        <v>#N/A</v>
      </c>
      <c r="P560" s="411" t="e">
        <f>P462+P512+P546+P547+P549+P554+P555-P556+P557+P558</f>
        <v>#N/A</v>
      </c>
      <c r="Q560" s="411" t="e">
        <f>Q462+Q512+Q546+Q547+Q549+Q554+Q555-Q556+Q557+Q558</f>
        <v>#N/A</v>
      </c>
      <c r="R560" s="410" t="e">
        <f t="shared" si="109"/>
        <v>#N/A</v>
      </c>
      <c r="S560" s="411" t="e">
        <f t="shared" ref="S560:AM560" si="111">S462+S512+S546+S547+S549+S554+S555-S556+S557+S558</f>
        <v>#N/A</v>
      </c>
      <c r="T560" s="411" t="e">
        <f t="shared" si="111"/>
        <v>#N/A</v>
      </c>
      <c r="U560" s="411" t="e">
        <f t="shared" si="111"/>
        <v>#N/A</v>
      </c>
      <c r="V560" s="411" t="e">
        <f t="shared" si="111"/>
        <v>#N/A</v>
      </c>
      <c r="W560" s="411" t="e">
        <f t="shared" si="111"/>
        <v>#N/A</v>
      </c>
      <c r="X560" s="411" t="e">
        <f t="shared" si="111"/>
        <v>#N/A</v>
      </c>
      <c r="Y560" s="411" t="e">
        <f t="shared" si="111"/>
        <v>#N/A</v>
      </c>
      <c r="Z560" s="411" t="e">
        <f t="shared" si="111"/>
        <v>#N/A</v>
      </c>
      <c r="AA560" s="411" t="e">
        <f t="shared" si="111"/>
        <v>#N/A</v>
      </c>
      <c r="AB560" s="411" t="e">
        <f t="shared" si="111"/>
        <v>#N/A</v>
      </c>
      <c r="AC560" s="411" t="e">
        <f t="shared" si="111"/>
        <v>#N/A</v>
      </c>
      <c r="AD560" s="411" t="e">
        <f t="shared" si="111"/>
        <v>#N/A</v>
      </c>
      <c r="AE560" s="411" t="e">
        <f t="shared" si="111"/>
        <v>#N/A</v>
      </c>
      <c r="AF560" s="411" t="e">
        <f t="shared" si="111"/>
        <v>#N/A</v>
      </c>
      <c r="AG560" s="411" t="e">
        <f t="shared" si="111"/>
        <v>#N/A</v>
      </c>
      <c r="AH560" s="411" t="e">
        <f t="shared" si="111"/>
        <v>#N/A</v>
      </c>
      <c r="AI560" s="411" t="e">
        <f t="shared" si="111"/>
        <v>#N/A</v>
      </c>
      <c r="AJ560" s="411" t="e">
        <f t="shared" si="111"/>
        <v>#N/A</v>
      </c>
      <c r="AK560" s="411" t="e">
        <f t="shared" si="111"/>
        <v>#N/A</v>
      </c>
      <c r="AL560" s="411" t="e">
        <f t="shared" si="111"/>
        <v>#N/A</v>
      </c>
      <c r="AM560" s="411" t="e">
        <f t="shared" si="111"/>
        <v>#N/A</v>
      </c>
      <c r="AN560" s="410" t="e">
        <f>IF(S560=0,0,(AD560-S560)/S560*100)</f>
        <v>#N/A</v>
      </c>
      <c r="AO560" s="410" t="e">
        <f t="shared" ref="AO560:AW560" si="112">IF(AD560=0,0,(AE560-AD560)/AD560*100)</f>
        <v>#N/A</v>
      </c>
      <c r="AP560" s="410" t="e">
        <f t="shared" si="112"/>
        <v>#N/A</v>
      </c>
      <c r="AQ560" s="410" t="e">
        <f t="shared" si="112"/>
        <v>#N/A</v>
      </c>
      <c r="AR560" s="410" t="e">
        <f t="shared" si="112"/>
        <v>#N/A</v>
      </c>
      <c r="AS560" s="410" t="e">
        <f t="shared" si="112"/>
        <v>#N/A</v>
      </c>
      <c r="AT560" s="410" t="e">
        <f t="shared" si="112"/>
        <v>#N/A</v>
      </c>
      <c r="AU560" s="410" t="e">
        <f t="shared" si="112"/>
        <v>#N/A</v>
      </c>
      <c r="AV560" s="410" t="e">
        <f t="shared" si="112"/>
        <v>#N/A</v>
      </c>
      <c r="AW560" s="410" t="e">
        <f t="shared" si="112"/>
        <v>#N/A</v>
      </c>
      <c r="AX560" s="194"/>
      <c r="AY560" s="194"/>
      <c r="AZ560" s="194"/>
    </row>
    <row r="561" spans="1:52" s="111" customFormat="1" ht="90" outlineLevel="1">
      <c r="A561" s="551" t="str">
        <f t="shared" si="105"/>
        <v>1</v>
      </c>
      <c r="L561" s="412" t="s">
        <v>130</v>
      </c>
      <c r="M561" s="437" t="s">
        <v>1183</v>
      </c>
      <c r="N561" s="419" t="s">
        <v>370</v>
      </c>
      <c r="O561" s="415"/>
      <c r="P561" s="415"/>
      <c r="Q561" s="415"/>
      <c r="R561" s="416">
        <f t="shared" si="106"/>
        <v>0</v>
      </c>
      <c r="S561" s="415"/>
      <c r="T561" s="415"/>
      <c r="U561" s="415"/>
      <c r="V561" s="415"/>
      <c r="W561" s="415"/>
      <c r="X561" s="415"/>
      <c r="Y561" s="415"/>
      <c r="Z561" s="415"/>
      <c r="AA561" s="415"/>
      <c r="AB561" s="415"/>
      <c r="AC561" s="415"/>
      <c r="AD561" s="415">
        <f>IFERROR(SUMIFS('Плата за негативное возд'!$V$14:$V$15,'Плата за негативное возд'!$A$14:$A$15,A561,'Плата за негативное возд'!$L$14:$L$15,"1"),0)</f>
        <v>0</v>
      </c>
      <c r="AE561" s="415"/>
      <c r="AF561" s="415"/>
      <c r="AG561" s="415"/>
      <c r="AH561" s="415"/>
      <c r="AI561" s="415"/>
      <c r="AJ561" s="415"/>
      <c r="AK561" s="415"/>
      <c r="AL561" s="415"/>
      <c r="AM561" s="415"/>
      <c r="AN561" s="417"/>
      <c r="AO561" s="417"/>
      <c r="AP561" s="417"/>
      <c r="AQ561" s="417"/>
      <c r="AR561" s="417"/>
      <c r="AS561" s="417"/>
      <c r="AT561" s="417"/>
      <c r="AU561" s="417"/>
      <c r="AV561" s="417"/>
      <c r="AW561" s="417"/>
      <c r="AX561" s="194"/>
      <c r="AY561" s="194"/>
      <c r="AZ561" s="194"/>
    </row>
    <row r="562" spans="1:52" s="111" customFormat="1" ht="67.5" outlineLevel="1">
      <c r="A562" s="551" t="str">
        <f t="shared" si="105"/>
        <v>1</v>
      </c>
      <c r="L562" s="412" t="s">
        <v>131</v>
      </c>
      <c r="M562" s="437" t="s">
        <v>670</v>
      </c>
      <c r="N562" s="419" t="s">
        <v>370</v>
      </c>
      <c r="O562" s="415"/>
      <c r="P562" s="415"/>
      <c r="Q562" s="415"/>
      <c r="R562" s="416">
        <f t="shared" si="106"/>
        <v>0</v>
      </c>
      <c r="S562" s="415"/>
      <c r="T562" s="415"/>
      <c r="U562" s="415"/>
      <c r="V562" s="415"/>
      <c r="W562" s="415"/>
      <c r="X562" s="415"/>
      <c r="Y562" s="415"/>
      <c r="Z562" s="415"/>
      <c r="AA562" s="415"/>
      <c r="AB562" s="415"/>
      <c r="AC562" s="415"/>
      <c r="AD562" s="415">
        <f>IFERROR(SUMIFS('Плата за негативное возд'!$V$14:$V$15,'Плата за негативное возд'!$A$14:$A$15,A562,'Плата за негативное возд'!$L$14:$L$15,"2"),0)</f>
        <v>0</v>
      </c>
      <c r="AE562" s="415"/>
      <c r="AF562" s="415"/>
      <c r="AG562" s="415"/>
      <c r="AH562" s="415"/>
      <c r="AI562" s="415"/>
      <c r="AJ562" s="415"/>
      <c r="AK562" s="415"/>
      <c r="AL562" s="415"/>
      <c r="AM562" s="415"/>
      <c r="AN562" s="417"/>
      <c r="AO562" s="417"/>
      <c r="AP562" s="417"/>
      <c r="AQ562" s="417"/>
      <c r="AR562" s="417"/>
      <c r="AS562" s="417"/>
      <c r="AT562" s="417"/>
      <c r="AU562" s="417"/>
      <c r="AV562" s="417"/>
      <c r="AW562" s="417"/>
      <c r="AX562" s="194"/>
      <c r="AY562" s="194"/>
      <c r="AZ562" s="194"/>
    </row>
    <row r="563" spans="1:52" s="111" customFormat="1" outlineLevel="1">
      <c r="A563" s="551" t="str">
        <f t="shared" si="105"/>
        <v>1</v>
      </c>
      <c r="L563" s="412" t="s">
        <v>132</v>
      </c>
      <c r="M563" s="437" t="s">
        <v>671</v>
      </c>
      <c r="N563" s="414" t="s">
        <v>370</v>
      </c>
      <c r="O563" s="415"/>
      <c r="P563" s="415"/>
      <c r="Q563" s="415"/>
      <c r="R563" s="416">
        <f t="shared" si="106"/>
        <v>0</v>
      </c>
      <c r="S563" s="415"/>
      <c r="T563" s="415"/>
      <c r="U563" s="415"/>
      <c r="V563" s="415"/>
      <c r="W563" s="415"/>
      <c r="X563" s="415"/>
      <c r="Y563" s="415"/>
      <c r="Z563" s="415"/>
      <c r="AA563" s="415"/>
      <c r="AB563" s="415"/>
      <c r="AC563" s="415"/>
      <c r="AD563" s="415"/>
      <c r="AE563" s="415"/>
      <c r="AF563" s="415"/>
      <c r="AG563" s="415"/>
      <c r="AH563" s="415"/>
      <c r="AI563" s="415"/>
      <c r="AJ563" s="415"/>
      <c r="AK563" s="415"/>
      <c r="AL563" s="415"/>
      <c r="AM563" s="415"/>
      <c r="AN563" s="417"/>
      <c r="AO563" s="417"/>
      <c r="AP563" s="417"/>
      <c r="AQ563" s="417"/>
      <c r="AR563" s="417"/>
      <c r="AS563" s="417"/>
      <c r="AT563" s="417"/>
      <c r="AU563" s="417"/>
      <c r="AV563" s="417"/>
      <c r="AW563" s="417"/>
      <c r="AX563" s="194"/>
      <c r="AY563" s="194"/>
      <c r="AZ563" s="194"/>
    </row>
    <row r="564" spans="1:52" s="116" customFormat="1" ht="22.5" outlineLevel="1">
      <c r="A564" s="551" t="str">
        <f t="shared" si="105"/>
        <v>1</v>
      </c>
      <c r="L564" s="432" t="s">
        <v>133</v>
      </c>
      <c r="M564" s="435" t="s">
        <v>672</v>
      </c>
      <c r="N564" s="433" t="s">
        <v>370</v>
      </c>
      <c r="O564" s="438">
        <f>O565+O566</f>
        <v>0</v>
      </c>
      <c r="P564" s="438">
        <f>P565+P566</f>
        <v>0</v>
      </c>
      <c r="Q564" s="438">
        <f>Q565+Q566</f>
        <v>0</v>
      </c>
      <c r="R564" s="410">
        <f>Q564-P564</f>
        <v>0</v>
      </c>
      <c r="S564" s="438">
        <f t="shared" ref="S564:AM564" si="113">S565+S566</f>
        <v>0</v>
      </c>
      <c r="T564" s="438">
        <f t="shared" si="113"/>
        <v>0</v>
      </c>
      <c r="U564" s="438">
        <f t="shared" si="113"/>
        <v>0</v>
      </c>
      <c r="V564" s="438">
        <f t="shared" si="113"/>
        <v>0</v>
      </c>
      <c r="W564" s="438">
        <f t="shared" si="113"/>
        <v>0</v>
      </c>
      <c r="X564" s="438">
        <f t="shared" si="113"/>
        <v>0</v>
      </c>
      <c r="Y564" s="438">
        <f t="shared" si="113"/>
        <v>0</v>
      </c>
      <c r="Z564" s="438">
        <f t="shared" si="113"/>
        <v>0</v>
      </c>
      <c r="AA564" s="438">
        <f t="shared" si="113"/>
        <v>0</v>
      </c>
      <c r="AB564" s="438">
        <f t="shared" si="113"/>
        <v>0</v>
      </c>
      <c r="AC564" s="438">
        <f t="shared" si="113"/>
        <v>0</v>
      </c>
      <c r="AD564" s="438">
        <f t="shared" si="113"/>
        <v>0</v>
      </c>
      <c r="AE564" s="438">
        <f t="shared" si="113"/>
        <v>0</v>
      </c>
      <c r="AF564" s="438">
        <f t="shared" si="113"/>
        <v>0</v>
      </c>
      <c r="AG564" s="438">
        <f t="shared" si="113"/>
        <v>0</v>
      </c>
      <c r="AH564" s="438">
        <f t="shared" si="113"/>
        <v>0</v>
      </c>
      <c r="AI564" s="438">
        <f t="shared" si="113"/>
        <v>0</v>
      </c>
      <c r="AJ564" s="438">
        <f t="shared" si="113"/>
        <v>0</v>
      </c>
      <c r="AK564" s="438">
        <f t="shared" si="113"/>
        <v>0</v>
      </c>
      <c r="AL564" s="438">
        <f t="shared" si="113"/>
        <v>0</v>
      </c>
      <c r="AM564" s="438">
        <f t="shared" si="113"/>
        <v>0</v>
      </c>
      <c r="AN564" s="410">
        <f>IF(S564=0,0,(AD564-S564)/S564*100)</f>
        <v>0</v>
      </c>
      <c r="AO564" s="410">
        <f t="shared" ref="AO564:AW564" si="114">IF(AD564=0,0,(AE564-AD564)/AD564*100)</f>
        <v>0</v>
      </c>
      <c r="AP564" s="410">
        <f t="shared" si="114"/>
        <v>0</v>
      </c>
      <c r="AQ564" s="410">
        <f t="shared" si="114"/>
        <v>0</v>
      </c>
      <c r="AR564" s="410">
        <f t="shared" si="114"/>
        <v>0</v>
      </c>
      <c r="AS564" s="410">
        <f t="shared" si="114"/>
        <v>0</v>
      </c>
      <c r="AT564" s="410">
        <f t="shared" si="114"/>
        <v>0</v>
      </c>
      <c r="AU564" s="410">
        <f t="shared" si="114"/>
        <v>0</v>
      </c>
      <c r="AV564" s="410">
        <f t="shared" si="114"/>
        <v>0</v>
      </c>
      <c r="AW564" s="410">
        <f t="shared" si="114"/>
        <v>0</v>
      </c>
      <c r="AX564" s="194"/>
      <c r="AY564" s="194"/>
      <c r="AZ564" s="194"/>
    </row>
    <row r="565" spans="1:52" s="111" customFormat="1" ht="22.5" outlineLevel="1">
      <c r="A565" s="551" t="str">
        <f t="shared" si="105"/>
        <v>1</v>
      </c>
      <c r="L565" s="412" t="s">
        <v>200</v>
      </c>
      <c r="M565" s="439" t="s">
        <v>673</v>
      </c>
      <c r="N565" s="414" t="s">
        <v>370</v>
      </c>
      <c r="O565" s="415"/>
      <c r="P565" s="415"/>
      <c r="Q565" s="415"/>
      <c r="R565" s="416">
        <f t="shared" si="106"/>
        <v>0</v>
      </c>
      <c r="S565" s="415"/>
      <c r="T565" s="415"/>
      <c r="U565" s="415"/>
      <c r="V565" s="415"/>
      <c r="W565" s="415"/>
      <c r="X565" s="415"/>
      <c r="Y565" s="415"/>
      <c r="Z565" s="415"/>
      <c r="AA565" s="415"/>
      <c r="AB565" s="415"/>
      <c r="AC565" s="415"/>
      <c r="AD565" s="415"/>
      <c r="AE565" s="415"/>
      <c r="AF565" s="415"/>
      <c r="AG565" s="415"/>
      <c r="AH565" s="415"/>
      <c r="AI565" s="415"/>
      <c r="AJ565" s="415"/>
      <c r="AK565" s="415"/>
      <c r="AL565" s="415"/>
      <c r="AM565" s="415"/>
      <c r="AN565" s="417"/>
      <c r="AO565" s="417"/>
      <c r="AP565" s="417"/>
      <c r="AQ565" s="417"/>
      <c r="AR565" s="417"/>
      <c r="AS565" s="417"/>
      <c r="AT565" s="417"/>
      <c r="AU565" s="417"/>
      <c r="AV565" s="417"/>
      <c r="AW565" s="417"/>
      <c r="AX565" s="194"/>
      <c r="AY565" s="194"/>
      <c r="AZ565" s="194"/>
    </row>
    <row r="566" spans="1:52" s="111" customFormat="1" ht="22.5" outlineLevel="1">
      <c r="A566" s="551" t="str">
        <f t="shared" si="105"/>
        <v>1</v>
      </c>
      <c r="L566" s="412" t="s">
        <v>201</v>
      </c>
      <c r="M566" s="430" t="s">
        <v>674</v>
      </c>
      <c r="N566" s="414" t="s">
        <v>370</v>
      </c>
      <c r="O566" s="415"/>
      <c r="P566" s="415"/>
      <c r="Q566" s="415"/>
      <c r="R566" s="416">
        <f t="shared" si="106"/>
        <v>0</v>
      </c>
      <c r="S566" s="415"/>
      <c r="T566" s="415"/>
      <c r="U566" s="415"/>
      <c r="V566" s="415"/>
      <c r="W566" s="415"/>
      <c r="X566" s="415"/>
      <c r="Y566" s="415"/>
      <c r="Z566" s="415"/>
      <c r="AA566" s="415"/>
      <c r="AB566" s="415"/>
      <c r="AC566" s="415"/>
      <c r="AD566" s="415"/>
      <c r="AE566" s="415"/>
      <c r="AF566" s="415"/>
      <c r="AG566" s="415"/>
      <c r="AH566" s="415"/>
      <c r="AI566" s="415"/>
      <c r="AJ566" s="415"/>
      <c r="AK566" s="415"/>
      <c r="AL566" s="415"/>
      <c r="AM566" s="415"/>
      <c r="AN566" s="417"/>
      <c r="AO566" s="417"/>
      <c r="AP566" s="417"/>
      <c r="AQ566" s="417"/>
      <c r="AR566" s="417"/>
      <c r="AS566" s="417"/>
      <c r="AT566" s="417"/>
      <c r="AU566" s="417"/>
      <c r="AV566" s="417"/>
      <c r="AW566" s="417"/>
      <c r="AX566" s="194"/>
      <c r="AY566" s="194"/>
      <c r="AZ566" s="194"/>
    </row>
    <row r="567" spans="1:52" s="111" customFormat="1" ht="22.5" outlineLevel="1">
      <c r="A567" s="551" t="str">
        <f t="shared" si="105"/>
        <v>1</v>
      </c>
      <c r="L567" s="440" t="s">
        <v>134</v>
      </c>
      <c r="M567" s="441" t="s">
        <v>675</v>
      </c>
      <c r="N567" s="414" t="s">
        <v>370</v>
      </c>
      <c r="O567" s="415"/>
      <c r="P567" s="415"/>
      <c r="Q567" s="415"/>
      <c r="R567" s="416">
        <f t="shared" si="106"/>
        <v>0</v>
      </c>
      <c r="S567" s="415"/>
      <c r="T567" s="415"/>
      <c r="U567" s="415"/>
      <c r="V567" s="415"/>
      <c r="W567" s="415"/>
      <c r="X567" s="415"/>
      <c r="Y567" s="415"/>
      <c r="Z567" s="415"/>
      <c r="AA567" s="415"/>
      <c r="AB567" s="415"/>
      <c r="AC567" s="415"/>
      <c r="AD567" s="415"/>
      <c r="AE567" s="415"/>
      <c r="AF567" s="415"/>
      <c r="AG567" s="415"/>
      <c r="AH567" s="415"/>
      <c r="AI567" s="415"/>
      <c r="AJ567" s="415"/>
      <c r="AK567" s="415"/>
      <c r="AL567" s="415"/>
      <c r="AM567" s="415"/>
      <c r="AN567" s="417"/>
      <c r="AO567" s="417"/>
      <c r="AP567" s="417"/>
      <c r="AQ567" s="417"/>
      <c r="AR567" s="417"/>
      <c r="AS567" s="417"/>
      <c r="AT567" s="417"/>
      <c r="AU567" s="417"/>
      <c r="AV567" s="417"/>
      <c r="AW567" s="417"/>
      <c r="AX567" s="194"/>
      <c r="AY567" s="194"/>
      <c r="AZ567" s="194"/>
    </row>
    <row r="568" spans="1:52" s="111" customFormat="1" outlineLevel="1">
      <c r="A568" s="551" t="str">
        <f t="shared" si="105"/>
        <v>1</v>
      </c>
      <c r="L568" s="440" t="s">
        <v>135</v>
      </c>
      <c r="M568" s="441" t="s">
        <v>676</v>
      </c>
      <c r="N568" s="414" t="s">
        <v>370</v>
      </c>
      <c r="O568" s="415"/>
      <c r="P568" s="415"/>
      <c r="Q568" s="415"/>
      <c r="R568" s="416">
        <f t="shared" si="106"/>
        <v>0</v>
      </c>
      <c r="S568" s="415"/>
      <c r="T568" s="415"/>
      <c r="U568" s="415"/>
      <c r="V568" s="415"/>
      <c r="W568" s="415"/>
      <c r="X568" s="415"/>
      <c r="Y568" s="415"/>
      <c r="Z568" s="415"/>
      <c r="AA568" s="415"/>
      <c r="AB568" s="415"/>
      <c r="AC568" s="415"/>
      <c r="AD568" s="415"/>
      <c r="AE568" s="415"/>
      <c r="AF568" s="415"/>
      <c r="AG568" s="415"/>
      <c r="AH568" s="415"/>
      <c r="AI568" s="415"/>
      <c r="AJ568" s="415"/>
      <c r="AK568" s="415"/>
      <c r="AL568" s="415"/>
      <c r="AM568" s="415"/>
      <c r="AN568" s="417"/>
      <c r="AO568" s="417"/>
      <c r="AP568" s="417"/>
      <c r="AQ568" s="417"/>
      <c r="AR568" s="417"/>
      <c r="AS568" s="417"/>
      <c r="AT568" s="417"/>
      <c r="AU568" s="417"/>
      <c r="AV568" s="417"/>
      <c r="AW568" s="417"/>
      <c r="AX568" s="194"/>
      <c r="AY568" s="194"/>
      <c r="AZ568" s="194"/>
    </row>
    <row r="569" spans="1:52" s="116" customFormat="1" outlineLevel="1">
      <c r="A569" s="551" t="str">
        <f t="shared" si="105"/>
        <v>1</v>
      </c>
      <c r="L569" s="432" t="s">
        <v>138</v>
      </c>
      <c r="M569" s="435" t="s">
        <v>677</v>
      </c>
      <c r="N569" s="433" t="s">
        <v>370</v>
      </c>
      <c r="O569" s="411" t="e">
        <f>O560-O561-O562+O563-O564+O567+O568</f>
        <v>#N/A</v>
      </c>
      <c r="P569" s="411" t="e">
        <f t="shared" ref="P569:AM569" si="115">P560-P561-P562+P563-P564+P567+P568</f>
        <v>#N/A</v>
      </c>
      <c r="Q569" s="411" t="e">
        <f t="shared" si="115"/>
        <v>#N/A</v>
      </c>
      <c r="R569" s="411" t="e">
        <f t="shared" si="115"/>
        <v>#N/A</v>
      </c>
      <c r="S569" s="411" t="e">
        <f t="shared" si="115"/>
        <v>#N/A</v>
      </c>
      <c r="T569" s="411" t="e">
        <f t="shared" si="115"/>
        <v>#N/A</v>
      </c>
      <c r="U569" s="411" t="e">
        <f t="shared" si="115"/>
        <v>#N/A</v>
      </c>
      <c r="V569" s="411" t="e">
        <f t="shared" si="115"/>
        <v>#N/A</v>
      </c>
      <c r="W569" s="411" t="e">
        <f t="shared" si="115"/>
        <v>#N/A</v>
      </c>
      <c r="X569" s="411" t="e">
        <f t="shared" si="115"/>
        <v>#N/A</v>
      </c>
      <c r="Y569" s="411" t="e">
        <f t="shared" si="115"/>
        <v>#N/A</v>
      </c>
      <c r="Z569" s="411" t="e">
        <f t="shared" si="115"/>
        <v>#N/A</v>
      </c>
      <c r="AA569" s="411" t="e">
        <f t="shared" si="115"/>
        <v>#N/A</v>
      </c>
      <c r="AB569" s="411" t="e">
        <f t="shared" si="115"/>
        <v>#N/A</v>
      </c>
      <c r="AC569" s="411" t="e">
        <f t="shared" si="115"/>
        <v>#N/A</v>
      </c>
      <c r="AD569" s="411" t="e">
        <f t="shared" si="115"/>
        <v>#N/A</v>
      </c>
      <c r="AE569" s="411" t="e">
        <f t="shared" si="115"/>
        <v>#N/A</v>
      </c>
      <c r="AF569" s="411" t="e">
        <f t="shared" si="115"/>
        <v>#N/A</v>
      </c>
      <c r="AG569" s="411" t="e">
        <f t="shared" si="115"/>
        <v>#N/A</v>
      </c>
      <c r="AH569" s="411" t="e">
        <f t="shared" si="115"/>
        <v>#N/A</v>
      </c>
      <c r="AI569" s="411" t="e">
        <f t="shared" si="115"/>
        <v>#N/A</v>
      </c>
      <c r="AJ569" s="411" t="e">
        <f t="shared" si="115"/>
        <v>#N/A</v>
      </c>
      <c r="AK569" s="411" t="e">
        <f t="shared" si="115"/>
        <v>#N/A</v>
      </c>
      <c r="AL569" s="411" t="e">
        <f t="shared" si="115"/>
        <v>#N/A</v>
      </c>
      <c r="AM569" s="411" t="e">
        <f t="shared" si="115"/>
        <v>#N/A</v>
      </c>
      <c r="AN569" s="410" t="e">
        <f>IF(S569=0,0,(AD569-S569)/S569*100)</f>
        <v>#N/A</v>
      </c>
      <c r="AO569" s="410" t="e">
        <f t="shared" ref="AO569:AW569" si="116">IF(AD569=0,0,(AE569-AD569)/AD569*100)</f>
        <v>#N/A</v>
      </c>
      <c r="AP569" s="410" t="e">
        <f t="shared" si="116"/>
        <v>#N/A</v>
      </c>
      <c r="AQ569" s="410" t="e">
        <f t="shared" si="116"/>
        <v>#N/A</v>
      </c>
      <c r="AR569" s="410" t="e">
        <f t="shared" si="116"/>
        <v>#N/A</v>
      </c>
      <c r="AS569" s="410" t="e">
        <f t="shared" si="116"/>
        <v>#N/A</v>
      </c>
      <c r="AT569" s="410" t="e">
        <f t="shared" si="116"/>
        <v>#N/A</v>
      </c>
      <c r="AU569" s="410" t="e">
        <f t="shared" si="116"/>
        <v>#N/A</v>
      </c>
      <c r="AV569" s="410" t="e">
        <f t="shared" si="116"/>
        <v>#N/A</v>
      </c>
      <c r="AW569" s="410" t="e">
        <f t="shared" si="116"/>
        <v>#N/A</v>
      </c>
      <c r="AX569" s="194"/>
      <c r="AY569" s="194"/>
      <c r="AZ569" s="194"/>
    </row>
    <row r="570" spans="1:52" s="111" customFormat="1" ht="15" outlineLevel="1">
      <c r="A570" s="551" t="str">
        <f t="shared" si="105"/>
        <v>1</v>
      </c>
      <c r="C570" s="588" t="b">
        <f>B461="двухставочный"</f>
        <v>0</v>
      </c>
      <c r="L570" s="440" t="s">
        <v>1240</v>
      </c>
      <c r="M570" s="430" t="s">
        <v>1336</v>
      </c>
      <c r="N570" s="414" t="s">
        <v>370</v>
      </c>
      <c r="O570" s="415"/>
      <c r="P570" s="415"/>
      <c r="Q570" s="415"/>
      <c r="R570" s="416">
        <f>Q570-P570</f>
        <v>0</v>
      </c>
      <c r="S570" s="415"/>
      <c r="T570" s="415"/>
      <c r="U570" s="415"/>
      <c r="V570" s="415"/>
      <c r="W570" s="415"/>
      <c r="X570" s="415"/>
      <c r="Y570" s="415"/>
      <c r="Z570" s="415"/>
      <c r="AA570" s="415"/>
      <c r="AB570" s="415"/>
      <c r="AC570" s="415"/>
      <c r="AD570" s="415"/>
      <c r="AE570" s="415"/>
      <c r="AF570" s="415"/>
      <c r="AG570" s="415"/>
      <c r="AH570" s="415"/>
      <c r="AI570" s="415"/>
      <c r="AJ570" s="415"/>
      <c r="AK570" s="415"/>
      <c r="AL570" s="415"/>
      <c r="AM570" s="415"/>
      <c r="AN570" s="417"/>
      <c r="AO570" s="417"/>
      <c r="AP570" s="417"/>
      <c r="AQ570" s="417"/>
      <c r="AR570" s="417"/>
      <c r="AS570" s="417"/>
      <c r="AT570" s="417"/>
      <c r="AU570" s="417"/>
      <c r="AV570" s="417"/>
      <c r="AW570" s="417"/>
      <c r="AX570" s="194"/>
      <c r="AY570" s="194"/>
      <c r="AZ570" s="194"/>
    </row>
    <row r="571" spans="1:52" s="111" customFormat="1" ht="15" outlineLevel="1">
      <c r="A571" s="551" t="str">
        <f t="shared" si="105"/>
        <v>1</v>
      </c>
      <c r="C571" s="588" t="b">
        <f>B461="двухставочный"</f>
        <v>0</v>
      </c>
      <c r="L571" s="440" t="s">
        <v>1241</v>
      </c>
      <c r="M571" s="430" t="s">
        <v>1337</v>
      </c>
      <c r="N571" s="414" t="s">
        <v>370</v>
      </c>
      <c r="O571" s="415"/>
      <c r="P571" s="415"/>
      <c r="Q571" s="415"/>
      <c r="R571" s="416">
        <f>Q571-P571</f>
        <v>0</v>
      </c>
      <c r="S571" s="415"/>
      <c r="T571" s="415"/>
      <c r="U571" s="415"/>
      <c r="V571" s="415"/>
      <c r="W571" s="415"/>
      <c r="X571" s="415"/>
      <c r="Y571" s="415"/>
      <c r="Z571" s="415"/>
      <c r="AA571" s="415"/>
      <c r="AB571" s="415"/>
      <c r="AC571" s="415"/>
      <c r="AD571" s="415"/>
      <c r="AE571" s="415"/>
      <c r="AF571" s="415"/>
      <c r="AG571" s="415"/>
      <c r="AH571" s="415"/>
      <c r="AI571" s="415"/>
      <c r="AJ571" s="415"/>
      <c r="AK571" s="415"/>
      <c r="AL571" s="415"/>
      <c r="AM571" s="415"/>
      <c r="AN571" s="417"/>
      <c r="AO571" s="417"/>
      <c r="AP571" s="417"/>
      <c r="AQ571" s="417"/>
      <c r="AR571" s="417"/>
      <c r="AS571" s="417"/>
      <c r="AT571" s="417"/>
      <c r="AU571" s="417"/>
      <c r="AV571" s="417"/>
      <c r="AW571" s="417"/>
      <c r="AX571" s="194"/>
      <c r="AY571" s="194"/>
      <c r="AZ571" s="194"/>
    </row>
    <row r="572" spans="1:52" s="116" customFormat="1" outlineLevel="1">
      <c r="A572" s="551" t="str">
        <f t="shared" si="105"/>
        <v>1</v>
      </c>
      <c r="B572" s="111" t="s">
        <v>1217</v>
      </c>
      <c r="L572" s="432" t="s">
        <v>139</v>
      </c>
      <c r="M572" s="435" t="s">
        <v>678</v>
      </c>
      <c r="N572" s="433" t="s">
        <v>329</v>
      </c>
      <c r="O572" s="525">
        <f>SUMIFS(Баланс!O$16:O$67,Баланс!$A$16:$A$67,$A572,Баланс!$B$16:$B$67,"ПО")</f>
        <v>0</v>
      </c>
      <c r="P572" s="525">
        <f>SUMIFS(Баланс!P$16:P$67,Баланс!$A$16:$A$67,$A572,Баланс!$B$16:$B$67,"ПО")</f>
        <v>2066.08</v>
      </c>
      <c r="Q572" s="525">
        <f>SUMIFS(Баланс!Q$16:Q$67,Баланс!$A$16:$A$67,$A572,Баланс!$B$16:$B$67,"ПО")</f>
        <v>2066.08</v>
      </c>
      <c r="R572" s="525">
        <f>Q572-P572</f>
        <v>0</v>
      </c>
      <c r="S572" s="525">
        <f>SUMIFS(Баланс!R$16:R$67,Баланс!$A$16:$A$67,$A572,Баланс!$B$16:$B$67,"ПО")</f>
        <v>2231.56</v>
      </c>
      <c r="T572" s="525">
        <f>SUMIFS(Баланс!S$16:S$67,Баланс!$A$16:$A$67,$A572,Баланс!$B$16:$B$67,"ПО")</f>
        <v>2066.08</v>
      </c>
      <c r="U572" s="525">
        <f>SUMIFS(Баланс!T$16:T$67,Баланс!$A$16:$A$67,$A572,Баланс!$B$16:$B$67,"ПО")</f>
        <v>0</v>
      </c>
      <c r="V572" s="525">
        <f>SUMIFS(Баланс!U$16:U$67,Баланс!$A$16:$A$67,$A572,Баланс!$B$16:$B$67,"ПО")</f>
        <v>0</v>
      </c>
      <c r="W572" s="525">
        <f>SUMIFS(Баланс!V$16:V$67,Баланс!$A$16:$A$67,$A572,Баланс!$B$16:$B$67,"ПО")</f>
        <v>0</v>
      </c>
      <c r="X572" s="525">
        <f>SUMIFS(Баланс!W$16:W$67,Баланс!$A$16:$A$67,$A572,Баланс!$B$16:$B$67,"ПО")</f>
        <v>0</v>
      </c>
      <c r="Y572" s="525">
        <f>SUMIFS(Баланс!X$16:X$67,Баланс!$A$16:$A$67,$A572,Баланс!$B$16:$B$67,"ПО")</f>
        <v>0</v>
      </c>
      <c r="Z572" s="525">
        <f>SUMIFS(Баланс!Y$16:Y$67,Баланс!$A$16:$A$67,$A572,Баланс!$B$16:$B$67,"ПО")</f>
        <v>0</v>
      </c>
      <c r="AA572" s="525">
        <f>SUMIFS(Баланс!Z$16:Z$67,Баланс!$A$16:$A$67,$A572,Баланс!$B$16:$B$67,"ПО")</f>
        <v>0</v>
      </c>
      <c r="AB572" s="525">
        <f>SUMIFS(Баланс!AA$16:AA$67,Баланс!$A$16:$A$67,$A572,Баланс!$B$16:$B$67,"ПО")</f>
        <v>0</v>
      </c>
      <c r="AC572" s="525">
        <f>SUMIFS(Баланс!AB$16:AB$67,Баланс!$A$16:$A$67,$A572,Баланс!$B$16:$B$67,"ПО")</f>
        <v>0</v>
      </c>
      <c r="AD572" s="525">
        <f>SUMIFS(Баланс!AC$16:AC$67,Баланс!$A$16:$A$67,$A572,Баланс!$B$16:$B$67,"ПО")</f>
        <v>2066.08</v>
      </c>
      <c r="AE572" s="525">
        <f>SUMIFS(Баланс!AD$16:AD$67,Баланс!$A$16:$A$67,$A572,Баланс!$B$16:$B$67,"ПО")</f>
        <v>0</v>
      </c>
      <c r="AF572" s="525">
        <f>SUMIFS(Баланс!AE$16:AE$67,Баланс!$A$16:$A$67,$A572,Баланс!$B$16:$B$67,"ПО")</f>
        <v>0</v>
      </c>
      <c r="AG572" s="525">
        <f>SUMIFS(Баланс!AF$16:AF$67,Баланс!$A$16:$A$67,$A572,Баланс!$B$16:$B$67,"ПО")</f>
        <v>0</v>
      </c>
      <c r="AH572" s="525">
        <f>SUMIFS(Баланс!AG$16:AG$67,Баланс!$A$16:$A$67,$A572,Баланс!$B$16:$B$67,"ПО")</f>
        <v>0</v>
      </c>
      <c r="AI572" s="525">
        <f>SUMIFS(Баланс!AH$16:AH$67,Баланс!$A$16:$A$67,$A572,Баланс!$B$16:$B$67,"ПО")</f>
        <v>0</v>
      </c>
      <c r="AJ572" s="525">
        <f>SUMIFS(Баланс!AI$16:AI$67,Баланс!$A$16:$A$67,$A572,Баланс!$B$16:$B$67,"ПО")</f>
        <v>0</v>
      </c>
      <c r="AK572" s="525">
        <f>SUMIFS(Баланс!AJ$16:AJ$67,Баланс!$A$16:$A$67,$A572,Баланс!$B$16:$B$67,"ПО")</f>
        <v>0</v>
      </c>
      <c r="AL572" s="525">
        <f>SUMIFS(Баланс!AK$16:AK$67,Баланс!$A$16:$A$67,$A572,Баланс!$B$16:$B$67,"ПО")</f>
        <v>0</v>
      </c>
      <c r="AM572" s="525">
        <f>SUMIFS(Баланс!AL$16:AL$67,Баланс!$A$16:$A$67,$A572,Баланс!$B$16:$B$67,"ПО")</f>
        <v>0</v>
      </c>
      <c r="AN572" s="442"/>
      <c r="AO572" s="442"/>
      <c r="AP572" s="442"/>
      <c r="AQ572" s="442"/>
      <c r="AR572" s="442"/>
      <c r="AS572" s="442"/>
      <c r="AT572" s="442"/>
      <c r="AU572" s="442"/>
      <c r="AV572" s="442"/>
      <c r="AW572" s="442"/>
      <c r="AX572" s="194"/>
      <c r="AY572" s="194"/>
      <c r="AZ572" s="194"/>
    </row>
    <row r="573" spans="1:52" s="111" customFormat="1" outlineLevel="1">
      <c r="A573" s="551" t="str">
        <f t="shared" si="105"/>
        <v>1</v>
      </c>
      <c r="B573" s="111" t="s">
        <v>1213</v>
      </c>
      <c r="L573" s="412" t="s">
        <v>150</v>
      </c>
      <c r="M573" s="418" t="s">
        <v>1136</v>
      </c>
      <c r="N573" s="414" t="s">
        <v>329</v>
      </c>
      <c r="O573" s="530">
        <f>O572/2</f>
        <v>0</v>
      </c>
      <c r="P573" s="530">
        <f>P572/2</f>
        <v>1033.04</v>
      </c>
      <c r="Q573" s="530">
        <f>Q572/2</f>
        <v>1033.04</v>
      </c>
      <c r="R573" s="464">
        <f t="shared" si="106"/>
        <v>0</v>
      </c>
      <c r="S573" s="530">
        <f t="shared" ref="S573:AM573" si="117">S572/2</f>
        <v>1115.78</v>
      </c>
      <c r="T573" s="530">
        <f t="shared" si="117"/>
        <v>1033.04</v>
      </c>
      <c r="U573" s="530">
        <f t="shared" si="117"/>
        <v>0</v>
      </c>
      <c r="V573" s="530">
        <f t="shared" si="117"/>
        <v>0</v>
      </c>
      <c r="W573" s="530">
        <f t="shared" si="117"/>
        <v>0</v>
      </c>
      <c r="X573" s="530">
        <f t="shared" si="117"/>
        <v>0</v>
      </c>
      <c r="Y573" s="530">
        <f t="shared" si="117"/>
        <v>0</v>
      </c>
      <c r="Z573" s="530">
        <f t="shared" si="117"/>
        <v>0</v>
      </c>
      <c r="AA573" s="530">
        <f t="shared" si="117"/>
        <v>0</v>
      </c>
      <c r="AB573" s="530">
        <f t="shared" si="117"/>
        <v>0</v>
      </c>
      <c r="AC573" s="530">
        <f t="shared" si="117"/>
        <v>0</v>
      </c>
      <c r="AD573" s="530">
        <f t="shared" si="117"/>
        <v>1033.04</v>
      </c>
      <c r="AE573" s="530">
        <f t="shared" si="117"/>
        <v>0</v>
      </c>
      <c r="AF573" s="530">
        <f t="shared" si="117"/>
        <v>0</v>
      </c>
      <c r="AG573" s="530">
        <f t="shared" si="117"/>
        <v>0</v>
      </c>
      <c r="AH573" s="530">
        <f t="shared" si="117"/>
        <v>0</v>
      </c>
      <c r="AI573" s="530">
        <f t="shared" si="117"/>
        <v>0</v>
      </c>
      <c r="AJ573" s="530">
        <f t="shared" si="117"/>
        <v>0</v>
      </c>
      <c r="AK573" s="530">
        <f t="shared" si="117"/>
        <v>0</v>
      </c>
      <c r="AL573" s="530">
        <f t="shared" si="117"/>
        <v>0</v>
      </c>
      <c r="AM573" s="530">
        <f t="shared" si="117"/>
        <v>0</v>
      </c>
      <c r="AN573" s="417"/>
      <c r="AO573" s="417"/>
      <c r="AP573" s="417"/>
      <c r="AQ573" s="417"/>
      <c r="AR573" s="417"/>
      <c r="AS573" s="417"/>
      <c r="AT573" s="417"/>
      <c r="AU573" s="417"/>
      <c r="AV573" s="417"/>
      <c r="AW573" s="417"/>
      <c r="AX573" s="194"/>
      <c r="AY573" s="194"/>
      <c r="AZ573" s="194"/>
    </row>
    <row r="574" spans="1:52" s="111" customFormat="1" outlineLevel="1">
      <c r="A574" s="551" t="str">
        <f t="shared" si="105"/>
        <v>1</v>
      </c>
      <c r="B574" s="111" t="s">
        <v>1208</v>
      </c>
      <c r="L574" s="412" t="s">
        <v>151</v>
      </c>
      <c r="M574" s="418" t="s">
        <v>1135</v>
      </c>
      <c r="N574" s="414" t="s">
        <v>679</v>
      </c>
      <c r="O574" s="415"/>
      <c r="P574" s="415"/>
      <c r="Q574" s="415"/>
      <c r="R574" s="416">
        <f t="shared" si="106"/>
        <v>0</v>
      </c>
      <c r="S574" s="415"/>
      <c r="T574" s="415"/>
      <c r="U574" s="415"/>
      <c r="V574" s="415"/>
      <c r="W574" s="415"/>
      <c r="X574" s="415"/>
      <c r="Y574" s="415"/>
      <c r="Z574" s="415"/>
      <c r="AA574" s="415"/>
      <c r="AB574" s="415"/>
      <c r="AC574" s="415"/>
      <c r="AD574" s="415"/>
      <c r="AE574" s="415"/>
      <c r="AF574" s="415"/>
      <c r="AG574" s="415"/>
      <c r="AH574" s="415"/>
      <c r="AI574" s="415"/>
      <c r="AJ574" s="415"/>
      <c r="AK574" s="415"/>
      <c r="AL574" s="415"/>
      <c r="AM574" s="415"/>
      <c r="AN574" s="417"/>
      <c r="AO574" s="417"/>
      <c r="AP574" s="417"/>
      <c r="AQ574" s="417"/>
      <c r="AR574" s="417"/>
      <c r="AS574" s="417"/>
      <c r="AT574" s="417"/>
      <c r="AU574" s="417"/>
      <c r="AV574" s="417"/>
      <c r="AW574" s="417"/>
      <c r="AX574" s="194"/>
      <c r="AY574" s="194"/>
      <c r="AZ574" s="194"/>
    </row>
    <row r="575" spans="1:52" s="111" customFormat="1" outlineLevel="1">
      <c r="A575" s="551" t="str">
        <f t="shared" si="105"/>
        <v>1</v>
      </c>
      <c r="B575" s="111" t="s">
        <v>1214</v>
      </c>
      <c r="L575" s="412" t="s">
        <v>152</v>
      </c>
      <c r="M575" s="418" t="s">
        <v>1137</v>
      </c>
      <c r="N575" s="414" t="s">
        <v>329</v>
      </c>
      <c r="O575" s="526">
        <f>O572-O573</f>
        <v>0</v>
      </c>
      <c r="P575" s="526">
        <f>P572-P573</f>
        <v>1033.04</v>
      </c>
      <c r="Q575" s="526">
        <f>Q572-Q573</f>
        <v>1033.04</v>
      </c>
      <c r="R575" s="464">
        <f t="shared" si="106"/>
        <v>0</v>
      </c>
      <c r="S575" s="526">
        <f t="shared" ref="S575:AM575" si="118">S572-S573</f>
        <v>1115.78</v>
      </c>
      <c r="T575" s="526">
        <f t="shared" si="118"/>
        <v>1033.04</v>
      </c>
      <c r="U575" s="526">
        <f t="shared" si="118"/>
        <v>0</v>
      </c>
      <c r="V575" s="526">
        <f t="shared" si="118"/>
        <v>0</v>
      </c>
      <c r="W575" s="526">
        <f t="shared" si="118"/>
        <v>0</v>
      </c>
      <c r="X575" s="526">
        <f t="shared" si="118"/>
        <v>0</v>
      </c>
      <c r="Y575" s="526">
        <f t="shared" si="118"/>
        <v>0</v>
      </c>
      <c r="Z575" s="526">
        <f t="shared" si="118"/>
        <v>0</v>
      </c>
      <c r="AA575" s="526">
        <f t="shared" si="118"/>
        <v>0</v>
      </c>
      <c r="AB575" s="526">
        <f t="shared" si="118"/>
        <v>0</v>
      </c>
      <c r="AC575" s="526">
        <f t="shared" si="118"/>
        <v>0</v>
      </c>
      <c r="AD575" s="526">
        <f t="shared" si="118"/>
        <v>1033.04</v>
      </c>
      <c r="AE575" s="526">
        <f t="shared" si="118"/>
        <v>0</v>
      </c>
      <c r="AF575" s="526">
        <f t="shared" si="118"/>
        <v>0</v>
      </c>
      <c r="AG575" s="526">
        <f t="shared" si="118"/>
        <v>0</v>
      </c>
      <c r="AH575" s="526">
        <f t="shared" si="118"/>
        <v>0</v>
      </c>
      <c r="AI575" s="526">
        <f t="shared" si="118"/>
        <v>0</v>
      </c>
      <c r="AJ575" s="526">
        <f t="shared" si="118"/>
        <v>0</v>
      </c>
      <c r="AK575" s="526">
        <f t="shared" si="118"/>
        <v>0</v>
      </c>
      <c r="AL575" s="526">
        <f t="shared" si="118"/>
        <v>0</v>
      </c>
      <c r="AM575" s="526">
        <f t="shared" si="118"/>
        <v>0</v>
      </c>
      <c r="AN575" s="417"/>
      <c r="AO575" s="417"/>
      <c r="AP575" s="417"/>
      <c r="AQ575" s="417"/>
      <c r="AR575" s="417"/>
      <c r="AS575" s="417"/>
      <c r="AT575" s="417"/>
      <c r="AU575" s="417"/>
      <c r="AV575" s="417"/>
      <c r="AW575" s="417"/>
      <c r="AX575" s="194"/>
      <c r="AY575" s="194"/>
      <c r="AZ575" s="194"/>
    </row>
    <row r="576" spans="1:52" s="111" customFormat="1" outlineLevel="1">
      <c r="A576" s="551" t="str">
        <f t="shared" si="105"/>
        <v>1</v>
      </c>
      <c r="B576" s="111" t="s">
        <v>1209</v>
      </c>
      <c r="L576" s="412" t="s">
        <v>153</v>
      </c>
      <c r="M576" s="418" t="s">
        <v>1138</v>
      </c>
      <c r="N576" s="414" t="s">
        <v>679</v>
      </c>
      <c r="O576" s="531">
        <f>IF(O575=0,0,(O569-O573*O574)/O575)</f>
        <v>0</v>
      </c>
      <c r="P576" s="531" t="e">
        <f>IF(P575=0,0,(P569-P573*P574)/P575)</f>
        <v>#N/A</v>
      </c>
      <c r="Q576" s="531" t="e">
        <f>IF(Q575=0,0,(Q569-Q573*Q574)/Q575)</f>
        <v>#N/A</v>
      </c>
      <c r="R576" s="416" t="e">
        <f t="shared" si="106"/>
        <v>#N/A</v>
      </c>
      <c r="S576" s="531" t="e">
        <f t="shared" ref="S576:AM576" si="119">IF(S575=0,0,(S569-S573*S574)/S575)</f>
        <v>#N/A</v>
      </c>
      <c r="T576" s="531" t="e">
        <f t="shared" si="119"/>
        <v>#N/A</v>
      </c>
      <c r="U576" s="531">
        <f t="shared" si="119"/>
        <v>0</v>
      </c>
      <c r="V576" s="531">
        <f t="shared" si="119"/>
        <v>0</v>
      </c>
      <c r="W576" s="531">
        <f t="shared" si="119"/>
        <v>0</v>
      </c>
      <c r="X576" s="531">
        <f t="shared" si="119"/>
        <v>0</v>
      </c>
      <c r="Y576" s="531">
        <f t="shared" si="119"/>
        <v>0</v>
      </c>
      <c r="Z576" s="531">
        <f t="shared" si="119"/>
        <v>0</v>
      </c>
      <c r="AA576" s="531">
        <f t="shared" si="119"/>
        <v>0</v>
      </c>
      <c r="AB576" s="531">
        <f t="shared" si="119"/>
        <v>0</v>
      </c>
      <c r="AC576" s="531">
        <f t="shared" si="119"/>
        <v>0</v>
      </c>
      <c r="AD576" s="531" t="e">
        <f t="shared" si="119"/>
        <v>#N/A</v>
      </c>
      <c r="AE576" s="531">
        <f t="shared" si="119"/>
        <v>0</v>
      </c>
      <c r="AF576" s="531">
        <f t="shared" si="119"/>
        <v>0</v>
      </c>
      <c r="AG576" s="531">
        <f t="shared" si="119"/>
        <v>0</v>
      </c>
      <c r="AH576" s="531">
        <f t="shared" si="119"/>
        <v>0</v>
      </c>
      <c r="AI576" s="531">
        <f t="shared" si="119"/>
        <v>0</v>
      </c>
      <c r="AJ576" s="531">
        <f t="shared" si="119"/>
        <v>0</v>
      </c>
      <c r="AK576" s="531">
        <f t="shared" si="119"/>
        <v>0</v>
      </c>
      <c r="AL576" s="531">
        <f t="shared" si="119"/>
        <v>0</v>
      </c>
      <c r="AM576" s="531">
        <f t="shared" si="119"/>
        <v>0</v>
      </c>
      <c r="AN576" s="417"/>
      <c r="AO576" s="417"/>
      <c r="AP576" s="417"/>
      <c r="AQ576" s="417"/>
      <c r="AR576" s="417"/>
      <c r="AS576" s="417"/>
      <c r="AT576" s="417"/>
      <c r="AU576" s="417"/>
      <c r="AV576" s="417"/>
      <c r="AW576" s="417"/>
      <c r="AX576" s="194"/>
      <c r="AY576" s="194"/>
      <c r="AZ576" s="194"/>
    </row>
    <row r="577" spans="1:52" s="111" customFormat="1" outlineLevel="1">
      <c r="A577" s="551" t="str">
        <f t="shared" si="105"/>
        <v>1</v>
      </c>
      <c r="L577" s="412" t="s">
        <v>680</v>
      </c>
      <c r="M577" s="413" t="s">
        <v>681</v>
      </c>
      <c r="N577" s="414" t="s">
        <v>145</v>
      </c>
      <c r="O577" s="529">
        <f>IF(O574=0,0,O576/O574*100)</f>
        <v>0</v>
      </c>
      <c r="P577" s="529">
        <f>IF(P574=0,0,P576/P574*100)</f>
        <v>0</v>
      </c>
      <c r="Q577" s="529">
        <f>IF(Q574=0,0,Q576/Q574*100)</f>
        <v>0</v>
      </c>
      <c r="R577" s="443"/>
      <c r="S577" s="529">
        <f>IF(S574=0,0,S576/S574*100)</f>
        <v>0</v>
      </c>
      <c r="T577" s="529">
        <f t="shared" ref="T577:AM577" si="120">IF(T574=0,0,T576/T574*100)</f>
        <v>0</v>
      </c>
      <c r="U577" s="529">
        <f t="shared" si="120"/>
        <v>0</v>
      </c>
      <c r="V577" s="529">
        <f t="shared" si="120"/>
        <v>0</v>
      </c>
      <c r="W577" s="529">
        <f t="shared" si="120"/>
        <v>0</v>
      </c>
      <c r="X577" s="529">
        <f t="shared" si="120"/>
        <v>0</v>
      </c>
      <c r="Y577" s="529">
        <f t="shared" si="120"/>
        <v>0</v>
      </c>
      <c r="Z577" s="529">
        <f t="shared" si="120"/>
        <v>0</v>
      </c>
      <c r="AA577" s="529">
        <f t="shared" si="120"/>
        <v>0</v>
      </c>
      <c r="AB577" s="529">
        <f t="shared" si="120"/>
        <v>0</v>
      </c>
      <c r="AC577" s="529">
        <f t="shared" si="120"/>
        <v>0</v>
      </c>
      <c r="AD577" s="529">
        <f t="shared" si="120"/>
        <v>0</v>
      </c>
      <c r="AE577" s="529">
        <f t="shared" si="120"/>
        <v>0</v>
      </c>
      <c r="AF577" s="529">
        <f t="shared" si="120"/>
        <v>0</v>
      </c>
      <c r="AG577" s="529">
        <f t="shared" si="120"/>
        <v>0</v>
      </c>
      <c r="AH577" s="529">
        <f t="shared" si="120"/>
        <v>0</v>
      </c>
      <c r="AI577" s="529">
        <f t="shared" si="120"/>
        <v>0</v>
      </c>
      <c r="AJ577" s="529">
        <f t="shared" si="120"/>
        <v>0</v>
      </c>
      <c r="AK577" s="529">
        <f t="shared" si="120"/>
        <v>0</v>
      </c>
      <c r="AL577" s="529">
        <f t="shared" si="120"/>
        <v>0</v>
      </c>
      <c r="AM577" s="529">
        <f t="shared" si="120"/>
        <v>0</v>
      </c>
      <c r="AN577" s="417"/>
      <c r="AO577" s="417"/>
      <c r="AP577" s="417"/>
      <c r="AQ577" s="417"/>
      <c r="AR577" s="417"/>
      <c r="AS577" s="417"/>
      <c r="AT577" s="417"/>
      <c r="AU577" s="417"/>
      <c r="AV577" s="417"/>
      <c r="AW577" s="417"/>
      <c r="AX577" s="194"/>
      <c r="AY577" s="194"/>
      <c r="AZ577" s="194"/>
    </row>
    <row r="578" spans="1:52" s="111" customFormat="1" outlineLevel="1">
      <c r="A578" s="551" t="str">
        <f t="shared" si="105"/>
        <v>1</v>
      </c>
      <c r="L578" s="412" t="s">
        <v>682</v>
      </c>
      <c r="M578" s="413" t="s">
        <v>683</v>
      </c>
      <c r="N578" s="414" t="s">
        <v>679</v>
      </c>
      <c r="O578" s="415">
        <f>IF(O572=0,0,O569/O572)</f>
        <v>0</v>
      </c>
      <c r="P578" s="415" t="e">
        <f t="shared" ref="P578:AM578" si="121">IF(P572=0,0,P569/P572)</f>
        <v>#N/A</v>
      </c>
      <c r="Q578" s="415" t="e">
        <f t="shared" si="121"/>
        <v>#N/A</v>
      </c>
      <c r="R578" s="416" t="e">
        <f t="shared" si="106"/>
        <v>#N/A</v>
      </c>
      <c r="S578" s="415" t="e">
        <f t="shared" si="121"/>
        <v>#N/A</v>
      </c>
      <c r="T578" s="415" t="e">
        <f t="shared" si="121"/>
        <v>#N/A</v>
      </c>
      <c r="U578" s="415">
        <f t="shared" si="121"/>
        <v>0</v>
      </c>
      <c r="V578" s="415">
        <f t="shared" si="121"/>
        <v>0</v>
      </c>
      <c r="W578" s="415">
        <f t="shared" si="121"/>
        <v>0</v>
      </c>
      <c r="X578" s="415">
        <f t="shared" si="121"/>
        <v>0</v>
      </c>
      <c r="Y578" s="415">
        <f t="shared" si="121"/>
        <v>0</v>
      </c>
      <c r="Z578" s="415">
        <f t="shared" si="121"/>
        <v>0</v>
      </c>
      <c r="AA578" s="415">
        <f t="shared" si="121"/>
        <v>0</v>
      </c>
      <c r="AB578" s="415">
        <f t="shared" si="121"/>
        <v>0</v>
      </c>
      <c r="AC578" s="415">
        <f t="shared" si="121"/>
        <v>0</v>
      </c>
      <c r="AD578" s="415" t="e">
        <f t="shared" si="121"/>
        <v>#N/A</v>
      </c>
      <c r="AE578" s="415">
        <f t="shared" si="121"/>
        <v>0</v>
      </c>
      <c r="AF578" s="415">
        <f t="shared" si="121"/>
        <v>0</v>
      </c>
      <c r="AG578" s="415">
        <f t="shared" si="121"/>
        <v>0</v>
      </c>
      <c r="AH578" s="415">
        <f t="shared" si="121"/>
        <v>0</v>
      </c>
      <c r="AI578" s="415">
        <f t="shared" si="121"/>
        <v>0</v>
      </c>
      <c r="AJ578" s="415">
        <f t="shared" si="121"/>
        <v>0</v>
      </c>
      <c r="AK578" s="415">
        <f t="shared" si="121"/>
        <v>0</v>
      </c>
      <c r="AL578" s="415">
        <f t="shared" si="121"/>
        <v>0</v>
      </c>
      <c r="AM578" s="415">
        <f t="shared" si="121"/>
        <v>0</v>
      </c>
      <c r="AN578" s="417"/>
      <c r="AO578" s="417"/>
      <c r="AP578" s="417"/>
      <c r="AQ578" s="417"/>
      <c r="AR578" s="417"/>
      <c r="AS578" s="417"/>
      <c r="AT578" s="417"/>
      <c r="AU578" s="417"/>
      <c r="AV578" s="417"/>
      <c r="AW578" s="417"/>
      <c r="AX578" s="194"/>
      <c r="AY578" s="194"/>
      <c r="AZ578" s="194"/>
    </row>
    <row r="579" spans="1:52" s="116" customFormat="1" outlineLevel="1">
      <c r="A579" s="551" t="str">
        <f t="shared" si="105"/>
        <v>1</v>
      </c>
      <c r="L579" s="432" t="s">
        <v>140</v>
      </c>
      <c r="M579" s="435" t="s">
        <v>1342</v>
      </c>
      <c r="N579" s="433" t="s">
        <v>370</v>
      </c>
      <c r="O579" s="535">
        <f>IF(O572=0,0,O569/O572*O580)</f>
        <v>0</v>
      </c>
      <c r="P579" s="535" t="e">
        <f>IF(P572=0,0,P569/P572*P580)</f>
        <v>#N/A</v>
      </c>
      <c r="Q579" s="535" t="e">
        <f>IF(Q572=0,0,Q569/Q572*Q580)</f>
        <v>#N/A</v>
      </c>
      <c r="R579" s="411">
        <f>R581*R582+R583*R584</f>
        <v>0</v>
      </c>
      <c r="S579" s="535" t="e">
        <f t="shared" ref="S579:AM579" si="122">IF(S572=0,0,S569/S572*S580)</f>
        <v>#N/A</v>
      </c>
      <c r="T579" s="535" t="e">
        <f t="shared" si="122"/>
        <v>#N/A</v>
      </c>
      <c r="U579" s="535">
        <f t="shared" si="122"/>
        <v>0</v>
      </c>
      <c r="V579" s="535">
        <f t="shared" si="122"/>
        <v>0</v>
      </c>
      <c r="W579" s="535">
        <f t="shared" si="122"/>
        <v>0</v>
      </c>
      <c r="X579" s="535">
        <f t="shared" si="122"/>
        <v>0</v>
      </c>
      <c r="Y579" s="535">
        <f t="shared" si="122"/>
        <v>0</v>
      </c>
      <c r="Z579" s="535">
        <f t="shared" si="122"/>
        <v>0</v>
      </c>
      <c r="AA579" s="535">
        <f t="shared" si="122"/>
        <v>0</v>
      </c>
      <c r="AB579" s="535">
        <f t="shared" si="122"/>
        <v>0</v>
      </c>
      <c r="AC579" s="535">
        <f t="shared" si="122"/>
        <v>0</v>
      </c>
      <c r="AD579" s="535" t="e">
        <f t="shared" si="122"/>
        <v>#N/A</v>
      </c>
      <c r="AE579" s="535">
        <f t="shared" si="122"/>
        <v>0</v>
      </c>
      <c r="AF579" s="535">
        <f t="shared" si="122"/>
        <v>0</v>
      </c>
      <c r="AG579" s="535">
        <f t="shared" si="122"/>
        <v>0</v>
      </c>
      <c r="AH579" s="535">
        <f t="shared" si="122"/>
        <v>0</v>
      </c>
      <c r="AI579" s="535">
        <f t="shared" si="122"/>
        <v>0</v>
      </c>
      <c r="AJ579" s="535">
        <f t="shared" si="122"/>
        <v>0</v>
      </c>
      <c r="AK579" s="535">
        <f t="shared" si="122"/>
        <v>0</v>
      </c>
      <c r="AL579" s="535">
        <f t="shared" si="122"/>
        <v>0</v>
      </c>
      <c r="AM579" s="535">
        <f t="shared" si="122"/>
        <v>0</v>
      </c>
      <c r="AN579" s="410" t="e">
        <f>IF(S579=0,0,(AD579-S579)/S579*100)</f>
        <v>#N/A</v>
      </c>
      <c r="AO579" s="410" t="e">
        <f t="shared" ref="AO579:AW579" si="123">IF(AD579=0,0,(AE579-AD579)/AD579*100)</f>
        <v>#N/A</v>
      </c>
      <c r="AP579" s="410">
        <f t="shared" si="123"/>
        <v>0</v>
      </c>
      <c r="AQ579" s="410">
        <f t="shared" si="123"/>
        <v>0</v>
      </c>
      <c r="AR579" s="410">
        <f t="shared" si="123"/>
        <v>0</v>
      </c>
      <c r="AS579" s="410">
        <f t="shared" si="123"/>
        <v>0</v>
      </c>
      <c r="AT579" s="410">
        <f t="shared" si="123"/>
        <v>0</v>
      </c>
      <c r="AU579" s="410">
        <f t="shared" si="123"/>
        <v>0</v>
      </c>
      <c r="AV579" s="410">
        <f t="shared" si="123"/>
        <v>0</v>
      </c>
      <c r="AW579" s="410">
        <f t="shared" si="123"/>
        <v>0</v>
      </c>
      <c r="AX579" s="194"/>
      <c r="AY579" s="194"/>
      <c r="AZ579" s="194"/>
    </row>
    <row r="580" spans="1:52" s="116" customFormat="1" outlineLevel="1">
      <c r="A580" s="551" t="str">
        <f t="shared" si="105"/>
        <v>1</v>
      </c>
      <c r="B580" s="111" t="s">
        <v>1218</v>
      </c>
      <c r="L580" s="432" t="s">
        <v>141</v>
      </c>
      <c r="M580" s="435" t="s">
        <v>684</v>
      </c>
      <c r="N580" s="433" t="s">
        <v>329</v>
      </c>
      <c r="O580" s="525">
        <f>SUMIFS(Баланс!O$16:O$67,Баланс!$A$16:$A$67,$A580,Баланс!$B$16:$B$67,"население")</f>
        <v>0</v>
      </c>
      <c r="P580" s="525">
        <f>SUMIFS(Баланс!P$16:P$67,Баланс!$A$16:$A$67,$A580,Баланс!$B$16:$B$67,"население")</f>
        <v>0</v>
      </c>
      <c r="Q580" s="525">
        <f>SUMIFS(Баланс!Q$16:Q$67,Баланс!$A$16:$A$67,$A580,Баланс!$B$16:$B$67,"население")</f>
        <v>0</v>
      </c>
      <c r="R580" s="525">
        <f>Q580-P580</f>
        <v>0</v>
      </c>
      <c r="S580" s="525">
        <f>SUMIFS(Баланс!R$16:R$67,Баланс!$A$16:$A$67,$A580,Баланс!$B$16:$B$67,"население")</f>
        <v>0</v>
      </c>
      <c r="T580" s="525">
        <f>SUMIFS(Баланс!S$16:S$67,Баланс!$A$16:$A$67,$A580,Баланс!$B$16:$B$67,"население")</f>
        <v>0</v>
      </c>
      <c r="U580" s="525">
        <f>SUMIFS(Баланс!T$16:T$67,Баланс!$A$16:$A$67,$A580,Баланс!$B$16:$B$67,"население")</f>
        <v>0</v>
      </c>
      <c r="V580" s="525">
        <f>SUMIFS(Баланс!U$16:U$67,Баланс!$A$16:$A$67,$A580,Баланс!$B$16:$B$67,"население")</f>
        <v>0</v>
      </c>
      <c r="W580" s="525">
        <f>SUMIFS(Баланс!V$16:V$67,Баланс!$A$16:$A$67,$A580,Баланс!$B$16:$B$67,"население")</f>
        <v>0</v>
      </c>
      <c r="X580" s="525">
        <f>SUMIFS(Баланс!W$16:W$67,Баланс!$A$16:$A$67,$A580,Баланс!$B$16:$B$67,"население")</f>
        <v>0</v>
      </c>
      <c r="Y580" s="525">
        <f>SUMIFS(Баланс!X$16:X$67,Баланс!$A$16:$A$67,$A580,Баланс!$B$16:$B$67,"население")</f>
        <v>0</v>
      </c>
      <c r="Z580" s="525">
        <f>SUMIFS(Баланс!Y$16:Y$67,Баланс!$A$16:$A$67,$A580,Баланс!$B$16:$B$67,"население")</f>
        <v>0</v>
      </c>
      <c r="AA580" s="525">
        <f>SUMIFS(Баланс!Z$16:Z$67,Баланс!$A$16:$A$67,$A580,Баланс!$B$16:$B$67,"население")</f>
        <v>0</v>
      </c>
      <c r="AB580" s="525">
        <f>SUMIFS(Баланс!AA$16:AA$67,Баланс!$A$16:$A$67,$A580,Баланс!$B$16:$B$67,"население")</f>
        <v>0</v>
      </c>
      <c r="AC580" s="525">
        <f>SUMIFS(Баланс!AB$16:AB$67,Баланс!$A$16:$A$67,$A580,Баланс!$B$16:$B$67,"население")</f>
        <v>0</v>
      </c>
      <c r="AD580" s="525">
        <f>SUMIFS(Баланс!AC$16:AC$67,Баланс!$A$16:$A$67,$A580,Баланс!$B$16:$B$67,"население")</f>
        <v>0</v>
      </c>
      <c r="AE580" s="525">
        <f>SUMIFS(Баланс!AD$16:AD$67,Баланс!$A$16:$A$67,$A580,Баланс!$B$16:$B$67,"население")</f>
        <v>0</v>
      </c>
      <c r="AF580" s="525">
        <f>SUMIFS(Баланс!AE$16:AE$67,Баланс!$A$16:$A$67,$A580,Баланс!$B$16:$B$67,"население")</f>
        <v>0</v>
      </c>
      <c r="AG580" s="525">
        <f>SUMIFS(Баланс!AF$16:AF$67,Баланс!$A$16:$A$67,$A580,Баланс!$B$16:$B$67,"население")</f>
        <v>0</v>
      </c>
      <c r="AH580" s="525">
        <f>SUMIFS(Баланс!AG$16:AG$67,Баланс!$A$16:$A$67,$A580,Баланс!$B$16:$B$67,"население")</f>
        <v>0</v>
      </c>
      <c r="AI580" s="525">
        <f>SUMIFS(Баланс!AH$16:AH$67,Баланс!$A$16:$A$67,$A580,Баланс!$B$16:$B$67,"население")</f>
        <v>0</v>
      </c>
      <c r="AJ580" s="525">
        <f>SUMIFS(Баланс!AI$16:AI$67,Баланс!$A$16:$A$67,$A580,Баланс!$B$16:$B$67,"население")</f>
        <v>0</v>
      </c>
      <c r="AK580" s="525">
        <f>SUMIFS(Баланс!AJ$16:AJ$67,Баланс!$A$16:$A$67,$A580,Баланс!$B$16:$B$67,"население")</f>
        <v>0</v>
      </c>
      <c r="AL580" s="525">
        <f>SUMIFS(Баланс!AK$16:AK$67,Баланс!$A$16:$A$67,$A580,Баланс!$B$16:$B$67,"население")</f>
        <v>0</v>
      </c>
      <c r="AM580" s="525">
        <f>SUMIFS(Баланс!AL$16:AL$67,Баланс!$A$16:$A$67,$A580,Баланс!$B$16:$B$67,"население")</f>
        <v>0</v>
      </c>
      <c r="AN580" s="442"/>
      <c r="AO580" s="442"/>
      <c r="AP580" s="442"/>
      <c r="AQ580" s="442"/>
      <c r="AR580" s="442"/>
      <c r="AS580" s="442"/>
      <c r="AT580" s="442"/>
      <c r="AU580" s="442"/>
      <c r="AV580" s="442"/>
      <c r="AW580" s="442"/>
      <c r="AX580" s="194"/>
      <c r="AY580" s="194"/>
      <c r="AZ580" s="194"/>
    </row>
    <row r="581" spans="1:52" s="111" customFormat="1" outlineLevel="1">
      <c r="A581" s="551" t="str">
        <f t="shared" si="105"/>
        <v>1</v>
      </c>
      <c r="B581" s="111" t="s">
        <v>1215</v>
      </c>
      <c r="L581" s="444" t="s">
        <v>154</v>
      </c>
      <c r="M581" s="418" t="s">
        <v>1200</v>
      </c>
      <c r="N581" s="445" t="s">
        <v>329</v>
      </c>
      <c r="O581" s="530">
        <f>O580/2</f>
        <v>0</v>
      </c>
      <c r="P581" s="530">
        <f>P580/2</f>
        <v>0</v>
      </c>
      <c r="Q581" s="530">
        <f>Q580/2</f>
        <v>0</v>
      </c>
      <c r="R581" s="464">
        <f>Q581-P581</f>
        <v>0</v>
      </c>
      <c r="S581" s="530">
        <f t="shared" ref="S581:AM581" si="124">S580/2</f>
        <v>0</v>
      </c>
      <c r="T581" s="530">
        <f t="shared" si="124"/>
        <v>0</v>
      </c>
      <c r="U581" s="530">
        <f t="shared" si="124"/>
        <v>0</v>
      </c>
      <c r="V581" s="530">
        <f t="shared" si="124"/>
        <v>0</v>
      </c>
      <c r="W581" s="530">
        <f t="shared" si="124"/>
        <v>0</v>
      </c>
      <c r="X581" s="530">
        <f t="shared" si="124"/>
        <v>0</v>
      </c>
      <c r="Y581" s="530">
        <f t="shared" si="124"/>
        <v>0</v>
      </c>
      <c r="Z581" s="530">
        <f t="shared" si="124"/>
        <v>0</v>
      </c>
      <c r="AA581" s="530">
        <f t="shared" si="124"/>
        <v>0</v>
      </c>
      <c r="AB581" s="530">
        <f t="shared" si="124"/>
        <v>0</v>
      </c>
      <c r="AC581" s="530">
        <f t="shared" si="124"/>
        <v>0</v>
      </c>
      <c r="AD581" s="530">
        <f t="shared" si="124"/>
        <v>0</v>
      </c>
      <c r="AE581" s="530">
        <f t="shared" si="124"/>
        <v>0</v>
      </c>
      <c r="AF581" s="530">
        <f t="shared" si="124"/>
        <v>0</v>
      </c>
      <c r="AG581" s="530">
        <f t="shared" si="124"/>
        <v>0</v>
      </c>
      <c r="AH581" s="530">
        <f t="shared" si="124"/>
        <v>0</v>
      </c>
      <c r="AI581" s="530">
        <f t="shared" si="124"/>
        <v>0</v>
      </c>
      <c r="AJ581" s="530">
        <f t="shared" si="124"/>
        <v>0</v>
      </c>
      <c r="AK581" s="530">
        <f t="shared" si="124"/>
        <v>0</v>
      </c>
      <c r="AL581" s="530">
        <f t="shared" si="124"/>
        <v>0</v>
      </c>
      <c r="AM581" s="530">
        <f t="shared" si="124"/>
        <v>0</v>
      </c>
      <c r="AN581" s="417"/>
      <c r="AO581" s="417"/>
      <c r="AP581" s="417"/>
      <c r="AQ581" s="417"/>
      <c r="AR581" s="417"/>
      <c r="AS581" s="417"/>
      <c r="AT581" s="417"/>
      <c r="AU581" s="417"/>
      <c r="AV581" s="417"/>
      <c r="AW581" s="417"/>
      <c r="AX581" s="194"/>
      <c r="AY581" s="194"/>
      <c r="AZ581" s="194"/>
    </row>
    <row r="582" spans="1:52" s="111" customFormat="1" outlineLevel="1">
      <c r="A582" s="551" t="str">
        <f t="shared" si="105"/>
        <v>1</v>
      </c>
      <c r="B582" s="111" t="s">
        <v>1211</v>
      </c>
      <c r="L582" s="444" t="s">
        <v>155</v>
      </c>
      <c r="M582" s="418" t="s">
        <v>1201</v>
      </c>
      <c r="N582" s="445" t="s">
        <v>679</v>
      </c>
      <c r="O582" s="531">
        <f>IF(O580=0,0,O574*IF(plat_nds="да",1.2,1) )</f>
        <v>0</v>
      </c>
      <c r="P582" s="531">
        <f>IF(P580=0,0,P574*IF(plat_nds="да",1.2,1) )</f>
        <v>0</v>
      </c>
      <c r="Q582" s="531">
        <f>IF(Q580=0,0,Q574*IF(plat_nds="да",1.2,1) )</f>
        <v>0</v>
      </c>
      <c r="R582" s="416">
        <f>Q582-P582</f>
        <v>0</v>
      </c>
      <c r="S582" s="531">
        <f t="shared" ref="S582:AM582" si="125">IF(S580=0,0,S574*IF(plat_nds="да",1.2,1) )</f>
        <v>0</v>
      </c>
      <c r="T582" s="531">
        <f t="shared" si="125"/>
        <v>0</v>
      </c>
      <c r="U582" s="531">
        <f t="shared" si="125"/>
        <v>0</v>
      </c>
      <c r="V582" s="531">
        <f t="shared" si="125"/>
        <v>0</v>
      </c>
      <c r="W582" s="531">
        <f t="shared" si="125"/>
        <v>0</v>
      </c>
      <c r="X582" s="531">
        <f t="shared" si="125"/>
        <v>0</v>
      </c>
      <c r="Y582" s="531">
        <f t="shared" si="125"/>
        <v>0</v>
      </c>
      <c r="Z582" s="531">
        <f t="shared" si="125"/>
        <v>0</v>
      </c>
      <c r="AA582" s="531">
        <f t="shared" si="125"/>
        <v>0</v>
      </c>
      <c r="AB582" s="531">
        <f t="shared" si="125"/>
        <v>0</v>
      </c>
      <c r="AC582" s="531">
        <f t="shared" si="125"/>
        <v>0</v>
      </c>
      <c r="AD582" s="531">
        <f t="shared" si="125"/>
        <v>0</v>
      </c>
      <c r="AE582" s="531">
        <f t="shared" si="125"/>
        <v>0</v>
      </c>
      <c r="AF582" s="531">
        <f t="shared" si="125"/>
        <v>0</v>
      </c>
      <c r="AG582" s="531">
        <f t="shared" si="125"/>
        <v>0</v>
      </c>
      <c r="AH582" s="531">
        <f t="shared" si="125"/>
        <v>0</v>
      </c>
      <c r="AI582" s="531">
        <f t="shared" si="125"/>
        <v>0</v>
      </c>
      <c r="AJ582" s="531">
        <f t="shared" si="125"/>
        <v>0</v>
      </c>
      <c r="AK582" s="531">
        <f t="shared" si="125"/>
        <v>0</v>
      </c>
      <c r="AL582" s="531">
        <f t="shared" si="125"/>
        <v>0</v>
      </c>
      <c r="AM582" s="531">
        <f t="shared" si="125"/>
        <v>0</v>
      </c>
      <c r="AN582" s="417"/>
      <c r="AO582" s="417"/>
      <c r="AP582" s="417"/>
      <c r="AQ582" s="417"/>
      <c r="AR582" s="417"/>
      <c r="AS582" s="417"/>
      <c r="AT582" s="417"/>
      <c r="AU582" s="417"/>
      <c r="AV582" s="417"/>
      <c r="AW582" s="417"/>
      <c r="AX582" s="194"/>
      <c r="AY582" s="194"/>
      <c r="AZ582" s="194"/>
    </row>
    <row r="583" spans="1:52" s="111" customFormat="1" outlineLevel="1">
      <c r="A583" s="551" t="str">
        <f t="shared" si="105"/>
        <v>1</v>
      </c>
      <c r="B583" s="111" t="s">
        <v>1216</v>
      </c>
      <c r="L583" s="444" t="s">
        <v>156</v>
      </c>
      <c r="M583" s="418" t="s">
        <v>1202</v>
      </c>
      <c r="N583" s="445" t="s">
        <v>329</v>
      </c>
      <c r="O583" s="526">
        <f>O580-O581</f>
        <v>0</v>
      </c>
      <c r="P583" s="526">
        <f>P580-P581</f>
        <v>0</v>
      </c>
      <c r="Q583" s="526">
        <f>Q580-Q581</f>
        <v>0</v>
      </c>
      <c r="R583" s="464">
        <f>Q583-P583</f>
        <v>0</v>
      </c>
      <c r="S583" s="526">
        <f t="shared" ref="S583:AM583" si="126">S580-S581</f>
        <v>0</v>
      </c>
      <c r="T583" s="526">
        <f t="shared" si="126"/>
        <v>0</v>
      </c>
      <c r="U583" s="526">
        <f t="shared" si="126"/>
        <v>0</v>
      </c>
      <c r="V583" s="526">
        <f t="shared" si="126"/>
        <v>0</v>
      </c>
      <c r="W583" s="526">
        <f t="shared" si="126"/>
        <v>0</v>
      </c>
      <c r="X583" s="526">
        <f t="shared" si="126"/>
        <v>0</v>
      </c>
      <c r="Y583" s="526">
        <f t="shared" si="126"/>
        <v>0</v>
      </c>
      <c r="Z583" s="526">
        <f t="shared" si="126"/>
        <v>0</v>
      </c>
      <c r="AA583" s="526">
        <f t="shared" si="126"/>
        <v>0</v>
      </c>
      <c r="AB583" s="526">
        <f t="shared" si="126"/>
        <v>0</v>
      </c>
      <c r="AC583" s="526">
        <f t="shared" si="126"/>
        <v>0</v>
      </c>
      <c r="AD583" s="526">
        <f t="shared" si="126"/>
        <v>0</v>
      </c>
      <c r="AE583" s="526">
        <f t="shared" si="126"/>
        <v>0</v>
      </c>
      <c r="AF583" s="526">
        <f t="shared" si="126"/>
        <v>0</v>
      </c>
      <c r="AG583" s="526">
        <f t="shared" si="126"/>
        <v>0</v>
      </c>
      <c r="AH583" s="526">
        <f t="shared" si="126"/>
        <v>0</v>
      </c>
      <c r="AI583" s="526">
        <f t="shared" si="126"/>
        <v>0</v>
      </c>
      <c r="AJ583" s="526">
        <f t="shared" si="126"/>
        <v>0</v>
      </c>
      <c r="AK583" s="526">
        <f t="shared" si="126"/>
        <v>0</v>
      </c>
      <c r="AL583" s="526">
        <f t="shared" si="126"/>
        <v>0</v>
      </c>
      <c r="AM583" s="526">
        <f t="shared" si="126"/>
        <v>0</v>
      </c>
      <c r="AN583" s="417"/>
      <c r="AO583" s="417"/>
      <c r="AP583" s="417"/>
      <c r="AQ583" s="417"/>
      <c r="AR583" s="417"/>
      <c r="AS583" s="417"/>
      <c r="AT583" s="417"/>
      <c r="AU583" s="417"/>
      <c r="AV583" s="417"/>
      <c r="AW583" s="417"/>
      <c r="AX583" s="194"/>
      <c r="AY583" s="194"/>
      <c r="AZ583" s="194"/>
    </row>
    <row r="584" spans="1:52" s="111" customFormat="1" outlineLevel="1">
      <c r="A584" s="551" t="str">
        <f t="shared" si="105"/>
        <v>1</v>
      </c>
      <c r="B584" s="111" t="s">
        <v>1210</v>
      </c>
      <c r="L584" s="444" t="s">
        <v>157</v>
      </c>
      <c r="M584" s="418" t="s">
        <v>1203</v>
      </c>
      <c r="N584" s="445" t="s">
        <v>679</v>
      </c>
      <c r="O584" s="531">
        <f>IF(O580=0,0,O576*IF(plat_nds="да",1.2,1) )</f>
        <v>0</v>
      </c>
      <c r="P584" s="531">
        <f>IF(P580=0,0,P576*IF(plat_nds="да",1.2,1) )</f>
        <v>0</v>
      </c>
      <c r="Q584" s="531">
        <f>IF(Q580=0,0,Q576*IF(plat_nds="да",1.2,1) )</f>
        <v>0</v>
      </c>
      <c r="R584" s="416">
        <f>Q584-P584</f>
        <v>0</v>
      </c>
      <c r="S584" s="531">
        <f t="shared" ref="S584:AM584" si="127">IF(S580=0,0,S576*IF(plat_nds="да",1.2,1) )</f>
        <v>0</v>
      </c>
      <c r="T584" s="531">
        <f t="shared" si="127"/>
        <v>0</v>
      </c>
      <c r="U584" s="531">
        <f t="shared" si="127"/>
        <v>0</v>
      </c>
      <c r="V584" s="531">
        <f t="shared" si="127"/>
        <v>0</v>
      </c>
      <c r="W584" s="531">
        <f t="shared" si="127"/>
        <v>0</v>
      </c>
      <c r="X584" s="531">
        <f t="shared" si="127"/>
        <v>0</v>
      </c>
      <c r="Y584" s="531">
        <f t="shared" si="127"/>
        <v>0</v>
      </c>
      <c r="Z584" s="531">
        <f t="shared" si="127"/>
        <v>0</v>
      </c>
      <c r="AA584" s="531">
        <f t="shared" si="127"/>
        <v>0</v>
      </c>
      <c r="AB584" s="531">
        <f t="shared" si="127"/>
        <v>0</v>
      </c>
      <c r="AC584" s="531">
        <f t="shared" si="127"/>
        <v>0</v>
      </c>
      <c r="AD584" s="531">
        <f t="shared" si="127"/>
        <v>0</v>
      </c>
      <c r="AE584" s="531">
        <f t="shared" si="127"/>
        <v>0</v>
      </c>
      <c r="AF584" s="531">
        <f t="shared" si="127"/>
        <v>0</v>
      </c>
      <c r="AG584" s="531">
        <f t="shared" si="127"/>
        <v>0</v>
      </c>
      <c r="AH584" s="531">
        <f t="shared" si="127"/>
        <v>0</v>
      </c>
      <c r="AI584" s="531">
        <f t="shared" si="127"/>
        <v>0</v>
      </c>
      <c r="AJ584" s="531">
        <f t="shared" si="127"/>
        <v>0</v>
      </c>
      <c r="AK584" s="531">
        <f t="shared" si="127"/>
        <v>0</v>
      </c>
      <c r="AL584" s="531">
        <f t="shared" si="127"/>
        <v>0</v>
      </c>
      <c r="AM584" s="531">
        <f t="shared" si="127"/>
        <v>0</v>
      </c>
      <c r="AN584" s="417"/>
      <c r="AO584" s="417"/>
      <c r="AP584" s="417"/>
      <c r="AQ584" s="417"/>
      <c r="AR584" s="417"/>
      <c r="AS584" s="417"/>
      <c r="AT584" s="417"/>
      <c r="AU584" s="417"/>
      <c r="AV584" s="417"/>
      <c r="AW584" s="417"/>
      <c r="AX584" s="194"/>
      <c r="AY584" s="194"/>
      <c r="AZ584" s="194"/>
    </row>
    <row r="585" spans="1:52" s="558" customFormat="1">
      <c r="A585" s="569" t="s">
        <v>1362</v>
      </c>
      <c r="M585" s="559"/>
      <c r="N585" s="559"/>
      <c r="O585" s="559"/>
      <c r="P585" s="559"/>
      <c r="AA585" s="560"/>
    </row>
    <row r="586" spans="1:52" s="111" customFormat="1" ht="14.25" outlineLevel="1">
      <c r="A586" s="322" t="str">
        <f ca="1">OFFSET(A586,-1,0)</f>
        <v>et_List15_1</v>
      </c>
      <c r="K586" s="147" t="s">
        <v>283</v>
      </c>
      <c r="L586" s="412" t="s">
        <v>1363</v>
      </c>
      <c r="M586" s="561"/>
      <c r="N586" s="414" t="s">
        <v>370</v>
      </c>
      <c r="O586" s="415"/>
      <c r="P586" s="415"/>
      <c r="Q586" s="415"/>
      <c r="R586" s="416">
        <f>Q586-P586</f>
        <v>0</v>
      </c>
      <c r="S586" s="553"/>
      <c r="T586" s="553"/>
      <c r="U586" s="553"/>
      <c r="V586" s="553"/>
      <c r="W586" s="553"/>
      <c r="X586" s="553"/>
      <c r="Y586" s="553"/>
      <c r="Z586" s="553"/>
      <c r="AA586" s="553"/>
      <c r="AB586" s="553"/>
      <c r="AC586" s="553"/>
      <c r="AD586" s="553"/>
      <c r="AE586" s="553"/>
      <c r="AF586" s="553"/>
      <c r="AG586" s="553"/>
      <c r="AH586" s="553"/>
      <c r="AI586" s="553"/>
      <c r="AJ586" s="553"/>
      <c r="AK586" s="553"/>
      <c r="AL586" s="553"/>
      <c r="AM586" s="553"/>
      <c r="AN586" s="553"/>
      <c r="AO586" s="553"/>
      <c r="AP586" s="553"/>
      <c r="AQ586" s="553"/>
      <c r="AR586" s="553"/>
      <c r="AS586" s="553"/>
      <c r="AT586" s="553"/>
      <c r="AU586" s="553"/>
      <c r="AV586" s="553"/>
      <c r="AW586" s="553"/>
      <c r="AX586" s="194"/>
      <c r="AY586" s="194"/>
      <c r="AZ586" s="194"/>
    </row>
    <row r="587" spans="1:52">
      <c r="A587" s="551"/>
    </row>
    <row r="588" spans="1:52" s="143" customFormat="1" ht="30" customHeight="1">
      <c r="A588" s="142" t="s">
        <v>1102</v>
      </c>
      <c r="M588" s="144"/>
      <c r="N588" s="144"/>
      <c r="O588" s="144"/>
      <c r="P588" s="144"/>
      <c r="AA588" s="145"/>
    </row>
    <row r="589" spans="1:52">
      <c r="A589" s="146" t="s">
        <v>1103</v>
      </c>
    </row>
    <row r="590" spans="1:52" s="322" customFormat="1" ht="15" customHeight="1">
      <c r="A590" s="183" t="s">
        <v>18</v>
      </c>
      <c r="F590" s="322" t="str">
        <f>INDEX('Общие сведения'!$N$113:$N$146,MATCH($A590,'Общие сведения'!$D$113:$D$146,0))</f>
        <v>одноставочный</v>
      </c>
      <c r="G590" s="323"/>
      <c r="L590" s="643" t="s">
        <v>16</v>
      </c>
      <c r="M590" s="644"/>
      <c r="N590" s="382" t="str">
        <f>"Тариф " &amp; A590</f>
        <v>Тариф 1</v>
      </c>
      <c r="O590" s="383"/>
      <c r="P590" s="383"/>
      <c r="Q590" s="383"/>
      <c r="R590" s="383"/>
      <c r="S590" s="383"/>
      <c r="T590" s="383"/>
      <c r="U590" s="383"/>
      <c r="V590" s="383"/>
      <c r="W590" s="383"/>
      <c r="X590" s="383"/>
      <c r="Y590" s="383"/>
      <c r="Z590" s="383"/>
      <c r="AA590" s="383"/>
      <c r="AB590" s="383"/>
      <c r="AC590" s="383"/>
      <c r="AD590" s="383"/>
      <c r="AE590" s="383"/>
      <c r="AF590" s="383"/>
      <c r="AG590" s="383"/>
      <c r="AH590" s="383"/>
      <c r="AI590" s="383"/>
      <c r="AJ590" s="383"/>
      <c r="AK590" s="383"/>
      <c r="AL590" s="383"/>
      <c r="AM590" s="383"/>
      <c r="AN590" s="383"/>
      <c r="AO590" s="383"/>
      <c r="AP590" s="383"/>
      <c r="AQ590" s="384"/>
    </row>
    <row r="591" spans="1:52" s="322" customFormat="1" ht="15" customHeight="1" outlineLevel="1">
      <c r="A591" s="322" t="str">
        <f>A590</f>
        <v>1</v>
      </c>
      <c r="L591" s="639" t="s">
        <v>686</v>
      </c>
      <c r="M591" s="640"/>
      <c r="N591" s="382" t="str">
        <f>INDEX('Общие сведения'!$K$113:$K$146,MATCH($A591,'Общие сведения'!$D$113:$D$146,0))</f>
        <v>техническая вода</v>
      </c>
      <c r="O591" s="385"/>
      <c r="P591" s="385"/>
      <c r="Q591" s="385"/>
      <c r="R591" s="385"/>
      <c r="S591" s="385"/>
      <c r="T591" s="385"/>
      <c r="U591" s="385"/>
      <c r="V591" s="385"/>
      <c r="W591" s="385"/>
      <c r="X591" s="385"/>
      <c r="Y591" s="385"/>
      <c r="Z591" s="385"/>
      <c r="AA591" s="385"/>
      <c r="AB591" s="385"/>
      <c r="AC591" s="385"/>
      <c r="AD591" s="385"/>
      <c r="AE591" s="385"/>
      <c r="AF591" s="385"/>
      <c r="AG591" s="385"/>
      <c r="AH591" s="385"/>
      <c r="AI591" s="385"/>
      <c r="AJ591" s="385"/>
      <c r="AK591" s="385"/>
      <c r="AL591" s="385"/>
      <c r="AM591" s="385"/>
      <c r="AN591" s="385"/>
      <c r="AO591" s="385"/>
      <c r="AP591" s="385"/>
      <c r="AQ591" s="386"/>
    </row>
    <row r="592" spans="1:52" s="322" customFormat="1" ht="15" customHeight="1" outlineLevel="1">
      <c r="A592" s="322" t="str">
        <f t="shared" ref="A592:A629" si="128">A591</f>
        <v>1</v>
      </c>
      <c r="L592" s="639" t="s">
        <v>687</v>
      </c>
      <c r="M592" s="640"/>
      <c r="N592" s="382" t="str">
        <f>INDEX('Общие сведения'!$L$113:$L$146,MATCH($A592,'Общие сведения'!$D$113:$D$146,0))</f>
        <v>тариф на техническую воду</v>
      </c>
      <c r="O592" s="385"/>
      <c r="P592" s="385"/>
      <c r="Q592" s="385"/>
      <c r="R592" s="385"/>
      <c r="S592" s="385"/>
      <c r="T592" s="385"/>
      <c r="U592" s="385"/>
      <c r="V592" s="385"/>
      <c r="W592" s="385"/>
      <c r="X592" s="385"/>
      <c r="Y592" s="385"/>
      <c r="Z592" s="385"/>
      <c r="AA592" s="385"/>
      <c r="AB592" s="385"/>
      <c r="AC592" s="385"/>
      <c r="AD592" s="385"/>
      <c r="AE592" s="385"/>
      <c r="AF592" s="385"/>
      <c r="AG592" s="385"/>
      <c r="AH592" s="385"/>
      <c r="AI592" s="385"/>
      <c r="AJ592" s="385"/>
      <c r="AK592" s="385"/>
      <c r="AL592" s="385"/>
      <c r="AM592" s="385"/>
      <c r="AN592" s="385"/>
      <c r="AO592" s="385"/>
      <c r="AP592" s="385"/>
      <c r="AQ592" s="386"/>
    </row>
    <row r="593" spans="1:43" s="322" customFormat="1" ht="15" customHeight="1" outlineLevel="1">
      <c r="A593" s="322" t="str">
        <f t="shared" si="128"/>
        <v>1</v>
      </c>
      <c r="L593" s="639" t="s">
        <v>282</v>
      </c>
      <c r="M593" s="640"/>
      <c r="N593" s="382" t="str">
        <f>INDEX('Общие сведения'!$M$113:$M$146,MATCH($A593,'Общие сведения'!$D$113:$D$146,0))</f>
        <v>нет</v>
      </c>
      <c r="O593" s="385"/>
      <c r="P593" s="385"/>
      <c r="Q593" s="385"/>
      <c r="R593" s="385"/>
      <c r="S593" s="385"/>
      <c r="T593" s="385"/>
      <c r="U593" s="385"/>
      <c r="V593" s="385"/>
      <c r="W593" s="385"/>
      <c r="X593" s="385"/>
      <c r="Y593" s="385"/>
      <c r="Z593" s="385"/>
      <c r="AA593" s="385"/>
      <c r="AB593" s="385"/>
      <c r="AC593" s="385"/>
      <c r="AD593" s="385"/>
      <c r="AE593" s="385"/>
      <c r="AF593" s="385"/>
      <c r="AG593" s="385"/>
      <c r="AH593" s="385"/>
      <c r="AI593" s="385"/>
      <c r="AJ593" s="385"/>
      <c r="AK593" s="385"/>
      <c r="AL593" s="385"/>
      <c r="AM593" s="385"/>
      <c r="AN593" s="385"/>
      <c r="AO593" s="385"/>
      <c r="AP593" s="385"/>
      <c r="AQ593" s="386"/>
    </row>
    <row r="594" spans="1:43" s="322" customFormat="1" ht="15" customHeight="1" outlineLevel="1">
      <c r="A594" s="322" t="str">
        <f t="shared" si="128"/>
        <v>1</v>
      </c>
      <c r="G594" s="322" t="b">
        <f>F590="одноставочный"</f>
        <v>1</v>
      </c>
      <c r="L594" s="387" t="s">
        <v>688</v>
      </c>
      <c r="M594" s="388"/>
      <c r="N594" s="389"/>
      <c r="O594" s="389"/>
      <c r="P594" s="389"/>
      <c r="Q594" s="389"/>
      <c r="R594" s="389"/>
      <c r="S594" s="389"/>
      <c r="T594" s="389"/>
      <c r="U594" s="389"/>
      <c r="V594" s="389"/>
      <c r="W594" s="389"/>
      <c r="X594" s="389"/>
      <c r="Y594" s="389"/>
      <c r="Z594" s="389"/>
      <c r="AA594" s="389"/>
      <c r="AB594" s="389"/>
      <c r="AC594" s="389"/>
      <c r="AD594" s="389"/>
      <c r="AE594" s="389"/>
      <c r="AF594" s="389"/>
      <c r="AG594" s="389"/>
      <c r="AH594" s="389"/>
      <c r="AI594" s="389"/>
      <c r="AJ594" s="389"/>
      <c r="AK594" s="389"/>
      <c r="AL594" s="389"/>
      <c r="AM594" s="389"/>
      <c r="AN594" s="389"/>
      <c r="AO594" s="389"/>
      <c r="AP594" s="389"/>
      <c r="AQ594" s="390"/>
    </row>
    <row r="595" spans="1:43" s="391" customFormat="1" ht="15" customHeight="1" outlineLevel="1">
      <c r="A595" s="322" t="str">
        <f t="shared" si="128"/>
        <v>1</v>
      </c>
      <c r="B595" s="322" t="s">
        <v>1208</v>
      </c>
      <c r="G595" s="322" t="b">
        <f>F590="одноставочный"</f>
        <v>1</v>
      </c>
      <c r="L595" s="392" t="s">
        <v>1139</v>
      </c>
      <c r="M595" s="393" t="s">
        <v>679</v>
      </c>
      <c r="N595" s="394" t="e">
        <f>SUMIFS(INDEX(Калькуляция!$T$15:$AM$139,,MATCH(N$3,Калькуляция!$T$3:$AM$3,0)),Калькуляция!$A$15:$A$139,$A595,Калькуляция!$B$15:$B$139,$B595)</f>
        <v>#N/A</v>
      </c>
      <c r="O595" s="394" t="e">
        <f>SUMIFS(INDEX(Калькуляция!$T$15:$AM$139,,MATCH(O$3,Калькуляция!$T$3:$AM$3,0)),Калькуляция!$A$15:$A$139,$A595,Калькуляция!$B$15:$B$139,$B595)</f>
        <v>#N/A</v>
      </c>
      <c r="P595" s="395" t="e">
        <f>IF(N595=0,0,(O595-N595)/N595*100)</f>
        <v>#N/A</v>
      </c>
      <c r="Q595" s="394" t="e">
        <f>SUMIFS(INDEX(Калькуляция!$T$15:$AM$139,,MATCH(Q$3,Калькуляция!$T$3:$AM$3,0)),Калькуляция!$A$15:$A$139,$A595,Калькуляция!$B$15:$B$139,$B595)</f>
        <v>#N/A</v>
      </c>
      <c r="R595" s="394" t="e">
        <f>SUMIFS(INDEX(Калькуляция!$T$15:$AM$139,,MATCH(R$3,Калькуляция!$T$3:$AM$3,0)),Калькуляция!$A$15:$A$139,$A595,Калькуляция!$B$15:$B$139,$B595)</f>
        <v>#N/A</v>
      </c>
      <c r="S595" s="395" t="e">
        <f>IF(Q595=0,0,(R595-Q595)/Q595*100)</f>
        <v>#N/A</v>
      </c>
      <c r="T595" s="394" t="e">
        <f>SUMIFS(INDEX(Калькуляция!$T$15:$AM$139,,MATCH(T$3,Калькуляция!$T$3:$AM$3,0)),Калькуляция!$A$15:$A$139,$A595,Калькуляция!$B$15:$B$139,$B595)</f>
        <v>#N/A</v>
      </c>
      <c r="U595" s="394" t="e">
        <f>SUMIFS(INDEX(Калькуляция!$T$15:$AM$139,,MATCH(U$3,Калькуляция!$T$3:$AM$3,0)),Калькуляция!$A$15:$A$139,$A595,Калькуляция!$B$15:$B$139,$B595)</f>
        <v>#N/A</v>
      </c>
      <c r="V595" s="395" t="e">
        <f>IF(T595=0,0,(U595-T595)/T595*100)</f>
        <v>#N/A</v>
      </c>
      <c r="W595" s="394" t="e">
        <f>SUMIFS(INDEX(Калькуляция!$T$15:$AM$139,,MATCH(W$3,Калькуляция!$T$3:$AM$3,0)),Калькуляция!$A$15:$A$139,$A595,Калькуляция!$B$15:$B$139,$B595)</f>
        <v>#N/A</v>
      </c>
      <c r="X595" s="394" t="e">
        <f>SUMIFS(INDEX(Калькуляция!$T$15:$AM$139,,MATCH(X$3,Калькуляция!$T$3:$AM$3,0)),Калькуляция!$A$15:$A$139,$A595,Калькуляция!$B$15:$B$139,$B595)</f>
        <v>#N/A</v>
      </c>
      <c r="Y595" s="395" t="e">
        <f>IF(W595=0,0,(X595-W595)/W595*100)</f>
        <v>#N/A</v>
      </c>
      <c r="Z595" s="394" t="e">
        <f>SUMIFS(INDEX(Калькуляция!$T$15:$AM$139,,MATCH(Z$3,Калькуляция!$T$3:$AM$3,0)),Калькуляция!$A$15:$A$139,$A595,Калькуляция!$B$15:$B$139,$B595)</f>
        <v>#N/A</v>
      </c>
      <c r="AA595" s="394" t="e">
        <f>SUMIFS(INDEX(Калькуляция!$T$15:$AM$139,,MATCH(AA$3,Калькуляция!$T$3:$AM$3,0)),Калькуляция!$A$15:$A$139,$A595,Калькуляция!$B$15:$B$139,$B595)</f>
        <v>#N/A</v>
      </c>
      <c r="AB595" s="395" t="e">
        <f>IF(Z595=0,0,(AA595-Z595)/Z595*100)</f>
        <v>#N/A</v>
      </c>
      <c r="AC595" s="394" t="e">
        <f>SUMIFS(INDEX(Калькуляция!$T$15:$AM$139,,MATCH(AC$3,Калькуляция!$T$3:$AM$3,0)),Калькуляция!$A$15:$A$139,$A595,Калькуляция!$B$15:$B$139,$B595)</f>
        <v>#N/A</v>
      </c>
      <c r="AD595" s="394" t="e">
        <f>SUMIFS(INDEX(Калькуляция!$T$15:$AM$139,,MATCH(AD$3,Калькуляция!$T$3:$AM$3,0)),Калькуляция!$A$15:$A$139,$A595,Калькуляция!$B$15:$B$139,$B595)</f>
        <v>#N/A</v>
      </c>
      <c r="AE595" s="395" t="e">
        <f>IF(AC595=0,0,(AD595-AC595)/AC595*100)</f>
        <v>#N/A</v>
      </c>
      <c r="AF595" s="394" t="e">
        <f>SUMIFS(INDEX(Калькуляция!$T$15:$AM$139,,MATCH(AF$3,Калькуляция!$T$3:$AM$3,0)),Калькуляция!$A$15:$A$139,$A595,Калькуляция!$B$15:$B$139,$B595)</f>
        <v>#N/A</v>
      </c>
      <c r="AG595" s="394" t="e">
        <f>SUMIFS(INDEX(Калькуляция!$T$15:$AM$139,,MATCH(AG$3,Калькуляция!$T$3:$AM$3,0)),Калькуляция!$A$15:$A$139,$A595,Калькуляция!$B$15:$B$139,$B595)</f>
        <v>#N/A</v>
      </c>
      <c r="AH595" s="395" t="e">
        <f>IF(AF595=0,0,(AG595-AF595)/AF595*100)</f>
        <v>#N/A</v>
      </c>
      <c r="AI595" s="394" t="e">
        <f>SUMIFS(INDEX(Калькуляция!$T$15:$AM$139,,MATCH(AI$3,Калькуляция!$T$3:$AM$3,0)),Калькуляция!$A$15:$A$139,$A595,Калькуляция!$B$15:$B$139,$B595)</f>
        <v>#N/A</v>
      </c>
      <c r="AJ595" s="394" t="e">
        <f>SUMIFS(INDEX(Калькуляция!$T$15:$AM$139,,MATCH(AJ$3,Калькуляция!$T$3:$AM$3,0)),Калькуляция!$A$15:$A$139,$A595,Калькуляция!$B$15:$B$139,$B595)</f>
        <v>#N/A</v>
      </c>
      <c r="AK595" s="395" t="e">
        <f>IF(AI595=0,0,(AJ595-AI595)/AI595*100)</f>
        <v>#N/A</v>
      </c>
      <c r="AL595" s="394" t="e">
        <f>SUMIFS(INDEX(Калькуляция!$T$15:$AM$139,,MATCH(AL$3,Калькуляция!$T$3:$AM$3,0)),Калькуляция!$A$15:$A$139,$A595,Калькуляция!$B$15:$B$139,$B595)</f>
        <v>#N/A</v>
      </c>
      <c r="AM595" s="394" t="e">
        <f>SUMIFS(INDEX(Калькуляция!$T$15:$AM$139,,MATCH(AM$3,Калькуляция!$T$3:$AM$3,0)),Калькуляция!$A$15:$A$139,$A595,Калькуляция!$B$15:$B$139,$B595)</f>
        <v>#N/A</v>
      </c>
      <c r="AN595" s="395" t="e">
        <f>IF(AL595=0,0,(AM595-AL595)/AL595*100)</f>
        <v>#N/A</v>
      </c>
      <c r="AO595" s="394" t="e">
        <f>SUMIFS(INDEX(Калькуляция!$T$15:$AM$139,,MATCH(AO$3,Калькуляция!$T$3:$AM$3,0)),Калькуляция!$A$15:$A$139,$A595,Калькуляция!$B$15:$B$139,$B595)</f>
        <v>#N/A</v>
      </c>
      <c r="AP595" s="394" t="e">
        <f>SUMIFS(INDEX(Калькуляция!$T$15:$AM$139,,MATCH(AP$3,Калькуляция!$T$3:$AM$3,0)),Калькуляция!$A$15:$A$139,$A595,Калькуляция!$B$15:$B$139,$B595)</f>
        <v>#N/A</v>
      </c>
      <c r="AQ595" s="395" t="e">
        <f>IF(AO595=0,0,(AP595-AO595)/AO595*100)</f>
        <v>#N/A</v>
      </c>
    </row>
    <row r="596" spans="1:43" s="391" customFormat="1" ht="15" customHeight="1" outlineLevel="1">
      <c r="A596" s="322" t="str">
        <f t="shared" si="128"/>
        <v>1</v>
      </c>
      <c r="B596" s="322" t="s">
        <v>1209</v>
      </c>
      <c r="G596" s="322" t="b">
        <f>F590="одноставочный"</f>
        <v>1</v>
      </c>
      <c r="L596" s="392" t="s">
        <v>1140</v>
      </c>
      <c r="M596" s="393" t="s">
        <v>679</v>
      </c>
      <c r="N596" s="394" t="e">
        <f>SUMIFS(INDEX(Калькуляция!$T$15:$AM$139,,MATCH(N$3,Калькуляция!$T$3:$AM$3,0)),Калькуляция!$A$15:$A$139,$A596,Калькуляция!$B$15:$B$139,$B596)</f>
        <v>#N/A</v>
      </c>
      <c r="O596" s="394" t="e">
        <f>SUMIFS(INDEX(Калькуляция!$T$15:$AM$139,,MATCH(O$3,Калькуляция!$T$3:$AM$3,0)),Калькуляция!$A$15:$A$139,$A596,Калькуляция!$B$15:$B$139,$B596)</f>
        <v>#N/A</v>
      </c>
      <c r="P596" s="395" t="e">
        <f>IF(N596=0,0,(O596-N596)/N596*100)</f>
        <v>#N/A</v>
      </c>
      <c r="Q596" s="394" t="e">
        <f>SUMIFS(INDEX(Калькуляция!$T$15:$AM$139,,MATCH(Q$3,Калькуляция!$T$3:$AM$3,0)),Калькуляция!$A$15:$A$139,$A596,Калькуляция!$B$15:$B$139,$B596)</f>
        <v>#N/A</v>
      </c>
      <c r="R596" s="394" t="e">
        <f>SUMIFS(INDEX(Калькуляция!$T$15:$AM$139,,MATCH(R$3,Калькуляция!$T$3:$AM$3,0)),Калькуляция!$A$15:$A$139,$A596,Калькуляция!$B$15:$B$139,$B596)</f>
        <v>#N/A</v>
      </c>
      <c r="S596" s="395" t="e">
        <f>IF(Q596=0,0,(R596-Q596)/Q596*100)</f>
        <v>#N/A</v>
      </c>
      <c r="T596" s="394" t="e">
        <f>SUMIFS(INDEX(Калькуляция!$T$15:$AM$139,,MATCH(T$3,Калькуляция!$T$3:$AM$3,0)),Калькуляция!$A$15:$A$139,$A596,Калькуляция!$B$15:$B$139,$B596)</f>
        <v>#N/A</v>
      </c>
      <c r="U596" s="394" t="e">
        <f>SUMIFS(INDEX(Калькуляция!$T$15:$AM$139,,MATCH(U$3,Калькуляция!$T$3:$AM$3,0)),Калькуляция!$A$15:$A$139,$A596,Калькуляция!$B$15:$B$139,$B596)</f>
        <v>#N/A</v>
      </c>
      <c r="V596" s="395" t="e">
        <f>IF(T596=0,0,(U596-T596)/T596*100)</f>
        <v>#N/A</v>
      </c>
      <c r="W596" s="394" t="e">
        <f>SUMIFS(INDEX(Калькуляция!$T$15:$AM$139,,MATCH(W$3,Калькуляция!$T$3:$AM$3,0)),Калькуляция!$A$15:$A$139,$A596,Калькуляция!$B$15:$B$139,$B596)</f>
        <v>#N/A</v>
      </c>
      <c r="X596" s="394" t="e">
        <f>SUMIFS(INDEX(Калькуляция!$T$15:$AM$139,,MATCH(X$3,Калькуляция!$T$3:$AM$3,0)),Калькуляция!$A$15:$A$139,$A596,Калькуляция!$B$15:$B$139,$B596)</f>
        <v>#N/A</v>
      </c>
      <c r="Y596" s="395" t="e">
        <f>IF(W596=0,0,(X596-W596)/W596*100)</f>
        <v>#N/A</v>
      </c>
      <c r="Z596" s="394" t="e">
        <f>SUMIFS(INDEX(Калькуляция!$T$15:$AM$139,,MATCH(Z$3,Калькуляция!$T$3:$AM$3,0)),Калькуляция!$A$15:$A$139,$A596,Калькуляция!$B$15:$B$139,$B596)</f>
        <v>#N/A</v>
      </c>
      <c r="AA596" s="394" t="e">
        <f>SUMIFS(INDEX(Калькуляция!$T$15:$AM$139,,MATCH(AA$3,Калькуляция!$T$3:$AM$3,0)),Калькуляция!$A$15:$A$139,$A596,Калькуляция!$B$15:$B$139,$B596)</f>
        <v>#N/A</v>
      </c>
      <c r="AB596" s="395" t="e">
        <f>IF(Z596=0,0,(AA596-Z596)/Z596*100)</f>
        <v>#N/A</v>
      </c>
      <c r="AC596" s="394" t="e">
        <f>SUMIFS(INDEX(Калькуляция!$T$15:$AM$139,,MATCH(AC$3,Калькуляция!$T$3:$AM$3,0)),Калькуляция!$A$15:$A$139,$A596,Калькуляция!$B$15:$B$139,$B596)</f>
        <v>#N/A</v>
      </c>
      <c r="AD596" s="394" t="e">
        <f>SUMIFS(INDEX(Калькуляция!$T$15:$AM$139,,MATCH(AD$3,Калькуляция!$T$3:$AM$3,0)),Калькуляция!$A$15:$A$139,$A596,Калькуляция!$B$15:$B$139,$B596)</f>
        <v>#N/A</v>
      </c>
      <c r="AE596" s="395" t="e">
        <f>IF(AC596=0,0,(AD596-AC596)/AC596*100)</f>
        <v>#N/A</v>
      </c>
      <c r="AF596" s="394" t="e">
        <f>SUMIFS(INDEX(Калькуляция!$T$15:$AM$139,,MATCH(AF$3,Калькуляция!$T$3:$AM$3,0)),Калькуляция!$A$15:$A$139,$A596,Калькуляция!$B$15:$B$139,$B596)</f>
        <v>#N/A</v>
      </c>
      <c r="AG596" s="394" t="e">
        <f>SUMIFS(INDEX(Калькуляция!$T$15:$AM$139,,MATCH(AG$3,Калькуляция!$T$3:$AM$3,0)),Калькуляция!$A$15:$A$139,$A596,Калькуляция!$B$15:$B$139,$B596)</f>
        <v>#N/A</v>
      </c>
      <c r="AH596" s="395" t="e">
        <f>IF(AF596=0,0,(AG596-AF596)/AF596*100)</f>
        <v>#N/A</v>
      </c>
      <c r="AI596" s="394" t="e">
        <f>SUMIFS(INDEX(Калькуляция!$T$15:$AM$139,,MATCH(AI$3,Калькуляция!$T$3:$AM$3,0)),Калькуляция!$A$15:$A$139,$A596,Калькуляция!$B$15:$B$139,$B596)</f>
        <v>#N/A</v>
      </c>
      <c r="AJ596" s="394" t="e">
        <f>SUMIFS(INDEX(Калькуляция!$T$15:$AM$139,,MATCH(AJ$3,Калькуляция!$T$3:$AM$3,0)),Калькуляция!$A$15:$A$139,$A596,Калькуляция!$B$15:$B$139,$B596)</f>
        <v>#N/A</v>
      </c>
      <c r="AK596" s="395" t="e">
        <f>IF(AI596=0,0,(AJ596-AI596)/AI596*100)</f>
        <v>#N/A</v>
      </c>
      <c r="AL596" s="394" t="e">
        <f>SUMIFS(INDEX(Калькуляция!$T$15:$AM$139,,MATCH(AL$3,Калькуляция!$T$3:$AM$3,0)),Калькуляция!$A$15:$A$139,$A596,Калькуляция!$B$15:$B$139,$B596)</f>
        <v>#N/A</v>
      </c>
      <c r="AM596" s="394" t="e">
        <f>SUMIFS(INDEX(Калькуляция!$T$15:$AM$139,,MATCH(AM$3,Калькуляция!$T$3:$AM$3,0)),Калькуляция!$A$15:$A$139,$A596,Калькуляция!$B$15:$B$139,$B596)</f>
        <v>#N/A</v>
      </c>
      <c r="AN596" s="395" t="e">
        <f>IF(AL596=0,0,(AM596-AL596)/AL596*100)</f>
        <v>#N/A</v>
      </c>
      <c r="AO596" s="394" t="e">
        <f>SUMIFS(INDEX(Калькуляция!$T$15:$AM$139,,MATCH(AO$3,Калькуляция!$T$3:$AM$3,0)),Калькуляция!$A$15:$A$139,$A596,Калькуляция!$B$15:$B$139,$B596)</f>
        <v>#N/A</v>
      </c>
      <c r="AP596" s="394" t="e">
        <f>SUMIFS(INDEX(Калькуляция!$T$15:$AM$139,,MATCH(AP$3,Калькуляция!$T$3:$AM$3,0)),Калькуляция!$A$15:$A$139,$A596,Калькуляция!$B$15:$B$139,$B596)</f>
        <v>#N/A</v>
      </c>
      <c r="AQ596" s="395" t="e">
        <f>IF(AO596=0,0,(AP596-AO596)/AO596*100)</f>
        <v>#N/A</v>
      </c>
    </row>
    <row r="597" spans="1:43" s="322" customFormat="1" ht="15" customHeight="1" outlineLevel="1">
      <c r="A597" s="322" t="str">
        <f t="shared" si="128"/>
        <v>1</v>
      </c>
      <c r="G597" s="322" t="b">
        <f>F590="одноставочный"</f>
        <v>1</v>
      </c>
      <c r="L597" s="396" t="s">
        <v>689</v>
      </c>
      <c r="M597" s="397" t="s">
        <v>145</v>
      </c>
      <c r="N597" s="398" t="e">
        <f>IF(N595=0,0,N596/N595)*100</f>
        <v>#N/A</v>
      </c>
      <c r="O597" s="398" t="e">
        <f>IF(O595=0,0,O596/O595)*100</f>
        <v>#N/A</v>
      </c>
      <c r="P597" s="399"/>
      <c r="Q597" s="398" t="e">
        <f>IF(Q595=0,0,Q596/Q595)*100</f>
        <v>#N/A</v>
      </c>
      <c r="R597" s="398" t="e">
        <f>IF(R595=0,0,R596/R595)*100</f>
        <v>#N/A</v>
      </c>
      <c r="S597" s="399"/>
      <c r="T597" s="398" t="e">
        <f>IF(T595=0,0,T596/T595)*100</f>
        <v>#N/A</v>
      </c>
      <c r="U597" s="398" t="e">
        <f>IF(U595=0,0,U596/U595)*100</f>
        <v>#N/A</v>
      </c>
      <c r="V597" s="399"/>
      <c r="W597" s="398" t="e">
        <f>IF(W595=0,0,W596/W595)*100</f>
        <v>#N/A</v>
      </c>
      <c r="X597" s="398" t="e">
        <f>IF(X595=0,0,X596/X595)*100</f>
        <v>#N/A</v>
      </c>
      <c r="Y597" s="399"/>
      <c r="Z597" s="398" t="e">
        <f>IF(Z595=0,0,Z596/Z595)*100</f>
        <v>#N/A</v>
      </c>
      <c r="AA597" s="398" t="e">
        <f>IF(AA595=0,0,AA596/AA595)*100</f>
        <v>#N/A</v>
      </c>
      <c r="AB597" s="399"/>
      <c r="AC597" s="398" t="e">
        <f>IF(AC595=0,0,AC596/AC595)*100</f>
        <v>#N/A</v>
      </c>
      <c r="AD597" s="398" t="e">
        <f>IF(AD595=0,0,AD596/AD595)*100</f>
        <v>#N/A</v>
      </c>
      <c r="AE597" s="399"/>
      <c r="AF597" s="398" t="e">
        <f>IF(AF595=0,0,AF596/AF595)*100</f>
        <v>#N/A</v>
      </c>
      <c r="AG597" s="398" t="e">
        <f>IF(AG595=0,0,AG596/AG595)*100</f>
        <v>#N/A</v>
      </c>
      <c r="AH597" s="399"/>
      <c r="AI597" s="398" t="e">
        <f>IF(AI595=0,0,AI596/AI595)*100</f>
        <v>#N/A</v>
      </c>
      <c r="AJ597" s="398" t="e">
        <f>IF(AJ595=0,0,AJ596/AJ595)*100</f>
        <v>#N/A</v>
      </c>
      <c r="AK597" s="399"/>
      <c r="AL597" s="398" t="e">
        <f>IF(AL595=0,0,AL596/AL595)*100</f>
        <v>#N/A</v>
      </c>
      <c r="AM597" s="398" t="e">
        <f>IF(AM595=0,0,AM596/AM595)*100</f>
        <v>#N/A</v>
      </c>
      <c r="AN597" s="399"/>
      <c r="AO597" s="398" t="e">
        <f>IF(AO595=0,0,AO596/AO595)*100</f>
        <v>#N/A</v>
      </c>
      <c r="AP597" s="398" t="e">
        <f>IF(AP595=0,0,AP596/AP595)*100</f>
        <v>#N/A</v>
      </c>
      <c r="AQ597" s="399"/>
    </row>
    <row r="598" spans="1:43" s="322" customFormat="1" ht="15" customHeight="1" outlineLevel="1">
      <c r="A598" s="322" t="str">
        <f t="shared" si="128"/>
        <v>1</v>
      </c>
      <c r="B598" s="111" t="s">
        <v>1217</v>
      </c>
      <c r="G598" s="322" t="b">
        <f>F590="одноставочный"</f>
        <v>1</v>
      </c>
      <c r="L598" s="396" t="s">
        <v>690</v>
      </c>
      <c r="M598" s="397" t="s">
        <v>329</v>
      </c>
      <c r="N598" s="571" t="e">
        <f>SUMIFS(INDEX(Калькуляция!$T$15:$AM$139,,MATCH(N$3,Калькуляция!$T$3:$AM$3,0)),Калькуляция!$A$15:$A$139,$A598,Калькуляция!$B$15:$B$139,$B598)</f>
        <v>#N/A</v>
      </c>
      <c r="O598" s="571" t="e">
        <f>SUMIFS(INDEX(Калькуляция!$T$15:$AM$139,,MATCH(O$3,Калькуляция!$T$3:$AM$3,0)),Калькуляция!$A$15:$A$139,$A598,Калькуляция!$B$15:$B$139,$B598)</f>
        <v>#N/A</v>
      </c>
      <c r="P598" s="527" t="e">
        <f>IF(N598=0,0,(O598-N598)/N598*100)</f>
        <v>#N/A</v>
      </c>
      <c r="Q598" s="571" t="e">
        <f>SUMIFS(INDEX(Калькуляция!$T$15:$AM$139,,MATCH(Q$3,Калькуляция!$T$3:$AM$3,0)),Калькуляция!$A$15:$A$139,$A598,Калькуляция!$B$15:$B$139,$B598)</f>
        <v>#N/A</v>
      </c>
      <c r="R598" s="571" t="e">
        <f>SUMIFS(INDEX(Калькуляция!$T$15:$AM$139,,MATCH(R$3,Калькуляция!$T$3:$AM$3,0)),Калькуляция!$A$15:$A$139,$A598,Калькуляция!$B$15:$B$139,$B598)</f>
        <v>#N/A</v>
      </c>
      <c r="S598" s="527" t="e">
        <f>IF(Q598=0,0,(R598-Q598)/Q598*100)</f>
        <v>#N/A</v>
      </c>
      <c r="T598" s="571" t="e">
        <f>SUMIFS(INDEX(Калькуляция!$T$15:$AM$139,,MATCH(T$3,Калькуляция!$T$3:$AM$3,0)),Калькуляция!$A$15:$A$139,$A598,Калькуляция!$B$15:$B$139,$B598)</f>
        <v>#N/A</v>
      </c>
      <c r="U598" s="571" t="e">
        <f>SUMIFS(INDEX(Калькуляция!$T$15:$AM$139,,MATCH(U$3,Калькуляция!$T$3:$AM$3,0)),Калькуляция!$A$15:$A$139,$A598,Калькуляция!$B$15:$B$139,$B598)</f>
        <v>#N/A</v>
      </c>
      <c r="V598" s="527" t="e">
        <f>IF(T598=0,0,(U598-T598)/T598*100)</f>
        <v>#N/A</v>
      </c>
      <c r="W598" s="571" t="e">
        <f>SUMIFS(INDEX(Калькуляция!$T$15:$AM$139,,MATCH(W$3,Калькуляция!$T$3:$AM$3,0)),Калькуляция!$A$15:$A$139,$A598,Калькуляция!$B$15:$B$139,$B598)</f>
        <v>#N/A</v>
      </c>
      <c r="X598" s="571" t="e">
        <f>SUMIFS(INDEX(Калькуляция!$T$15:$AM$139,,MATCH(X$3,Калькуляция!$T$3:$AM$3,0)),Калькуляция!$A$15:$A$139,$A598,Калькуляция!$B$15:$B$139,$B598)</f>
        <v>#N/A</v>
      </c>
      <c r="Y598" s="527" t="e">
        <f>IF(W598=0,0,(X598-W598)/W598*100)</f>
        <v>#N/A</v>
      </c>
      <c r="Z598" s="571" t="e">
        <f>SUMIFS(INDEX(Калькуляция!$T$15:$AM$139,,MATCH(Z$3,Калькуляция!$T$3:$AM$3,0)),Калькуляция!$A$15:$A$139,$A598,Калькуляция!$B$15:$B$139,$B598)</f>
        <v>#N/A</v>
      </c>
      <c r="AA598" s="571" t="e">
        <f>SUMIFS(INDEX(Калькуляция!$T$15:$AM$139,,MATCH(AA$3,Калькуляция!$T$3:$AM$3,0)),Калькуляция!$A$15:$A$139,$A598,Калькуляция!$B$15:$B$139,$B598)</f>
        <v>#N/A</v>
      </c>
      <c r="AB598" s="527" t="e">
        <f>IF(Z598=0,0,(AA598-Z598)/Z598*100)</f>
        <v>#N/A</v>
      </c>
      <c r="AC598" s="571" t="e">
        <f>SUMIFS(INDEX(Калькуляция!$T$15:$AM$139,,MATCH(AC$3,Калькуляция!$T$3:$AM$3,0)),Калькуляция!$A$15:$A$139,$A598,Калькуляция!$B$15:$B$139,$B598)</f>
        <v>#N/A</v>
      </c>
      <c r="AD598" s="571" t="e">
        <f>SUMIFS(INDEX(Калькуляция!$T$15:$AM$139,,MATCH(AD$3,Калькуляция!$T$3:$AM$3,0)),Калькуляция!$A$15:$A$139,$A598,Калькуляция!$B$15:$B$139,$B598)</f>
        <v>#N/A</v>
      </c>
      <c r="AE598" s="527" t="e">
        <f>IF(AC598=0,0,(AD598-AC598)/AC598*100)</f>
        <v>#N/A</v>
      </c>
      <c r="AF598" s="571" t="e">
        <f>SUMIFS(INDEX(Калькуляция!$T$15:$AM$139,,MATCH(AF$3,Калькуляция!$T$3:$AM$3,0)),Калькуляция!$A$15:$A$139,$A598,Калькуляция!$B$15:$B$139,$B598)</f>
        <v>#N/A</v>
      </c>
      <c r="AG598" s="571" t="e">
        <f>SUMIFS(INDEX(Калькуляция!$T$15:$AM$139,,MATCH(AG$3,Калькуляция!$T$3:$AM$3,0)),Калькуляция!$A$15:$A$139,$A598,Калькуляция!$B$15:$B$139,$B598)</f>
        <v>#N/A</v>
      </c>
      <c r="AH598" s="527" t="e">
        <f>IF(AF598=0,0,(AG598-AF598)/AF598*100)</f>
        <v>#N/A</v>
      </c>
      <c r="AI598" s="571" t="e">
        <f>SUMIFS(INDEX(Калькуляция!$T$15:$AM$139,,MATCH(AI$3,Калькуляция!$T$3:$AM$3,0)),Калькуляция!$A$15:$A$139,$A598,Калькуляция!$B$15:$B$139,$B598)</f>
        <v>#N/A</v>
      </c>
      <c r="AJ598" s="571" t="e">
        <f>SUMIFS(INDEX(Калькуляция!$T$15:$AM$139,,MATCH(AJ$3,Калькуляция!$T$3:$AM$3,0)),Калькуляция!$A$15:$A$139,$A598,Калькуляция!$B$15:$B$139,$B598)</f>
        <v>#N/A</v>
      </c>
      <c r="AK598" s="527" t="e">
        <f>IF(AI598=0,0,(AJ598-AI598)/AI598*100)</f>
        <v>#N/A</v>
      </c>
      <c r="AL598" s="571" t="e">
        <f>SUMIFS(INDEX(Калькуляция!$T$15:$AM$139,,MATCH(AL$3,Калькуляция!$T$3:$AM$3,0)),Калькуляция!$A$15:$A$139,$A598,Калькуляция!$B$15:$B$139,$B598)</f>
        <v>#N/A</v>
      </c>
      <c r="AM598" s="571" t="e">
        <f>SUMIFS(INDEX(Калькуляция!$T$15:$AM$139,,MATCH(AM$3,Калькуляция!$T$3:$AM$3,0)),Калькуляция!$A$15:$A$139,$A598,Калькуляция!$B$15:$B$139,$B598)</f>
        <v>#N/A</v>
      </c>
      <c r="AN598" s="527" t="e">
        <f>IF(AL598=0,0,(AM598-AL598)/AL598*100)</f>
        <v>#N/A</v>
      </c>
      <c r="AO598" s="571" t="e">
        <f>SUMIFS(INDEX(Калькуляция!$T$15:$AM$139,,MATCH(AO$3,Калькуляция!$T$3:$AM$3,0)),Калькуляция!$A$15:$A$139,$A598,Калькуляция!$B$15:$B$139,$B598)</f>
        <v>#N/A</v>
      </c>
      <c r="AP598" s="571" t="e">
        <f>SUMIFS(INDEX(Калькуляция!$T$15:$AM$139,,MATCH(AP$3,Калькуляция!$T$3:$AM$3,0)),Калькуляция!$A$15:$A$139,$A598,Калькуляция!$B$15:$B$139,$B598)</f>
        <v>#N/A</v>
      </c>
      <c r="AQ598" s="527" t="e">
        <f>IF(AO598=0,0,(AP598-AO598)/AO598*100)</f>
        <v>#N/A</v>
      </c>
    </row>
    <row r="599" spans="1:43" s="391" customFormat="1" ht="15" customHeight="1" outlineLevel="1">
      <c r="A599" s="322" t="str">
        <f t="shared" si="128"/>
        <v>1</v>
      </c>
      <c r="B599" s="111" t="s">
        <v>1211</v>
      </c>
      <c r="G599" s="322" t="b">
        <f>F590="одноставочный"</f>
        <v>1</v>
      </c>
      <c r="L599" s="392" t="s">
        <v>691</v>
      </c>
      <c r="M599" s="393" t="s">
        <v>679</v>
      </c>
      <c r="N599" s="394" t="e">
        <f>SUMIFS(INDEX(Калькуляция!$T$15:$AM$139,,MATCH(N$3,Калькуляция!$T$3:$AM$3,0)),Калькуляция!$A$15:$A$139,$A599,Калькуляция!$B$15:$B$139,$B599)</f>
        <v>#N/A</v>
      </c>
      <c r="O599" s="394" t="e">
        <f>SUMIFS(INDEX(Калькуляция!$T$15:$AM$139,,MATCH(O$3,Калькуляция!$T$3:$AM$3,0)),Калькуляция!$A$15:$A$139,$A599,Калькуляция!$B$15:$B$139,$B599)</f>
        <v>#N/A</v>
      </c>
      <c r="P599" s="395" t="e">
        <f>IF(N599=0,0,(O599-N599)/N599*100)</f>
        <v>#N/A</v>
      </c>
      <c r="Q599" s="394" t="e">
        <f>SUMIFS(INDEX(Калькуляция!$T$15:$AM$139,,MATCH(Q$3,Калькуляция!$T$3:$AM$3,0)),Калькуляция!$A$15:$A$139,$A599,Калькуляция!$B$15:$B$139,$B599)</f>
        <v>#N/A</v>
      </c>
      <c r="R599" s="394" t="e">
        <f>SUMIFS(INDEX(Калькуляция!$T$15:$AM$139,,MATCH(R$3,Калькуляция!$T$3:$AM$3,0)),Калькуляция!$A$15:$A$139,$A599,Калькуляция!$B$15:$B$139,$B599)</f>
        <v>#N/A</v>
      </c>
      <c r="S599" s="395" t="e">
        <f>IF(Q599=0,0,(R599-Q599)/Q599*100)</f>
        <v>#N/A</v>
      </c>
      <c r="T599" s="394" t="e">
        <f>SUMIFS(INDEX(Калькуляция!$T$15:$AM$139,,MATCH(T$3,Калькуляция!$T$3:$AM$3,0)),Калькуляция!$A$15:$A$139,$A599,Калькуляция!$B$15:$B$139,$B599)</f>
        <v>#N/A</v>
      </c>
      <c r="U599" s="394" t="e">
        <f>SUMIFS(INDEX(Калькуляция!$T$15:$AM$139,,MATCH(U$3,Калькуляция!$T$3:$AM$3,0)),Калькуляция!$A$15:$A$139,$A599,Калькуляция!$B$15:$B$139,$B599)</f>
        <v>#N/A</v>
      </c>
      <c r="V599" s="395" t="e">
        <f>IF(T599=0,0,(U599-T599)/T599*100)</f>
        <v>#N/A</v>
      </c>
      <c r="W599" s="394" t="e">
        <f>SUMIFS(INDEX(Калькуляция!$T$15:$AM$139,,MATCH(W$3,Калькуляция!$T$3:$AM$3,0)),Калькуляция!$A$15:$A$139,$A599,Калькуляция!$B$15:$B$139,$B599)</f>
        <v>#N/A</v>
      </c>
      <c r="X599" s="394" t="e">
        <f>SUMIFS(INDEX(Калькуляция!$T$15:$AM$139,,MATCH(X$3,Калькуляция!$T$3:$AM$3,0)),Калькуляция!$A$15:$A$139,$A599,Калькуляция!$B$15:$B$139,$B599)</f>
        <v>#N/A</v>
      </c>
      <c r="Y599" s="395" t="e">
        <f>IF(W599=0,0,(X599-W599)/W599*100)</f>
        <v>#N/A</v>
      </c>
      <c r="Z599" s="394" t="e">
        <f>SUMIFS(INDEX(Калькуляция!$T$15:$AM$139,,MATCH(Z$3,Калькуляция!$T$3:$AM$3,0)),Калькуляция!$A$15:$A$139,$A599,Калькуляция!$B$15:$B$139,$B599)</f>
        <v>#N/A</v>
      </c>
      <c r="AA599" s="394" t="e">
        <f>SUMIFS(INDEX(Калькуляция!$T$15:$AM$139,,MATCH(AA$3,Калькуляция!$T$3:$AM$3,0)),Калькуляция!$A$15:$A$139,$A599,Калькуляция!$B$15:$B$139,$B599)</f>
        <v>#N/A</v>
      </c>
      <c r="AB599" s="395" t="e">
        <f>IF(Z599=0,0,(AA599-Z599)/Z599*100)</f>
        <v>#N/A</v>
      </c>
      <c r="AC599" s="394" t="e">
        <f>SUMIFS(INDEX(Калькуляция!$T$15:$AM$139,,MATCH(AC$3,Калькуляция!$T$3:$AM$3,0)),Калькуляция!$A$15:$A$139,$A599,Калькуляция!$B$15:$B$139,$B599)</f>
        <v>#N/A</v>
      </c>
      <c r="AD599" s="394" t="e">
        <f>SUMIFS(INDEX(Калькуляция!$T$15:$AM$139,,MATCH(AD$3,Калькуляция!$T$3:$AM$3,0)),Калькуляция!$A$15:$A$139,$A599,Калькуляция!$B$15:$B$139,$B599)</f>
        <v>#N/A</v>
      </c>
      <c r="AE599" s="395" t="e">
        <f>IF(AC599=0,0,(AD599-AC599)/AC599*100)</f>
        <v>#N/A</v>
      </c>
      <c r="AF599" s="394" t="e">
        <f>SUMIFS(INDEX(Калькуляция!$T$15:$AM$139,,MATCH(AF$3,Калькуляция!$T$3:$AM$3,0)),Калькуляция!$A$15:$A$139,$A599,Калькуляция!$B$15:$B$139,$B599)</f>
        <v>#N/A</v>
      </c>
      <c r="AG599" s="394" t="e">
        <f>SUMIFS(INDEX(Калькуляция!$T$15:$AM$139,,MATCH(AG$3,Калькуляция!$T$3:$AM$3,0)),Калькуляция!$A$15:$A$139,$A599,Калькуляция!$B$15:$B$139,$B599)</f>
        <v>#N/A</v>
      </c>
      <c r="AH599" s="395" t="e">
        <f>IF(AF599=0,0,(AG599-AF599)/AF599*100)</f>
        <v>#N/A</v>
      </c>
      <c r="AI599" s="394" t="e">
        <f>SUMIFS(INDEX(Калькуляция!$T$15:$AM$139,,MATCH(AI$3,Калькуляция!$T$3:$AM$3,0)),Калькуляция!$A$15:$A$139,$A599,Калькуляция!$B$15:$B$139,$B599)</f>
        <v>#N/A</v>
      </c>
      <c r="AJ599" s="394" t="e">
        <f>SUMIFS(INDEX(Калькуляция!$T$15:$AM$139,,MATCH(AJ$3,Калькуляция!$T$3:$AM$3,0)),Калькуляция!$A$15:$A$139,$A599,Калькуляция!$B$15:$B$139,$B599)</f>
        <v>#N/A</v>
      </c>
      <c r="AK599" s="395" t="e">
        <f>IF(AI599=0,0,(AJ599-AI599)/AI599*100)</f>
        <v>#N/A</v>
      </c>
      <c r="AL599" s="394" t="e">
        <f>SUMIFS(INDEX(Калькуляция!$T$15:$AM$139,,MATCH(AL$3,Калькуляция!$T$3:$AM$3,0)),Калькуляция!$A$15:$A$139,$A599,Калькуляция!$B$15:$B$139,$B599)</f>
        <v>#N/A</v>
      </c>
      <c r="AM599" s="394" t="e">
        <f>SUMIFS(INDEX(Калькуляция!$T$15:$AM$139,,MATCH(AM$3,Калькуляция!$T$3:$AM$3,0)),Калькуляция!$A$15:$A$139,$A599,Калькуляция!$B$15:$B$139,$B599)</f>
        <v>#N/A</v>
      </c>
      <c r="AN599" s="395" t="e">
        <f>IF(AL599=0,0,(AM599-AL599)/AL599*100)</f>
        <v>#N/A</v>
      </c>
      <c r="AO599" s="394" t="e">
        <f>SUMIFS(INDEX(Калькуляция!$T$15:$AM$139,,MATCH(AO$3,Калькуляция!$T$3:$AM$3,0)),Калькуляция!$A$15:$A$139,$A599,Калькуляция!$B$15:$B$139,$B599)</f>
        <v>#N/A</v>
      </c>
      <c r="AP599" s="394" t="e">
        <f>SUMIFS(INDEX(Калькуляция!$T$15:$AM$139,,MATCH(AP$3,Калькуляция!$T$3:$AM$3,0)),Калькуляция!$A$15:$A$139,$A599,Калькуляция!$B$15:$B$139,$B599)</f>
        <v>#N/A</v>
      </c>
      <c r="AQ599" s="395" t="e">
        <f>IF(AO599=0,0,(AP599-AO599)/AO599*100)</f>
        <v>#N/A</v>
      </c>
    </row>
    <row r="600" spans="1:43" s="391" customFormat="1" ht="15" customHeight="1" outlineLevel="1">
      <c r="A600" s="322" t="str">
        <f t="shared" si="128"/>
        <v>1</v>
      </c>
      <c r="B600" s="111" t="s">
        <v>1210</v>
      </c>
      <c r="G600" s="322" t="b">
        <f>F590="одноставочный"</f>
        <v>1</v>
      </c>
      <c r="L600" s="392" t="s">
        <v>692</v>
      </c>
      <c r="M600" s="393" t="s">
        <v>679</v>
      </c>
      <c r="N600" s="394" t="e">
        <f>SUMIFS(INDEX(Калькуляция!$T$15:$AM$139,,MATCH(N$3,Калькуляция!$T$3:$AM$3,0)),Калькуляция!$A$15:$A$139,$A600,Калькуляция!$B$15:$B$139,$B600)</f>
        <v>#N/A</v>
      </c>
      <c r="O600" s="394" t="e">
        <f>SUMIFS(INDEX(Калькуляция!$T$15:$AM$139,,MATCH(O$3,Калькуляция!$T$3:$AM$3,0)),Калькуляция!$A$15:$A$139,$A600,Калькуляция!$B$15:$B$139,$B600)</f>
        <v>#N/A</v>
      </c>
      <c r="P600" s="395" t="e">
        <f>IF(N600=0,0,(O600-N600)/N600*100)</f>
        <v>#N/A</v>
      </c>
      <c r="Q600" s="394" t="e">
        <f>SUMIFS(INDEX(Калькуляция!$T$15:$AM$139,,MATCH(Q$3,Калькуляция!$T$3:$AM$3,0)),Калькуляция!$A$15:$A$139,$A600,Калькуляция!$B$15:$B$139,$B600)</f>
        <v>#N/A</v>
      </c>
      <c r="R600" s="394" t="e">
        <f>SUMIFS(INDEX(Калькуляция!$T$15:$AM$139,,MATCH(R$3,Калькуляция!$T$3:$AM$3,0)),Калькуляция!$A$15:$A$139,$A600,Калькуляция!$B$15:$B$139,$B600)</f>
        <v>#N/A</v>
      </c>
      <c r="S600" s="395" t="e">
        <f>IF(Q600=0,0,(R600-Q600)/Q600*100)</f>
        <v>#N/A</v>
      </c>
      <c r="T600" s="394" t="e">
        <f>SUMIFS(INDEX(Калькуляция!$T$15:$AM$139,,MATCH(T$3,Калькуляция!$T$3:$AM$3,0)),Калькуляция!$A$15:$A$139,$A600,Калькуляция!$B$15:$B$139,$B600)</f>
        <v>#N/A</v>
      </c>
      <c r="U600" s="394" t="e">
        <f>SUMIFS(INDEX(Калькуляция!$T$15:$AM$139,,MATCH(U$3,Калькуляция!$T$3:$AM$3,0)),Калькуляция!$A$15:$A$139,$A600,Калькуляция!$B$15:$B$139,$B600)</f>
        <v>#N/A</v>
      </c>
      <c r="V600" s="395" t="e">
        <f>IF(T600=0,0,(U600-T600)/T600*100)</f>
        <v>#N/A</v>
      </c>
      <c r="W600" s="394" t="e">
        <f>SUMIFS(INDEX(Калькуляция!$T$15:$AM$139,,MATCH(W$3,Калькуляция!$T$3:$AM$3,0)),Калькуляция!$A$15:$A$139,$A600,Калькуляция!$B$15:$B$139,$B600)</f>
        <v>#N/A</v>
      </c>
      <c r="X600" s="394" t="e">
        <f>SUMIFS(INDEX(Калькуляция!$T$15:$AM$139,,MATCH(X$3,Калькуляция!$T$3:$AM$3,0)),Калькуляция!$A$15:$A$139,$A600,Калькуляция!$B$15:$B$139,$B600)</f>
        <v>#N/A</v>
      </c>
      <c r="Y600" s="395" t="e">
        <f>IF(W600=0,0,(X600-W600)/W600*100)</f>
        <v>#N/A</v>
      </c>
      <c r="Z600" s="394" t="e">
        <f>SUMIFS(INDEX(Калькуляция!$T$15:$AM$139,,MATCH(Z$3,Калькуляция!$T$3:$AM$3,0)),Калькуляция!$A$15:$A$139,$A600,Калькуляция!$B$15:$B$139,$B600)</f>
        <v>#N/A</v>
      </c>
      <c r="AA600" s="394" t="e">
        <f>SUMIFS(INDEX(Калькуляция!$T$15:$AM$139,,MATCH(AA$3,Калькуляция!$T$3:$AM$3,0)),Калькуляция!$A$15:$A$139,$A600,Калькуляция!$B$15:$B$139,$B600)</f>
        <v>#N/A</v>
      </c>
      <c r="AB600" s="395" t="e">
        <f>IF(Z600=0,0,(AA600-Z600)/Z600*100)</f>
        <v>#N/A</v>
      </c>
      <c r="AC600" s="394" t="e">
        <f>SUMIFS(INDEX(Калькуляция!$T$15:$AM$139,,MATCH(AC$3,Калькуляция!$T$3:$AM$3,0)),Калькуляция!$A$15:$A$139,$A600,Калькуляция!$B$15:$B$139,$B600)</f>
        <v>#N/A</v>
      </c>
      <c r="AD600" s="394" t="e">
        <f>SUMIFS(INDEX(Калькуляция!$T$15:$AM$139,,MATCH(AD$3,Калькуляция!$T$3:$AM$3,0)),Калькуляция!$A$15:$A$139,$A600,Калькуляция!$B$15:$B$139,$B600)</f>
        <v>#N/A</v>
      </c>
      <c r="AE600" s="395" t="e">
        <f>IF(AC600=0,0,(AD600-AC600)/AC600*100)</f>
        <v>#N/A</v>
      </c>
      <c r="AF600" s="394" t="e">
        <f>SUMIFS(INDEX(Калькуляция!$T$15:$AM$139,,MATCH(AF$3,Калькуляция!$T$3:$AM$3,0)),Калькуляция!$A$15:$A$139,$A600,Калькуляция!$B$15:$B$139,$B600)</f>
        <v>#N/A</v>
      </c>
      <c r="AG600" s="394" t="e">
        <f>SUMIFS(INDEX(Калькуляция!$T$15:$AM$139,,MATCH(AG$3,Калькуляция!$T$3:$AM$3,0)),Калькуляция!$A$15:$A$139,$A600,Калькуляция!$B$15:$B$139,$B600)</f>
        <v>#N/A</v>
      </c>
      <c r="AH600" s="395" t="e">
        <f>IF(AF600=0,0,(AG600-AF600)/AF600*100)</f>
        <v>#N/A</v>
      </c>
      <c r="AI600" s="394" t="e">
        <f>SUMIFS(INDEX(Калькуляция!$T$15:$AM$139,,MATCH(AI$3,Калькуляция!$T$3:$AM$3,0)),Калькуляция!$A$15:$A$139,$A600,Калькуляция!$B$15:$B$139,$B600)</f>
        <v>#N/A</v>
      </c>
      <c r="AJ600" s="394" t="e">
        <f>SUMIFS(INDEX(Калькуляция!$T$15:$AM$139,,MATCH(AJ$3,Калькуляция!$T$3:$AM$3,0)),Калькуляция!$A$15:$A$139,$A600,Калькуляция!$B$15:$B$139,$B600)</f>
        <v>#N/A</v>
      </c>
      <c r="AK600" s="395" t="e">
        <f>IF(AI600=0,0,(AJ600-AI600)/AI600*100)</f>
        <v>#N/A</v>
      </c>
      <c r="AL600" s="394" t="e">
        <f>SUMIFS(INDEX(Калькуляция!$T$15:$AM$139,,MATCH(AL$3,Калькуляция!$T$3:$AM$3,0)),Калькуляция!$A$15:$A$139,$A600,Калькуляция!$B$15:$B$139,$B600)</f>
        <v>#N/A</v>
      </c>
      <c r="AM600" s="394" t="e">
        <f>SUMIFS(INDEX(Калькуляция!$T$15:$AM$139,,MATCH(AM$3,Калькуляция!$T$3:$AM$3,0)),Калькуляция!$A$15:$A$139,$A600,Калькуляция!$B$15:$B$139,$B600)</f>
        <v>#N/A</v>
      </c>
      <c r="AN600" s="395" t="e">
        <f>IF(AL600=0,0,(AM600-AL600)/AL600*100)</f>
        <v>#N/A</v>
      </c>
      <c r="AO600" s="394" t="e">
        <f>SUMIFS(INDEX(Калькуляция!$T$15:$AM$139,,MATCH(AO$3,Калькуляция!$T$3:$AM$3,0)),Калькуляция!$A$15:$A$139,$A600,Калькуляция!$B$15:$B$139,$B600)</f>
        <v>#N/A</v>
      </c>
      <c r="AP600" s="394" t="e">
        <f>SUMIFS(INDEX(Калькуляция!$T$15:$AM$139,,MATCH(AP$3,Калькуляция!$T$3:$AM$3,0)),Калькуляция!$A$15:$A$139,$A600,Калькуляция!$B$15:$B$139,$B600)</f>
        <v>#N/A</v>
      </c>
      <c r="AQ600" s="395" t="e">
        <f>IF(AO600=0,0,(AP600-AO600)/AO600*100)</f>
        <v>#N/A</v>
      </c>
    </row>
    <row r="601" spans="1:43" s="322" customFormat="1" ht="15" customHeight="1" outlineLevel="1">
      <c r="A601" s="322" t="str">
        <f t="shared" si="128"/>
        <v>1</v>
      </c>
      <c r="B601" s="111"/>
      <c r="G601" s="322" t="b">
        <f>F590="одноставочный"</f>
        <v>1</v>
      </c>
      <c r="L601" s="396" t="s">
        <v>689</v>
      </c>
      <c r="M601" s="397" t="s">
        <v>145</v>
      </c>
      <c r="N601" s="398" t="e">
        <f>IF(N599=0,0,N600/N599)*100</f>
        <v>#N/A</v>
      </c>
      <c r="O601" s="398" t="e">
        <f>IF(O599=0,0,O600/O599)*100</f>
        <v>#N/A</v>
      </c>
      <c r="P601" s="399"/>
      <c r="Q601" s="398" t="e">
        <f>IF(Q599=0,0,Q600/Q599)*100</f>
        <v>#N/A</v>
      </c>
      <c r="R601" s="398" t="e">
        <f>IF(R599=0,0,R600/R599)*100</f>
        <v>#N/A</v>
      </c>
      <c r="S601" s="399"/>
      <c r="T601" s="398" t="e">
        <f>IF(T599=0,0,T600/T599)*100</f>
        <v>#N/A</v>
      </c>
      <c r="U601" s="398" t="e">
        <f>IF(U599=0,0,U600/U599)*100</f>
        <v>#N/A</v>
      </c>
      <c r="V601" s="399"/>
      <c r="W601" s="398" t="e">
        <f>IF(W599=0,0,W600/W599)*100</f>
        <v>#N/A</v>
      </c>
      <c r="X601" s="398" t="e">
        <f>IF(X599=0,0,X600/X599)*100</f>
        <v>#N/A</v>
      </c>
      <c r="Y601" s="399"/>
      <c r="Z601" s="398" t="e">
        <f>IF(Z599=0,0,Z600/Z599)*100</f>
        <v>#N/A</v>
      </c>
      <c r="AA601" s="398" t="e">
        <f>IF(AA599=0,0,AA600/AA599)*100</f>
        <v>#N/A</v>
      </c>
      <c r="AB601" s="399"/>
      <c r="AC601" s="398" t="e">
        <f>IF(AC599=0,0,AC600/AC599)*100</f>
        <v>#N/A</v>
      </c>
      <c r="AD601" s="398" t="e">
        <f>IF(AD599=0,0,AD600/AD599)*100</f>
        <v>#N/A</v>
      </c>
      <c r="AE601" s="399"/>
      <c r="AF601" s="398" t="e">
        <f>IF(AF599=0,0,AF600/AF599)*100</f>
        <v>#N/A</v>
      </c>
      <c r="AG601" s="398" t="e">
        <f>IF(AG599=0,0,AG600/AG599)*100</f>
        <v>#N/A</v>
      </c>
      <c r="AH601" s="399"/>
      <c r="AI601" s="398" t="e">
        <f>IF(AI599=0,0,AI600/AI599)*100</f>
        <v>#N/A</v>
      </c>
      <c r="AJ601" s="398" t="e">
        <f>IF(AJ599=0,0,AJ600/AJ599)*100</f>
        <v>#N/A</v>
      </c>
      <c r="AK601" s="399"/>
      <c r="AL601" s="398" t="e">
        <f>IF(AL599=0,0,AL600/AL599)*100</f>
        <v>#N/A</v>
      </c>
      <c r="AM601" s="398" t="e">
        <f>IF(AM599=0,0,AM600/AM599)*100</f>
        <v>#N/A</v>
      </c>
      <c r="AN601" s="399"/>
      <c r="AO601" s="398" t="e">
        <f>IF(AO599=0,0,AO600/AO599)*100</f>
        <v>#N/A</v>
      </c>
      <c r="AP601" s="398" t="e">
        <f>IF(AP599=0,0,AP600/AP599)*100</f>
        <v>#N/A</v>
      </c>
      <c r="AQ601" s="399"/>
    </row>
    <row r="602" spans="1:43" s="322" customFormat="1" ht="15" customHeight="1" outlineLevel="1">
      <c r="A602" s="322" t="str">
        <f t="shared" si="128"/>
        <v>1</v>
      </c>
      <c r="B602" s="111" t="s">
        <v>1218</v>
      </c>
      <c r="G602" s="322" t="b">
        <f>F590="одноставочный"</f>
        <v>1</v>
      </c>
      <c r="L602" s="396" t="s">
        <v>1212</v>
      </c>
      <c r="M602" s="397" t="s">
        <v>329</v>
      </c>
      <c r="N602" s="571" t="e">
        <f>SUMIFS(INDEX(Калькуляция!$T$15:$AM$139,,MATCH(N$3,Калькуляция!$T$3:$AM$3,0)),Калькуляция!$A$15:$A$139,$A602,Калькуляция!$B$15:$B$139,$B602)</f>
        <v>#N/A</v>
      </c>
      <c r="O602" s="571" t="e">
        <f>SUMIFS(INDEX(Калькуляция!$T$15:$AM$139,,MATCH(O$3,Калькуляция!$T$3:$AM$3,0)),Калькуляция!$A$15:$A$139,$A602,Калькуляция!$B$15:$B$139,$B602)</f>
        <v>#N/A</v>
      </c>
      <c r="P602" s="527" t="e">
        <f>IF(N602=0,0,(O602-N602)/N602*100)</f>
        <v>#N/A</v>
      </c>
      <c r="Q602" s="571" t="e">
        <f>SUMIFS(INDEX(Калькуляция!$T$15:$AM$139,,MATCH(Q$3,Калькуляция!$T$3:$AM$3,0)),Калькуляция!$A$15:$A$139,$A602,Калькуляция!$B$15:$B$139,$B602)</f>
        <v>#N/A</v>
      </c>
      <c r="R602" s="571" t="e">
        <f>SUMIFS(INDEX(Калькуляция!$T$15:$AM$139,,MATCH(R$3,Калькуляция!$T$3:$AM$3,0)),Калькуляция!$A$15:$A$139,$A602,Калькуляция!$B$15:$B$139,$B602)</f>
        <v>#N/A</v>
      </c>
      <c r="S602" s="527" t="e">
        <f>IF(Q602=0,0,(R602-Q602)/Q602*100)</f>
        <v>#N/A</v>
      </c>
      <c r="T602" s="571" t="e">
        <f>SUMIFS(INDEX(Калькуляция!$T$15:$AM$139,,MATCH(T$3,Калькуляция!$T$3:$AM$3,0)),Калькуляция!$A$15:$A$139,$A602,Калькуляция!$B$15:$B$139,$B602)</f>
        <v>#N/A</v>
      </c>
      <c r="U602" s="571" t="e">
        <f>SUMIFS(INDEX(Калькуляция!$T$15:$AM$139,,MATCH(U$3,Калькуляция!$T$3:$AM$3,0)),Калькуляция!$A$15:$A$139,$A602,Калькуляция!$B$15:$B$139,$B602)</f>
        <v>#N/A</v>
      </c>
      <c r="V602" s="527" t="e">
        <f>IF(T602=0,0,(U602-T602)/T602*100)</f>
        <v>#N/A</v>
      </c>
      <c r="W602" s="571" t="e">
        <f>SUMIFS(INDEX(Калькуляция!$T$15:$AM$139,,MATCH(W$3,Калькуляция!$T$3:$AM$3,0)),Калькуляция!$A$15:$A$139,$A602,Калькуляция!$B$15:$B$139,$B602)</f>
        <v>#N/A</v>
      </c>
      <c r="X602" s="571" t="e">
        <f>SUMIFS(INDEX(Калькуляция!$T$15:$AM$139,,MATCH(X$3,Калькуляция!$T$3:$AM$3,0)),Калькуляция!$A$15:$A$139,$A602,Калькуляция!$B$15:$B$139,$B602)</f>
        <v>#N/A</v>
      </c>
      <c r="Y602" s="527" t="e">
        <f>IF(W602=0,0,(X602-W602)/W602*100)</f>
        <v>#N/A</v>
      </c>
      <c r="Z602" s="571" t="e">
        <f>SUMIFS(INDEX(Калькуляция!$T$15:$AM$139,,MATCH(Z$3,Калькуляция!$T$3:$AM$3,0)),Калькуляция!$A$15:$A$139,$A602,Калькуляция!$B$15:$B$139,$B602)</f>
        <v>#N/A</v>
      </c>
      <c r="AA602" s="571" t="e">
        <f>SUMIFS(INDEX(Калькуляция!$T$15:$AM$139,,MATCH(AA$3,Калькуляция!$T$3:$AM$3,0)),Калькуляция!$A$15:$A$139,$A602,Калькуляция!$B$15:$B$139,$B602)</f>
        <v>#N/A</v>
      </c>
      <c r="AB602" s="527" t="e">
        <f>IF(Z602=0,0,(AA602-Z602)/Z602*100)</f>
        <v>#N/A</v>
      </c>
      <c r="AC602" s="571" t="e">
        <f>SUMIFS(INDEX(Калькуляция!$T$15:$AM$139,,MATCH(AC$3,Калькуляция!$T$3:$AM$3,0)),Калькуляция!$A$15:$A$139,$A602,Калькуляция!$B$15:$B$139,$B602)</f>
        <v>#N/A</v>
      </c>
      <c r="AD602" s="571" t="e">
        <f>SUMIFS(INDEX(Калькуляция!$T$15:$AM$139,,MATCH(AD$3,Калькуляция!$T$3:$AM$3,0)),Калькуляция!$A$15:$A$139,$A602,Калькуляция!$B$15:$B$139,$B602)</f>
        <v>#N/A</v>
      </c>
      <c r="AE602" s="527" t="e">
        <f>IF(AC602=0,0,(AD602-AC602)/AC602*100)</f>
        <v>#N/A</v>
      </c>
      <c r="AF602" s="571" t="e">
        <f>SUMIFS(INDEX(Калькуляция!$T$15:$AM$139,,MATCH(AF$3,Калькуляция!$T$3:$AM$3,0)),Калькуляция!$A$15:$A$139,$A602,Калькуляция!$B$15:$B$139,$B602)</f>
        <v>#N/A</v>
      </c>
      <c r="AG602" s="571" t="e">
        <f>SUMIFS(INDEX(Калькуляция!$T$15:$AM$139,,MATCH(AG$3,Калькуляция!$T$3:$AM$3,0)),Калькуляция!$A$15:$A$139,$A602,Калькуляция!$B$15:$B$139,$B602)</f>
        <v>#N/A</v>
      </c>
      <c r="AH602" s="527" t="e">
        <f>IF(AF602=0,0,(AG602-AF602)/AF602*100)</f>
        <v>#N/A</v>
      </c>
      <c r="AI602" s="571" t="e">
        <f>SUMIFS(INDEX(Калькуляция!$T$15:$AM$139,,MATCH(AI$3,Калькуляция!$T$3:$AM$3,0)),Калькуляция!$A$15:$A$139,$A602,Калькуляция!$B$15:$B$139,$B602)</f>
        <v>#N/A</v>
      </c>
      <c r="AJ602" s="571" t="e">
        <f>SUMIFS(INDEX(Калькуляция!$T$15:$AM$139,,MATCH(AJ$3,Калькуляция!$T$3:$AM$3,0)),Калькуляция!$A$15:$A$139,$A602,Калькуляция!$B$15:$B$139,$B602)</f>
        <v>#N/A</v>
      </c>
      <c r="AK602" s="527" t="e">
        <f>IF(AI602=0,0,(AJ602-AI602)/AI602*100)</f>
        <v>#N/A</v>
      </c>
      <c r="AL602" s="571" t="e">
        <f>SUMIFS(INDEX(Калькуляция!$T$15:$AM$139,,MATCH(AL$3,Калькуляция!$T$3:$AM$3,0)),Калькуляция!$A$15:$A$139,$A602,Калькуляция!$B$15:$B$139,$B602)</f>
        <v>#N/A</v>
      </c>
      <c r="AM602" s="571" t="e">
        <f>SUMIFS(INDEX(Калькуляция!$T$15:$AM$139,,MATCH(AM$3,Калькуляция!$T$3:$AM$3,0)),Калькуляция!$A$15:$A$139,$A602,Калькуляция!$B$15:$B$139,$B602)</f>
        <v>#N/A</v>
      </c>
      <c r="AN602" s="527" t="e">
        <f>IF(AL602=0,0,(AM602-AL602)/AL602*100)</f>
        <v>#N/A</v>
      </c>
      <c r="AO602" s="571" t="e">
        <f>SUMIFS(INDEX(Калькуляция!$T$15:$AM$139,,MATCH(AO$3,Калькуляция!$T$3:$AM$3,0)),Калькуляция!$A$15:$A$139,$A602,Калькуляция!$B$15:$B$139,$B602)</f>
        <v>#N/A</v>
      </c>
      <c r="AP602" s="571" t="e">
        <f>SUMIFS(INDEX(Калькуляция!$T$15:$AM$139,,MATCH(AP$3,Калькуляция!$T$3:$AM$3,0)),Калькуляция!$A$15:$A$139,$A602,Калькуляция!$B$15:$B$139,$B602)</f>
        <v>#N/A</v>
      </c>
      <c r="AQ602" s="527" t="e">
        <f>IF(AO602=0,0,(AP602-AO602)/AO602*100)</f>
        <v>#N/A</v>
      </c>
    </row>
    <row r="603" spans="1:43" s="322" customFormat="1" ht="15" customHeight="1" outlineLevel="1">
      <c r="A603" s="322" t="str">
        <f t="shared" si="128"/>
        <v>1</v>
      </c>
      <c r="G603" s="322" t="b">
        <f>F590="одноставочный"</f>
        <v>1</v>
      </c>
      <c r="J603" s="322" t="s">
        <v>1374</v>
      </c>
      <c r="L603" s="572" t="s">
        <v>371</v>
      </c>
      <c r="M603" s="573"/>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4"/>
      <c r="AL603" s="574"/>
      <c r="AM603" s="574"/>
      <c r="AN603" s="574"/>
      <c r="AO603" s="574"/>
      <c r="AP603" s="574"/>
      <c r="AQ603" s="361"/>
    </row>
    <row r="604" spans="1:43" s="322" customFormat="1" ht="15" customHeight="1" outlineLevel="1">
      <c r="A604" s="322" t="str">
        <f t="shared" si="128"/>
        <v>1</v>
      </c>
      <c r="G604" s="322" t="b">
        <f>F590="двухставочный"</f>
        <v>0</v>
      </c>
      <c r="L604" s="387" t="s">
        <v>693</v>
      </c>
      <c r="M604" s="388"/>
      <c r="N604" s="389"/>
      <c r="O604" s="389"/>
      <c r="P604" s="389"/>
      <c r="Q604" s="389"/>
      <c r="R604" s="389"/>
      <c r="S604" s="389"/>
      <c r="T604" s="389"/>
      <c r="U604" s="389"/>
      <c r="V604" s="389"/>
      <c r="W604" s="389"/>
      <c r="X604" s="389"/>
      <c r="Y604" s="389"/>
      <c r="Z604" s="389"/>
      <c r="AA604" s="389"/>
      <c r="AB604" s="389"/>
      <c r="AC604" s="389"/>
      <c r="AD604" s="389"/>
      <c r="AE604" s="389"/>
      <c r="AF604" s="389"/>
      <c r="AG604" s="389"/>
      <c r="AH604" s="389"/>
      <c r="AI604" s="389"/>
      <c r="AJ604" s="389"/>
      <c r="AK604" s="389"/>
      <c r="AL604" s="389"/>
      <c r="AM604" s="389"/>
      <c r="AN604" s="389"/>
      <c r="AO604" s="389"/>
      <c r="AP604" s="389"/>
      <c r="AQ604" s="390"/>
    </row>
    <row r="605" spans="1:43" s="322" customFormat="1" ht="15" customHeight="1" outlineLevel="1">
      <c r="A605" s="322" t="str">
        <f t="shared" si="128"/>
        <v>1</v>
      </c>
      <c r="G605" s="322" t="b">
        <f>F590="двухставочный"</f>
        <v>0</v>
      </c>
      <c r="L605" s="402" t="s">
        <v>1219</v>
      </c>
      <c r="M605" s="403"/>
      <c r="N605" s="404"/>
      <c r="O605" s="404"/>
      <c r="P605" s="404"/>
      <c r="Q605" s="404"/>
      <c r="R605" s="404"/>
      <c r="S605" s="404"/>
      <c r="T605" s="404"/>
      <c r="U605" s="404"/>
      <c r="V605" s="404"/>
      <c r="W605" s="404"/>
      <c r="X605" s="404"/>
      <c r="Y605" s="404"/>
      <c r="Z605" s="404"/>
      <c r="AA605" s="404"/>
      <c r="AB605" s="404"/>
      <c r="AC605" s="404"/>
      <c r="AD605" s="404"/>
      <c r="AE605" s="404"/>
      <c r="AF605" s="404"/>
      <c r="AG605" s="404"/>
      <c r="AH605" s="404"/>
      <c r="AI605" s="404"/>
      <c r="AJ605" s="404"/>
      <c r="AK605" s="404"/>
      <c r="AL605" s="404"/>
      <c r="AM605" s="404"/>
      <c r="AN605" s="404"/>
      <c r="AO605" s="404"/>
      <c r="AP605" s="404"/>
      <c r="AQ605" s="405"/>
    </row>
    <row r="606" spans="1:43" s="322" customFormat="1" ht="15" customHeight="1" outlineLevel="1">
      <c r="A606" s="322" t="str">
        <f t="shared" si="128"/>
        <v>1</v>
      </c>
      <c r="G606" s="322" t="b">
        <f>F590="двухставочный"</f>
        <v>0</v>
      </c>
      <c r="L606" s="406" t="s">
        <v>694</v>
      </c>
      <c r="M606" s="397" t="s">
        <v>679</v>
      </c>
      <c r="N606" s="400" t="e">
        <f>IF(N608=0,0,(N607*N608+N609*N610*6)/N608)</f>
        <v>#N/A</v>
      </c>
      <c r="O606" s="400" t="e">
        <f>IF(O608=0,0,(O607*O608+O609*O610*6)/O608)</f>
        <v>#N/A</v>
      </c>
      <c r="P606" s="399" t="e">
        <f>IF(N606=0,0,(O606-N606)/N606*100)</f>
        <v>#N/A</v>
      </c>
      <c r="Q606" s="400" t="e">
        <f>IF(Q608=0,0,(Q607*Q608+Q609*Q610*6)/Q608)</f>
        <v>#N/A</v>
      </c>
      <c r="R606" s="400" t="e">
        <f>IF(R608=0,0,(R607*R608+R609*R610*6)/R608)</f>
        <v>#N/A</v>
      </c>
      <c r="S606" s="399" t="e">
        <f>IF(Q606=0,0,(R606-Q606)/Q606*100)</f>
        <v>#N/A</v>
      </c>
      <c r="T606" s="400" t="e">
        <f>IF(T608=0,0,(T607*T608+T609*T610*6)/T608)</f>
        <v>#N/A</v>
      </c>
      <c r="U606" s="400" t="e">
        <f>IF(U608=0,0,(U607*U608+U609*U610*6)/U608)</f>
        <v>#N/A</v>
      </c>
      <c r="V606" s="399" t="e">
        <f>IF(T606=0,0,(U606-T606)/T606*100)</f>
        <v>#N/A</v>
      </c>
      <c r="W606" s="400" t="e">
        <f>IF(W608=0,0,(W607*W608+W609*W610*6)/W608)</f>
        <v>#N/A</v>
      </c>
      <c r="X606" s="400" t="e">
        <f>IF(X608=0,0,(X607*X608+X609*X610*6)/X608)</f>
        <v>#N/A</v>
      </c>
      <c r="Y606" s="399" t="e">
        <f>IF(W606=0,0,(X606-W606)/W606*100)</f>
        <v>#N/A</v>
      </c>
      <c r="Z606" s="400" t="e">
        <f>IF(Z608=0,0,(Z607*Z608+Z609*Z610*6)/Z608)</f>
        <v>#N/A</v>
      </c>
      <c r="AA606" s="400" t="e">
        <f>IF(AA608=0,0,(AA607*AA608+AA609*AA610*6)/AA608)</f>
        <v>#N/A</v>
      </c>
      <c r="AB606" s="399" t="e">
        <f>IF(Z606=0,0,(AA606-Z606)/Z606*100)</f>
        <v>#N/A</v>
      </c>
      <c r="AC606" s="400" t="e">
        <f>IF(AC608=0,0,(AC607*AC608+AC609*AC610*6)/AC608)</f>
        <v>#N/A</v>
      </c>
      <c r="AD606" s="400" t="e">
        <f>IF(AD608=0,0,(AD607*AD608+AD609*AD610*6)/AD608)</f>
        <v>#N/A</v>
      </c>
      <c r="AE606" s="399" t="e">
        <f>IF(AC606=0,0,(AD606-AC606)/AC606*100)</f>
        <v>#N/A</v>
      </c>
      <c r="AF606" s="400" t="e">
        <f>IF(AF608=0,0,(AF607*AF608+AF609*AF610*6)/AF608)</f>
        <v>#N/A</v>
      </c>
      <c r="AG606" s="400" t="e">
        <f>IF(AG608=0,0,(AG607*AG608+AG609*AG610*6)/AG608)</f>
        <v>#N/A</v>
      </c>
      <c r="AH606" s="399" t="e">
        <f>IF(AF606=0,0,(AG606-AF606)/AF606*100)</f>
        <v>#N/A</v>
      </c>
      <c r="AI606" s="400" t="e">
        <f>IF(AI608=0,0,(AI607*AI608+AI609*AI610*6)/AI608)</f>
        <v>#N/A</v>
      </c>
      <c r="AJ606" s="400" t="e">
        <f>IF(AJ608=0,0,(AJ607*AJ608+AJ609*AJ610*6)/AJ608)</f>
        <v>#N/A</v>
      </c>
      <c r="AK606" s="399" t="e">
        <f>IF(AI606=0,0,(AJ606-AI606)/AI606*100)</f>
        <v>#N/A</v>
      </c>
      <c r="AL606" s="400" t="e">
        <f>IF(AL608=0,0,(AL607*AL608+AL609*AL610*6)/AL608)</f>
        <v>#N/A</v>
      </c>
      <c r="AM606" s="400" t="e">
        <f>IF(AM608=0,0,(AM607*AM608+AM609*AM610*6)/AM608)</f>
        <v>#N/A</v>
      </c>
      <c r="AN606" s="399" t="e">
        <f>IF(AL606=0,0,(AM606-AL606)/AL606*100)</f>
        <v>#N/A</v>
      </c>
      <c r="AO606" s="400" t="e">
        <f>IF(AO608=0,0,(AO607*AO608+AO609*AO610*6)/AO608)</f>
        <v>#N/A</v>
      </c>
      <c r="AP606" s="400" t="e">
        <f>IF(AP608=0,0,(AP607*AP608+AP609*AP610*6)/AP608)</f>
        <v>#N/A</v>
      </c>
      <c r="AQ606" s="399" t="e">
        <f>IF(AO606=0,0,(AP606-AO606)/AO606*100)</f>
        <v>#N/A</v>
      </c>
    </row>
    <row r="607" spans="1:43" s="322" customFormat="1" ht="15" customHeight="1" outlineLevel="1">
      <c r="A607" s="322" t="str">
        <f t="shared" si="128"/>
        <v>1</v>
      </c>
      <c r="G607" s="322" t="b">
        <f>F590="двухставочный"</f>
        <v>0</v>
      </c>
      <c r="L607" s="406" t="s">
        <v>695</v>
      </c>
      <c r="M607" s="397" t="s">
        <v>679</v>
      </c>
      <c r="N607" s="400"/>
      <c r="O607" s="400"/>
      <c r="P607" s="399">
        <f>IF(N607=0,0,(O607-N607)/N607*100)</f>
        <v>0</v>
      </c>
      <c r="Q607" s="400"/>
      <c r="R607" s="400"/>
      <c r="S607" s="399">
        <f>IF(Q607=0,0,(R607-Q607)/Q607*100)</f>
        <v>0</v>
      </c>
      <c r="T607" s="400"/>
      <c r="U607" s="400"/>
      <c r="V607" s="399">
        <f>IF(T607=0,0,(U607-T607)/T607*100)</f>
        <v>0</v>
      </c>
      <c r="W607" s="400"/>
      <c r="X607" s="400"/>
      <c r="Y607" s="399">
        <f>IF(W607=0,0,(X607-W607)/W607*100)</f>
        <v>0</v>
      </c>
      <c r="Z607" s="400"/>
      <c r="AA607" s="400"/>
      <c r="AB607" s="399">
        <f>IF(Z607=0,0,(AA607-Z607)/Z607*100)</f>
        <v>0</v>
      </c>
      <c r="AC607" s="400"/>
      <c r="AD607" s="400"/>
      <c r="AE607" s="399">
        <f>IF(AC607=0,0,(AD607-AC607)/AC607*100)</f>
        <v>0</v>
      </c>
      <c r="AF607" s="400"/>
      <c r="AG607" s="400"/>
      <c r="AH607" s="399">
        <f>IF(AF607=0,0,(AG607-AF607)/AF607*100)</f>
        <v>0</v>
      </c>
      <c r="AI607" s="400"/>
      <c r="AJ607" s="400"/>
      <c r="AK607" s="399">
        <f>IF(AI607=0,0,(AJ607-AI607)/AI607*100)</f>
        <v>0</v>
      </c>
      <c r="AL607" s="400"/>
      <c r="AM607" s="400"/>
      <c r="AN607" s="399">
        <f>IF(AL607=0,0,(AM607-AL607)/AL607*100)</f>
        <v>0</v>
      </c>
      <c r="AO607" s="400"/>
      <c r="AP607" s="400"/>
      <c r="AQ607" s="399">
        <f>IF(AO607=0,0,(AP607-AO607)/AO607*100)</f>
        <v>0</v>
      </c>
    </row>
    <row r="608" spans="1:43" s="322" customFormat="1" ht="15" customHeight="1" outlineLevel="1">
      <c r="A608" s="322" t="str">
        <f t="shared" si="128"/>
        <v>1</v>
      </c>
      <c r="B608" s="111" t="s">
        <v>1213</v>
      </c>
      <c r="G608" s="322" t="b">
        <f>F590="двухставочный"</f>
        <v>0</v>
      </c>
      <c r="L608" s="406" t="s">
        <v>696</v>
      </c>
      <c r="M608" s="397" t="s">
        <v>329</v>
      </c>
      <c r="N608" s="571" t="e">
        <f>SUMIFS(INDEX(Калькуляция!$T$15:$AM$139,,MATCH(N$3,Калькуляция!$T$3:$AM$3,0)),Калькуляция!$A$15:$A$139,$A608,Калькуляция!$B$15:$B$139,$B608)</f>
        <v>#N/A</v>
      </c>
      <c r="O608" s="571" t="e">
        <f>SUMIFS(INDEX(Калькуляция!$T$15:$AM$139,,MATCH(O$3,Калькуляция!$T$3:$AM$3,0)),Калькуляция!$A$15:$A$139,$A608,Калькуляция!$B$15:$B$139,$B608)</f>
        <v>#N/A</v>
      </c>
      <c r="P608" s="527" t="e">
        <f>IF(N608=0,0,(O608-N608)/N608*100)</f>
        <v>#N/A</v>
      </c>
      <c r="Q608" s="571" t="e">
        <f>SUMIFS(INDEX(Калькуляция!$T$15:$AM$139,,MATCH(Q$3,Калькуляция!$T$3:$AM$3,0)),Калькуляция!$A$15:$A$139,$A608,Калькуляция!$B$15:$B$139,$B608)</f>
        <v>#N/A</v>
      </c>
      <c r="R608" s="571" t="e">
        <f>SUMIFS(INDEX(Калькуляция!$T$15:$AM$139,,MATCH(R$3,Калькуляция!$T$3:$AM$3,0)),Калькуляция!$A$15:$A$139,$A608,Калькуляция!$B$15:$B$139,$B608)</f>
        <v>#N/A</v>
      </c>
      <c r="S608" s="527" t="e">
        <f>IF(Q608=0,0,(R608-Q608)/Q608*100)</f>
        <v>#N/A</v>
      </c>
      <c r="T608" s="571" t="e">
        <f>SUMIFS(INDEX(Калькуляция!$T$15:$AM$139,,MATCH(T$3,Калькуляция!$T$3:$AM$3,0)),Калькуляция!$A$15:$A$139,$A608,Калькуляция!$B$15:$B$139,$B608)</f>
        <v>#N/A</v>
      </c>
      <c r="U608" s="571" t="e">
        <f>SUMIFS(INDEX(Калькуляция!$T$15:$AM$139,,MATCH(U$3,Калькуляция!$T$3:$AM$3,0)),Калькуляция!$A$15:$A$139,$A608,Калькуляция!$B$15:$B$139,$B608)</f>
        <v>#N/A</v>
      </c>
      <c r="V608" s="527" t="e">
        <f>IF(T608=0,0,(U608-T608)/T608*100)</f>
        <v>#N/A</v>
      </c>
      <c r="W608" s="571" t="e">
        <f>SUMIFS(INDEX(Калькуляция!$T$15:$AM$139,,MATCH(W$3,Калькуляция!$T$3:$AM$3,0)),Калькуляция!$A$15:$A$139,$A608,Калькуляция!$B$15:$B$139,$B608)</f>
        <v>#N/A</v>
      </c>
      <c r="X608" s="571" t="e">
        <f>SUMIFS(INDEX(Калькуляция!$T$15:$AM$139,,MATCH(X$3,Калькуляция!$T$3:$AM$3,0)),Калькуляция!$A$15:$A$139,$A608,Калькуляция!$B$15:$B$139,$B608)</f>
        <v>#N/A</v>
      </c>
      <c r="Y608" s="527" t="e">
        <f>IF(W608=0,0,(X608-W608)/W608*100)</f>
        <v>#N/A</v>
      </c>
      <c r="Z608" s="571" t="e">
        <f>SUMIFS(INDEX(Калькуляция!$T$15:$AM$139,,MATCH(Z$3,Калькуляция!$T$3:$AM$3,0)),Калькуляция!$A$15:$A$139,$A608,Калькуляция!$B$15:$B$139,$B608)</f>
        <v>#N/A</v>
      </c>
      <c r="AA608" s="571" t="e">
        <f>SUMIFS(INDEX(Калькуляция!$T$15:$AM$139,,MATCH(AA$3,Калькуляция!$T$3:$AM$3,0)),Калькуляция!$A$15:$A$139,$A608,Калькуляция!$B$15:$B$139,$B608)</f>
        <v>#N/A</v>
      </c>
      <c r="AB608" s="527" t="e">
        <f>IF(Z608=0,0,(AA608-Z608)/Z608*100)</f>
        <v>#N/A</v>
      </c>
      <c r="AC608" s="571" t="e">
        <f>SUMIFS(INDEX(Калькуляция!$T$15:$AM$139,,MATCH(AC$3,Калькуляция!$T$3:$AM$3,0)),Калькуляция!$A$15:$A$139,$A608,Калькуляция!$B$15:$B$139,$B608)</f>
        <v>#N/A</v>
      </c>
      <c r="AD608" s="571" t="e">
        <f>SUMIFS(INDEX(Калькуляция!$T$15:$AM$139,,MATCH(AD$3,Калькуляция!$T$3:$AM$3,0)),Калькуляция!$A$15:$A$139,$A608,Калькуляция!$B$15:$B$139,$B608)</f>
        <v>#N/A</v>
      </c>
      <c r="AE608" s="527" t="e">
        <f>IF(AC608=0,0,(AD608-AC608)/AC608*100)</f>
        <v>#N/A</v>
      </c>
      <c r="AF608" s="571" t="e">
        <f>SUMIFS(INDEX(Калькуляция!$T$15:$AM$139,,MATCH(AF$3,Калькуляция!$T$3:$AM$3,0)),Калькуляция!$A$15:$A$139,$A608,Калькуляция!$B$15:$B$139,$B608)</f>
        <v>#N/A</v>
      </c>
      <c r="AG608" s="571" t="e">
        <f>SUMIFS(INDEX(Калькуляция!$T$15:$AM$139,,MATCH(AG$3,Калькуляция!$T$3:$AM$3,0)),Калькуляция!$A$15:$A$139,$A608,Калькуляция!$B$15:$B$139,$B608)</f>
        <v>#N/A</v>
      </c>
      <c r="AH608" s="527" t="e">
        <f>IF(AF608=0,0,(AG608-AF608)/AF608*100)</f>
        <v>#N/A</v>
      </c>
      <c r="AI608" s="571" t="e">
        <f>SUMIFS(INDEX(Калькуляция!$T$15:$AM$139,,MATCH(AI$3,Калькуляция!$T$3:$AM$3,0)),Калькуляция!$A$15:$A$139,$A608,Калькуляция!$B$15:$B$139,$B608)</f>
        <v>#N/A</v>
      </c>
      <c r="AJ608" s="571" t="e">
        <f>SUMIFS(INDEX(Калькуляция!$T$15:$AM$139,,MATCH(AJ$3,Калькуляция!$T$3:$AM$3,0)),Калькуляция!$A$15:$A$139,$A608,Калькуляция!$B$15:$B$139,$B608)</f>
        <v>#N/A</v>
      </c>
      <c r="AK608" s="527" t="e">
        <f>IF(AI608=0,0,(AJ608-AI608)/AI608*100)</f>
        <v>#N/A</v>
      </c>
      <c r="AL608" s="571" t="e">
        <f>SUMIFS(INDEX(Калькуляция!$T$15:$AM$139,,MATCH(AL$3,Калькуляция!$T$3:$AM$3,0)),Калькуляция!$A$15:$A$139,$A608,Калькуляция!$B$15:$B$139,$B608)</f>
        <v>#N/A</v>
      </c>
      <c r="AM608" s="571" t="e">
        <f>SUMIFS(INDEX(Калькуляция!$T$15:$AM$139,,MATCH(AM$3,Калькуляция!$T$3:$AM$3,0)),Калькуляция!$A$15:$A$139,$A608,Калькуляция!$B$15:$B$139,$B608)</f>
        <v>#N/A</v>
      </c>
      <c r="AN608" s="527" t="e">
        <f>IF(AL608=0,0,(AM608-AL608)/AL608*100)</f>
        <v>#N/A</v>
      </c>
      <c r="AO608" s="571" t="e">
        <f>SUMIFS(INDEX(Калькуляция!$T$15:$AM$139,,MATCH(AO$3,Калькуляция!$T$3:$AM$3,0)),Калькуляция!$A$15:$A$139,$A608,Калькуляция!$B$15:$B$139,$B608)</f>
        <v>#N/A</v>
      </c>
      <c r="AP608" s="571" t="e">
        <f>SUMIFS(INDEX(Калькуляция!$T$15:$AM$139,,MATCH(AP$3,Калькуляция!$T$3:$AM$3,0)),Калькуляция!$A$15:$A$139,$A608,Калькуляция!$B$15:$B$139,$B608)</f>
        <v>#N/A</v>
      </c>
      <c r="AQ608" s="527" t="e">
        <f>IF(AO608=0,0,(AP608-AO608)/AO608*100)</f>
        <v>#N/A</v>
      </c>
    </row>
    <row r="609" spans="1:43" s="322" customFormat="1" ht="24.75" customHeight="1" outlineLevel="1">
      <c r="A609" s="322" t="str">
        <f t="shared" si="128"/>
        <v>1</v>
      </c>
      <c r="G609" s="322" t="b">
        <f>F590="двухставочный"</f>
        <v>0</v>
      </c>
      <c r="L609" s="406" t="s">
        <v>697</v>
      </c>
      <c r="M609" s="397" t="s">
        <v>698</v>
      </c>
      <c r="N609" s="400"/>
      <c r="O609" s="400"/>
      <c r="P609" s="399">
        <f>IF(N609=0,0,(O609-N609)/N609*100)</f>
        <v>0</v>
      </c>
      <c r="Q609" s="400"/>
      <c r="R609" s="400"/>
      <c r="S609" s="399">
        <f>IF(Q609=0,0,(R609-Q609)/Q609*100)</f>
        <v>0</v>
      </c>
      <c r="T609" s="400"/>
      <c r="U609" s="400"/>
      <c r="V609" s="399">
        <f>IF(T609=0,0,(U609-T609)/T609*100)</f>
        <v>0</v>
      </c>
      <c r="W609" s="400"/>
      <c r="X609" s="400"/>
      <c r="Y609" s="399">
        <f>IF(W609=0,0,(X609-W609)/W609*100)</f>
        <v>0</v>
      </c>
      <c r="Z609" s="400"/>
      <c r="AA609" s="400"/>
      <c r="AB609" s="399">
        <f>IF(Z609=0,0,(AA609-Z609)/Z609*100)</f>
        <v>0</v>
      </c>
      <c r="AC609" s="400"/>
      <c r="AD609" s="400"/>
      <c r="AE609" s="399">
        <f>IF(AC609=0,0,(AD609-AC609)/AC609*100)</f>
        <v>0</v>
      </c>
      <c r="AF609" s="400"/>
      <c r="AG609" s="400"/>
      <c r="AH609" s="399">
        <f>IF(AF609=0,0,(AG609-AF609)/AF609*100)</f>
        <v>0</v>
      </c>
      <c r="AI609" s="400"/>
      <c r="AJ609" s="400"/>
      <c r="AK609" s="399">
        <f>IF(AI609=0,0,(AJ609-AI609)/AI609*100)</f>
        <v>0</v>
      </c>
      <c r="AL609" s="400"/>
      <c r="AM609" s="400"/>
      <c r="AN609" s="399">
        <f>IF(AL609=0,0,(AM609-AL609)/AL609*100)</f>
        <v>0</v>
      </c>
      <c r="AO609" s="400"/>
      <c r="AP609" s="400"/>
      <c r="AQ609" s="399">
        <f>IF(AO609=0,0,(AP609-AO609)/AO609*100)</f>
        <v>0</v>
      </c>
    </row>
    <row r="610" spans="1:43" s="322" customFormat="1" ht="15" customHeight="1" outlineLevel="1">
      <c r="A610" s="322" t="str">
        <f t="shared" si="128"/>
        <v>1</v>
      </c>
      <c r="G610" s="322" t="b">
        <f>F590="двухставочный"</f>
        <v>0</v>
      </c>
      <c r="L610" s="406" t="s">
        <v>699</v>
      </c>
      <c r="M610" s="397" t="s">
        <v>700</v>
      </c>
      <c r="N610" s="400"/>
      <c r="O610" s="400"/>
      <c r="P610" s="399">
        <f>IF(N610=0,0,(O610-N610)/N610*100)</f>
        <v>0</v>
      </c>
      <c r="Q610" s="400"/>
      <c r="R610" s="400"/>
      <c r="S610" s="399">
        <f>IF(Q610=0,0,(R610-Q610)/Q610*100)</f>
        <v>0</v>
      </c>
      <c r="T610" s="400"/>
      <c r="U610" s="400"/>
      <c r="V610" s="399">
        <f>IF(T610=0,0,(U610-T610)/T610*100)</f>
        <v>0</v>
      </c>
      <c r="W610" s="400"/>
      <c r="X610" s="400"/>
      <c r="Y610" s="399">
        <f>IF(W610=0,0,(X610-W610)/W610*100)</f>
        <v>0</v>
      </c>
      <c r="Z610" s="400"/>
      <c r="AA610" s="400"/>
      <c r="AB610" s="399">
        <f>IF(Z610=0,0,(AA610-Z610)/Z610*100)</f>
        <v>0</v>
      </c>
      <c r="AC610" s="400"/>
      <c r="AD610" s="400"/>
      <c r="AE610" s="399">
        <f>IF(AC610=0,0,(AD610-AC610)/AC610*100)</f>
        <v>0</v>
      </c>
      <c r="AF610" s="400"/>
      <c r="AG610" s="400"/>
      <c r="AH610" s="399">
        <f>IF(AF610=0,0,(AG610-AF610)/AF610*100)</f>
        <v>0</v>
      </c>
      <c r="AI610" s="400"/>
      <c r="AJ610" s="400"/>
      <c r="AK610" s="399">
        <f>IF(AI610=0,0,(AJ610-AI610)/AI610*100)</f>
        <v>0</v>
      </c>
      <c r="AL610" s="400"/>
      <c r="AM610" s="400"/>
      <c r="AN610" s="399">
        <f>IF(AL610=0,0,(AM610-AL610)/AL610*100)</f>
        <v>0</v>
      </c>
      <c r="AO610" s="400"/>
      <c r="AP610" s="400"/>
      <c r="AQ610" s="399">
        <f>IF(AO610=0,0,(AP610-AO610)/AO610*100)</f>
        <v>0</v>
      </c>
    </row>
    <row r="611" spans="1:43" s="322" customFormat="1" ht="15" customHeight="1" outlineLevel="1">
      <c r="A611" s="322" t="str">
        <f t="shared" si="128"/>
        <v>1</v>
      </c>
      <c r="G611" s="322" t="b">
        <f>F590="двухставочный"</f>
        <v>0</v>
      </c>
      <c r="L611" s="392" t="s">
        <v>1220</v>
      </c>
      <c r="M611" s="403"/>
      <c r="N611" s="404"/>
      <c r="O611" s="404"/>
      <c r="P611" s="404"/>
      <c r="Q611" s="404"/>
      <c r="R611" s="404"/>
      <c r="S611" s="404"/>
      <c r="T611" s="404"/>
      <c r="U611" s="404"/>
      <c r="V611" s="404"/>
      <c r="W611" s="404"/>
      <c r="X611" s="404"/>
      <c r="Y611" s="404"/>
      <c r="Z611" s="404"/>
      <c r="AA611" s="404"/>
      <c r="AB611" s="404"/>
      <c r="AC611" s="404"/>
      <c r="AD611" s="404"/>
      <c r="AE611" s="404"/>
      <c r="AF611" s="404"/>
      <c r="AG611" s="404"/>
      <c r="AH611" s="404"/>
      <c r="AI611" s="404"/>
      <c r="AJ611" s="404"/>
      <c r="AK611" s="404"/>
      <c r="AL611" s="404"/>
      <c r="AM611" s="404"/>
      <c r="AN611" s="404"/>
      <c r="AO611" s="404"/>
      <c r="AP611" s="404"/>
      <c r="AQ611" s="405"/>
    </row>
    <row r="612" spans="1:43" s="322" customFormat="1" ht="15" customHeight="1" outlineLevel="1">
      <c r="A612" s="322" t="str">
        <f t="shared" si="128"/>
        <v>1</v>
      </c>
      <c r="G612" s="322" t="b">
        <f>F590="двухставочный"</f>
        <v>0</v>
      </c>
      <c r="L612" s="406" t="s">
        <v>694</v>
      </c>
      <c r="M612" s="397" t="s">
        <v>679</v>
      </c>
      <c r="N612" s="400" t="e">
        <f>IF(N614=0,0,(N613*N614+N615*N616*6)/N614)</f>
        <v>#N/A</v>
      </c>
      <c r="O612" s="400" t="e">
        <f>IF(O614=0,0,(O613*O614+O615*O616*6)/O614)</f>
        <v>#N/A</v>
      </c>
      <c r="P612" s="399" t="e">
        <f>IF(N612=0,0,(O612-N612)/N612*100)</f>
        <v>#N/A</v>
      </c>
      <c r="Q612" s="400" t="e">
        <f>IF(Q614=0,0,(Q613*Q614+Q615*Q616*6)/Q614)</f>
        <v>#N/A</v>
      </c>
      <c r="R612" s="400" t="e">
        <f>IF(R614=0,0,(R613*R614+R615*R616*6)/R614)</f>
        <v>#N/A</v>
      </c>
      <c r="S612" s="399" t="e">
        <f>IF(Q612=0,0,(R612-Q612)/Q612*100)</f>
        <v>#N/A</v>
      </c>
      <c r="T612" s="400" t="e">
        <f>IF(T614=0,0,(T613*T614+T615*T616*6)/T614)</f>
        <v>#N/A</v>
      </c>
      <c r="U612" s="400" t="e">
        <f>IF(U614=0,0,(U613*U614+U615*U616*6)/U614)</f>
        <v>#N/A</v>
      </c>
      <c r="V612" s="399" t="e">
        <f>IF(T612=0,0,(U612-T612)/T612*100)</f>
        <v>#N/A</v>
      </c>
      <c r="W612" s="400" t="e">
        <f>IF(W614=0,0,(W613*W614+W615*W616*6)/W614)</f>
        <v>#N/A</v>
      </c>
      <c r="X612" s="400" t="e">
        <f>IF(X614=0,0,(X613*X614+X615*X616*6)/X614)</f>
        <v>#N/A</v>
      </c>
      <c r="Y612" s="399" t="e">
        <f>IF(W612=0,0,(X612-W612)/W612*100)</f>
        <v>#N/A</v>
      </c>
      <c r="Z612" s="400" t="e">
        <f>IF(Z614=0,0,(Z613*Z614+Z615*Z616*6)/Z614)</f>
        <v>#N/A</v>
      </c>
      <c r="AA612" s="400" t="e">
        <f>IF(AA614=0,0,(AA613*AA614+AA615*AA616*6)/AA614)</f>
        <v>#N/A</v>
      </c>
      <c r="AB612" s="399" t="e">
        <f>IF(Z612=0,0,(AA612-Z612)/Z612*100)</f>
        <v>#N/A</v>
      </c>
      <c r="AC612" s="400" t="e">
        <f>IF(AC614=0,0,(AC613*AC614+AC615*AC616*6)/AC614)</f>
        <v>#N/A</v>
      </c>
      <c r="AD612" s="400" t="e">
        <f>IF(AD614=0,0,(AD613*AD614+AD615*AD616*6)/AD614)</f>
        <v>#N/A</v>
      </c>
      <c r="AE612" s="399" t="e">
        <f>IF(AC612=0,0,(AD612-AC612)/AC612*100)</f>
        <v>#N/A</v>
      </c>
      <c r="AF612" s="400" t="e">
        <f>IF(AF614=0,0,(AF613*AF614+AF615*AF616*6)/AF614)</f>
        <v>#N/A</v>
      </c>
      <c r="AG612" s="400" t="e">
        <f>IF(AG614=0,0,(AG613*AG614+AG615*AG616*6)/AG614)</f>
        <v>#N/A</v>
      </c>
      <c r="AH612" s="399" t="e">
        <f>IF(AF612=0,0,(AG612-AF612)/AF612*100)</f>
        <v>#N/A</v>
      </c>
      <c r="AI612" s="400" t="e">
        <f>IF(AI614=0,0,(AI613*AI614+AI615*AI616*6)/AI614)</f>
        <v>#N/A</v>
      </c>
      <c r="AJ612" s="400" t="e">
        <f>IF(AJ614=0,0,(AJ613*AJ614+AJ615*AJ616*6)/AJ614)</f>
        <v>#N/A</v>
      </c>
      <c r="AK612" s="399" t="e">
        <f>IF(AI612=0,0,(AJ612-AI612)/AI612*100)</f>
        <v>#N/A</v>
      </c>
      <c r="AL612" s="400" t="e">
        <f>IF(AL614=0,0,(AL613*AL614+AL615*AL616*6)/AL614)</f>
        <v>#N/A</v>
      </c>
      <c r="AM612" s="400" t="e">
        <f>IF(AM614=0,0,(AM613*AM614+AM615*AM616*6)/AM614)</f>
        <v>#N/A</v>
      </c>
      <c r="AN612" s="399" t="e">
        <f>IF(AL612=0,0,(AM612-AL612)/AL612*100)</f>
        <v>#N/A</v>
      </c>
      <c r="AO612" s="400" t="e">
        <f>IF(AO614=0,0,(AO613*AO614+AO615*AO616*6)/AO614)</f>
        <v>#N/A</v>
      </c>
      <c r="AP612" s="400" t="e">
        <f>IF(AP614=0,0,(AP613*AP614+AP615*AP616*6)/AP614)</f>
        <v>#N/A</v>
      </c>
      <c r="AQ612" s="399" t="e">
        <f>IF(AO612=0,0,(AP612-AO612)/AO612*100)</f>
        <v>#N/A</v>
      </c>
    </row>
    <row r="613" spans="1:43" s="322" customFormat="1" ht="15" customHeight="1" outlineLevel="1">
      <c r="A613" s="322" t="str">
        <f t="shared" si="128"/>
        <v>1</v>
      </c>
      <c r="G613" s="322" t="b">
        <f>F590="двухставочный"</f>
        <v>0</v>
      </c>
      <c r="L613" s="406" t="s">
        <v>695</v>
      </c>
      <c r="M613" s="397" t="s">
        <v>679</v>
      </c>
      <c r="N613" s="400"/>
      <c r="O613" s="400"/>
      <c r="P613" s="399">
        <f>IF(N613=0,0,(O613-N613)/N613*100)</f>
        <v>0</v>
      </c>
      <c r="Q613" s="400"/>
      <c r="R613" s="400"/>
      <c r="S613" s="399">
        <f>IF(Q613=0,0,(R613-Q613)/Q613*100)</f>
        <v>0</v>
      </c>
      <c r="T613" s="400"/>
      <c r="U613" s="400"/>
      <c r="V613" s="399">
        <f>IF(T613=0,0,(U613-T613)/T613*100)</f>
        <v>0</v>
      </c>
      <c r="W613" s="400"/>
      <c r="X613" s="400"/>
      <c r="Y613" s="399">
        <f>IF(W613=0,0,(X613-W613)/W613*100)</f>
        <v>0</v>
      </c>
      <c r="Z613" s="400"/>
      <c r="AA613" s="400"/>
      <c r="AB613" s="399">
        <f>IF(Z613=0,0,(AA613-Z613)/Z613*100)</f>
        <v>0</v>
      </c>
      <c r="AC613" s="400"/>
      <c r="AD613" s="400"/>
      <c r="AE613" s="399">
        <f>IF(AC613=0,0,(AD613-AC613)/AC613*100)</f>
        <v>0</v>
      </c>
      <c r="AF613" s="400"/>
      <c r="AG613" s="400"/>
      <c r="AH613" s="399">
        <f>IF(AF613=0,0,(AG613-AF613)/AF613*100)</f>
        <v>0</v>
      </c>
      <c r="AI613" s="400"/>
      <c r="AJ613" s="400"/>
      <c r="AK613" s="399">
        <f>IF(AI613=0,0,(AJ613-AI613)/AI613*100)</f>
        <v>0</v>
      </c>
      <c r="AL613" s="400"/>
      <c r="AM613" s="400"/>
      <c r="AN613" s="399">
        <f>IF(AL613=0,0,(AM613-AL613)/AL613*100)</f>
        <v>0</v>
      </c>
      <c r="AO613" s="400"/>
      <c r="AP613" s="400"/>
      <c r="AQ613" s="399">
        <f>IF(AO613=0,0,(AP613-AO613)/AO613*100)</f>
        <v>0</v>
      </c>
    </row>
    <row r="614" spans="1:43" s="322" customFormat="1" ht="15" customHeight="1" outlineLevel="1">
      <c r="A614" s="322" t="str">
        <f t="shared" si="128"/>
        <v>1</v>
      </c>
      <c r="B614" s="111" t="s">
        <v>1214</v>
      </c>
      <c r="G614" s="322" t="b">
        <f>F590="двухставочный"</f>
        <v>0</v>
      </c>
      <c r="L614" s="406" t="s">
        <v>696</v>
      </c>
      <c r="M614" s="397" t="s">
        <v>329</v>
      </c>
      <c r="N614" s="571" t="e">
        <f>SUMIFS(INDEX(Калькуляция!$T$15:$AM$139,,MATCH(N$3,Калькуляция!$T$3:$AM$3,0)),Калькуляция!$A$15:$A$139,$A614,Калькуляция!$B$15:$B$139,$B614)</f>
        <v>#N/A</v>
      </c>
      <c r="O614" s="571" t="e">
        <f>SUMIFS(INDEX(Калькуляция!$T$15:$AM$139,,MATCH(O$3,Калькуляция!$T$3:$AM$3,0)),Калькуляция!$A$15:$A$139,$A614,Калькуляция!$B$15:$B$139,$B614)</f>
        <v>#N/A</v>
      </c>
      <c r="P614" s="527" t="e">
        <f>IF(N614=0,0,(O614-N614)/N614*100)</f>
        <v>#N/A</v>
      </c>
      <c r="Q614" s="571" t="e">
        <f>SUMIFS(INDEX(Калькуляция!$T$15:$AM$139,,MATCH(Q$3,Калькуляция!$T$3:$AM$3,0)),Калькуляция!$A$15:$A$139,$A614,Калькуляция!$B$15:$B$139,$B614)</f>
        <v>#N/A</v>
      </c>
      <c r="R614" s="571" t="e">
        <f>SUMIFS(INDEX(Калькуляция!$T$15:$AM$139,,MATCH(R$3,Калькуляция!$T$3:$AM$3,0)),Калькуляция!$A$15:$A$139,$A614,Калькуляция!$B$15:$B$139,$B614)</f>
        <v>#N/A</v>
      </c>
      <c r="S614" s="527" t="e">
        <f>IF(Q614=0,0,(R614-Q614)/Q614*100)</f>
        <v>#N/A</v>
      </c>
      <c r="T614" s="571" t="e">
        <f>SUMIFS(INDEX(Калькуляция!$T$15:$AM$139,,MATCH(T$3,Калькуляция!$T$3:$AM$3,0)),Калькуляция!$A$15:$A$139,$A614,Калькуляция!$B$15:$B$139,$B614)</f>
        <v>#N/A</v>
      </c>
      <c r="U614" s="571" t="e">
        <f>SUMIFS(INDEX(Калькуляция!$T$15:$AM$139,,MATCH(U$3,Калькуляция!$T$3:$AM$3,0)),Калькуляция!$A$15:$A$139,$A614,Калькуляция!$B$15:$B$139,$B614)</f>
        <v>#N/A</v>
      </c>
      <c r="V614" s="527" t="e">
        <f>IF(T614=0,0,(U614-T614)/T614*100)</f>
        <v>#N/A</v>
      </c>
      <c r="W614" s="571" t="e">
        <f>SUMIFS(INDEX(Калькуляция!$T$15:$AM$139,,MATCH(W$3,Калькуляция!$T$3:$AM$3,0)),Калькуляция!$A$15:$A$139,$A614,Калькуляция!$B$15:$B$139,$B614)</f>
        <v>#N/A</v>
      </c>
      <c r="X614" s="571" t="e">
        <f>SUMIFS(INDEX(Калькуляция!$T$15:$AM$139,,MATCH(X$3,Калькуляция!$T$3:$AM$3,0)),Калькуляция!$A$15:$A$139,$A614,Калькуляция!$B$15:$B$139,$B614)</f>
        <v>#N/A</v>
      </c>
      <c r="Y614" s="527" t="e">
        <f>IF(W614=0,0,(X614-W614)/W614*100)</f>
        <v>#N/A</v>
      </c>
      <c r="Z614" s="571" t="e">
        <f>SUMIFS(INDEX(Калькуляция!$T$15:$AM$139,,MATCH(Z$3,Калькуляция!$T$3:$AM$3,0)),Калькуляция!$A$15:$A$139,$A614,Калькуляция!$B$15:$B$139,$B614)</f>
        <v>#N/A</v>
      </c>
      <c r="AA614" s="571" t="e">
        <f>SUMIFS(INDEX(Калькуляция!$T$15:$AM$139,,MATCH(AA$3,Калькуляция!$T$3:$AM$3,0)),Калькуляция!$A$15:$A$139,$A614,Калькуляция!$B$15:$B$139,$B614)</f>
        <v>#N/A</v>
      </c>
      <c r="AB614" s="527" t="e">
        <f>IF(Z614=0,0,(AA614-Z614)/Z614*100)</f>
        <v>#N/A</v>
      </c>
      <c r="AC614" s="571" t="e">
        <f>SUMIFS(INDEX(Калькуляция!$T$15:$AM$139,,MATCH(AC$3,Калькуляция!$T$3:$AM$3,0)),Калькуляция!$A$15:$A$139,$A614,Калькуляция!$B$15:$B$139,$B614)</f>
        <v>#N/A</v>
      </c>
      <c r="AD614" s="571" t="e">
        <f>SUMIFS(INDEX(Калькуляция!$T$15:$AM$139,,MATCH(AD$3,Калькуляция!$T$3:$AM$3,0)),Калькуляция!$A$15:$A$139,$A614,Калькуляция!$B$15:$B$139,$B614)</f>
        <v>#N/A</v>
      </c>
      <c r="AE614" s="527" t="e">
        <f>IF(AC614=0,0,(AD614-AC614)/AC614*100)</f>
        <v>#N/A</v>
      </c>
      <c r="AF614" s="571" t="e">
        <f>SUMIFS(INDEX(Калькуляция!$T$15:$AM$139,,MATCH(AF$3,Калькуляция!$T$3:$AM$3,0)),Калькуляция!$A$15:$A$139,$A614,Калькуляция!$B$15:$B$139,$B614)</f>
        <v>#N/A</v>
      </c>
      <c r="AG614" s="571" t="e">
        <f>SUMIFS(INDEX(Калькуляция!$T$15:$AM$139,,MATCH(AG$3,Калькуляция!$T$3:$AM$3,0)),Калькуляция!$A$15:$A$139,$A614,Калькуляция!$B$15:$B$139,$B614)</f>
        <v>#N/A</v>
      </c>
      <c r="AH614" s="527" t="e">
        <f>IF(AF614=0,0,(AG614-AF614)/AF614*100)</f>
        <v>#N/A</v>
      </c>
      <c r="AI614" s="571" t="e">
        <f>SUMIFS(INDEX(Калькуляция!$T$15:$AM$139,,MATCH(AI$3,Калькуляция!$T$3:$AM$3,0)),Калькуляция!$A$15:$A$139,$A614,Калькуляция!$B$15:$B$139,$B614)</f>
        <v>#N/A</v>
      </c>
      <c r="AJ614" s="571" t="e">
        <f>SUMIFS(INDEX(Калькуляция!$T$15:$AM$139,,MATCH(AJ$3,Калькуляция!$T$3:$AM$3,0)),Калькуляция!$A$15:$A$139,$A614,Калькуляция!$B$15:$B$139,$B614)</f>
        <v>#N/A</v>
      </c>
      <c r="AK614" s="527" t="e">
        <f>IF(AI614=0,0,(AJ614-AI614)/AI614*100)</f>
        <v>#N/A</v>
      </c>
      <c r="AL614" s="571" t="e">
        <f>SUMIFS(INDEX(Калькуляция!$T$15:$AM$139,,MATCH(AL$3,Калькуляция!$T$3:$AM$3,0)),Калькуляция!$A$15:$A$139,$A614,Калькуляция!$B$15:$B$139,$B614)</f>
        <v>#N/A</v>
      </c>
      <c r="AM614" s="571" t="e">
        <f>SUMIFS(INDEX(Калькуляция!$T$15:$AM$139,,MATCH(AM$3,Калькуляция!$T$3:$AM$3,0)),Калькуляция!$A$15:$A$139,$A614,Калькуляция!$B$15:$B$139,$B614)</f>
        <v>#N/A</v>
      </c>
      <c r="AN614" s="527" t="e">
        <f>IF(AL614=0,0,(AM614-AL614)/AL614*100)</f>
        <v>#N/A</v>
      </c>
      <c r="AO614" s="571" t="e">
        <f>SUMIFS(INDEX(Калькуляция!$T$15:$AM$139,,MATCH(AO$3,Калькуляция!$T$3:$AM$3,0)),Калькуляция!$A$15:$A$139,$A614,Калькуляция!$B$15:$B$139,$B614)</f>
        <v>#N/A</v>
      </c>
      <c r="AP614" s="571" t="e">
        <f>SUMIFS(INDEX(Калькуляция!$T$15:$AM$139,,MATCH(AP$3,Калькуляция!$T$3:$AM$3,0)),Калькуляция!$A$15:$A$139,$A614,Калькуляция!$B$15:$B$139,$B614)</f>
        <v>#N/A</v>
      </c>
      <c r="AQ614" s="527" t="e">
        <f>IF(AO614=0,0,(AP614-AO614)/AO614*100)</f>
        <v>#N/A</v>
      </c>
    </row>
    <row r="615" spans="1:43" s="322" customFormat="1" ht="24.75" customHeight="1" outlineLevel="1">
      <c r="A615" s="322" t="str">
        <f t="shared" si="128"/>
        <v>1</v>
      </c>
      <c r="G615" s="322" t="b">
        <f>F590="двухставочный"</f>
        <v>0</v>
      </c>
      <c r="L615" s="406" t="s">
        <v>697</v>
      </c>
      <c r="M615" s="397" t="s">
        <v>698</v>
      </c>
      <c r="N615" s="400"/>
      <c r="O615" s="400"/>
      <c r="P615" s="399">
        <f>IF(N615=0,0,(O615-N615)/N615*100)</f>
        <v>0</v>
      </c>
      <c r="Q615" s="400"/>
      <c r="R615" s="400"/>
      <c r="S615" s="399">
        <f>IF(Q615=0,0,(R615-Q615)/Q615*100)</f>
        <v>0</v>
      </c>
      <c r="T615" s="400"/>
      <c r="U615" s="400"/>
      <c r="V615" s="399">
        <f>IF(T615=0,0,(U615-T615)/T615*100)</f>
        <v>0</v>
      </c>
      <c r="W615" s="400"/>
      <c r="X615" s="400"/>
      <c r="Y615" s="399">
        <f>IF(W615=0,0,(X615-W615)/W615*100)</f>
        <v>0</v>
      </c>
      <c r="Z615" s="400"/>
      <c r="AA615" s="400"/>
      <c r="AB615" s="399">
        <f>IF(Z615=0,0,(AA615-Z615)/Z615*100)</f>
        <v>0</v>
      </c>
      <c r="AC615" s="400"/>
      <c r="AD615" s="400"/>
      <c r="AE615" s="399">
        <f>IF(AC615=0,0,(AD615-AC615)/AC615*100)</f>
        <v>0</v>
      </c>
      <c r="AF615" s="400"/>
      <c r="AG615" s="400"/>
      <c r="AH615" s="399">
        <f>IF(AF615=0,0,(AG615-AF615)/AF615*100)</f>
        <v>0</v>
      </c>
      <c r="AI615" s="400"/>
      <c r="AJ615" s="400"/>
      <c r="AK615" s="399">
        <f>IF(AI615=0,0,(AJ615-AI615)/AI615*100)</f>
        <v>0</v>
      </c>
      <c r="AL615" s="400"/>
      <c r="AM615" s="400"/>
      <c r="AN615" s="399">
        <f>IF(AL615=0,0,(AM615-AL615)/AL615*100)</f>
        <v>0</v>
      </c>
      <c r="AO615" s="400"/>
      <c r="AP615" s="400"/>
      <c r="AQ615" s="399">
        <f>IF(AO615=0,0,(AP615-AO615)/AO615*100)</f>
        <v>0</v>
      </c>
    </row>
    <row r="616" spans="1:43" s="322" customFormat="1" ht="15" customHeight="1" outlineLevel="1">
      <c r="A616" s="322" t="str">
        <f t="shared" si="128"/>
        <v>1</v>
      </c>
      <c r="G616" s="322" t="b">
        <f>F590="двухставочный"</f>
        <v>0</v>
      </c>
      <c r="L616" s="406" t="s">
        <v>699</v>
      </c>
      <c r="M616" s="397" t="s">
        <v>700</v>
      </c>
      <c r="N616" s="400"/>
      <c r="O616" s="400"/>
      <c r="P616" s="399">
        <f>IF(N616=0,0,(O616-N616)/N616*100)</f>
        <v>0</v>
      </c>
      <c r="Q616" s="400"/>
      <c r="R616" s="400"/>
      <c r="S616" s="399">
        <f>IF(Q616=0,0,(R616-Q616)/Q616*100)</f>
        <v>0</v>
      </c>
      <c r="T616" s="400"/>
      <c r="U616" s="400"/>
      <c r="V616" s="399">
        <f>IF(T616=0,0,(U616-T616)/T616*100)</f>
        <v>0</v>
      </c>
      <c r="W616" s="400"/>
      <c r="X616" s="400"/>
      <c r="Y616" s="399">
        <f>IF(W616=0,0,(X616-W616)/W616*100)</f>
        <v>0</v>
      </c>
      <c r="Z616" s="400"/>
      <c r="AA616" s="400"/>
      <c r="AB616" s="399">
        <f>IF(Z616=0,0,(AA616-Z616)/Z616*100)</f>
        <v>0</v>
      </c>
      <c r="AC616" s="400"/>
      <c r="AD616" s="400"/>
      <c r="AE616" s="399">
        <f>IF(AC616=0,0,(AD616-AC616)/AC616*100)</f>
        <v>0</v>
      </c>
      <c r="AF616" s="400"/>
      <c r="AG616" s="400"/>
      <c r="AH616" s="399">
        <f>IF(AF616=0,0,(AG616-AF616)/AF616*100)</f>
        <v>0</v>
      </c>
      <c r="AI616" s="400"/>
      <c r="AJ616" s="400"/>
      <c r="AK616" s="399">
        <f>IF(AI616=0,0,(AJ616-AI616)/AI616*100)</f>
        <v>0</v>
      </c>
      <c r="AL616" s="400"/>
      <c r="AM616" s="400"/>
      <c r="AN616" s="399">
        <f>IF(AL616=0,0,(AM616-AL616)/AL616*100)</f>
        <v>0</v>
      </c>
      <c r="AO616" s="400"/>
      <c r="AP616" s="400"/>
      <c r="AQ616" s="399">
        <f>IF(AO616=0,0,(AP616-AO616)/AO616*100)</f>
        <v>0</v>
      </c>
    </row>
    <row r="617" spans="1:43" s="322" customFormat="1" ht="15" customHeight="1" outlineLevel="1">
      <c r="A617" s="322" t="str">
        <f t="shared" si="128"/>
        <v>1</v>
      </c>
      <c r="G617" s="322" t="b">
        <f>F590="двухставочный"</f>
        <v>0</v>
      </c>
      <c r="L617" s="392" t="s">
        <v>1221</v>
      </c>
      <c r="M617" s="403"/>
      <c r="N617" s="404"/>
      <c r="O617" s="404"/>
      <c r="P617" s="404"/>
      <c r="Q617" s="404"/>
      <c r="R617" s="404"/>
      <c r="S617" s="404"/>
      <c r="T617" s="404"/>
      <c r="U617" s="404"/>
      <c r="V617" s="404"/>
      <c r="W617" s="404"/>
      <c r="X617" s="404"/>
      <c r="Y617" s="404"/>
      <c r="Z617" s="404"/>
      <c r="AA617" s="404"/>
      <c r="AB617" s="404"/>
      <c r="AC617" s="404"/>
      <c r="AD617" s="404"/>
      <c r="AE617" s="404"/>
      <c r="AF617" s="404"/>
      <c r="AG617" s="404"/>
      <c r="AH617" s="404"/>
      <c r="AI617" s="404"/>
      <c r="AJ617" s="404"/>
      <c r="AK617" s="404"/>
      <c r="AL617" s="404"/>
      <c r="AM617" s="404"/>
      <c r="AN617" s="404"/>
      <c r="AO617" s="404"/>
      <c r="AP617" s="404"/>
      <c r="AQ617" s="405"/>
    </row>
    <row r="618" spans="1:43" s="322" customFormat="1" ht="15" customHeight="1" outlineLevel="1">
      <c r="A618" s="322" t="str">
        <f t="shared" si="128"/>
        <v>1</v>
      </c>
      <c r="G618" s="322" t="b">
        <f>F590="двухставочный"</f>
        <v>0</v>
      </c>
      <c r="L618" s="406" t="s">
        <v>694</v>
      </c>
      <c r="M618" s="397" t="s">
        <v>679</v>
      </c>
      <c r="N618" s="400" t="e">
        <f>IF(N620=0,0,(N619*N620+N621*N622*6)/N620)</f>
        <v>#N/A</v>
      </c>
      <c r="O618" s="400" t="e">
        <f>IF(O620=0,0,(O619*O620+O621*O622*6)/O620)</f>
        <v>#N/A</v>
      </c>
      <c r="P618" s="399" t="e">
        <f>IF(N618=0,0,(O618-N618)/N618*100)</f>
        <v>#N/A</v>
      </c>
      <c r="Q618" s="400" t="e">
        <f>IF(Q620=0,0,(Q619*Q620+Q621*Q622*6)/Q620)</f>
        <v>#N/A</v>
      </c>
      <c r="R618" s="400" t="e">
        <f>IF(R620=0,0,(R619*R620+R621*R622*6)/R620)</f>
        <v>#N/A</v>
      </c>
      <c r="S618" s="399" t="e">
        <f>IF(Q618=0,0,(R618-Q618)/Q618*100)</f>
        <v>#N/A</v>
      </c>
      <c r="T618" s="400" t="e">
        <f>IF(T620=0,0,(T619*T620+T621*T622*6)/T620)</f>
        <v>#N/A</v>
      </c>
      <c r="U618" s="400" t="e">
        <f>IF(U620=0,0,(U619*U620+U621*U622*6)/U620)</f>
        <v>#N/A</v>
      </c>
      <c r="V618" s="399" t="e">
        <f>IF(T618=0,0,(U618-T618)/T618*100)</f>
        <v>#N/A</v>
      </c>
      <c r="W618" s="400" t="e">
        <f>IF(W620=0,0,(W619*W620+W621*W622*6)/W620)</f>
        <v>#N/A</v>
      </c>
      <c r="X618" s="400" t="e">
        <f>IF(X620=0,0,(X619*X620+X621*X622*6)/X620)</f>
        <v>#N/A</v>
      </c>
      <c r="Y618" s="399" t="e">
        <f>IF(W618=0,0,(X618-W618)/W618*100)</f>
        <v>#N/A</v>
      </c>
      <c r="Z618" s="400" t="e">
        <f>IF(Z620=0,0,(Z619*Z620+Z621*Z622*6)/Z620)</f>
        <v>#N/A</v>
      </c>
      <c r="AA618" s="400" t="e">
        <f>IF(AA620=0,0,(AA619*AA620+AA621*AA622*6)/AA620)</f>
        <v>#N/A</v>
      </c>
      <c r="AB618" s="399" t="e">
        <f>IF(Z618=0,0,(AA618-Z618)/Z618*100)</f>
        <v>#N/A</v>
      </c>
      <c r="AC618" s="400" t="e">
        <f>IF(AC620=0,0,(AC619*AC620+AC621*AC622*6)/AC620)</f>
        <v>#N/A</v>
      </c>
      <c r="AD618" s="400" t="e">
        <f>IF(AD620=0,0,(AD619*AD620+AD621*AD622*6)/AD620)</f>
        <v>#N/A</v>
      </c>
      <c r="AE618" s="399" t="e">
        <f>IF(AC618=0,0,(AD618-AC618)/AC618*100)</f>
        <v>#N/A</v>
      </c>
      <c r="AF618" s="400" t="e">
        <f>IF(AF620=0,0,(AF619*AF620+AF621*AF622*6)/AF620)</f>
        <v>#N/A</v>
      </c>
      <c r="AG618" s="400" t="e">
        <f>IF(AG620=0,0,(AG619*AG620+AG621*AG622*6)/AG620)</f>
        <v>#N/A</v>
      </c>
      <c r="AH618" s="399" t="e">
        <f>IF(AF618=0,0,(AG618-AF618)/AF618*100)</f>
        <v>#N/A</v>
      </c>
      <c r="AI618" s="400" t="e">
        <f>IF(AI620=0,0,(AI619*AI620+AI621*AI622*6)/AI620)</f>
        <v>#N/A</v>
      </c>
      <c r="AJ618" s="400" t="e">
        <f>IF(AJ620=0,0,(AJ619*AJ620+AJ621*AJ622*6)/AJ620)</f>
        <v>#N/A</v>
      </c>
      <c r="AK618" s="399" t="e">
        <f>IF(AI618=0,0,(AJ618-AI618)/AI618*100)</f>
        <v>#N/A</v>
      </c>
      <c r="AL618" s="400" t="e">
        <f>IF(AL620=0,0,(AL619*AL620+AL621*AL622*6)/AL620)</f>
        <v>#N/A</v>
      </c>
      <c r="AM618" s="400" t="e">
        <f>IF(AM620=0,0,(AM619*AM620+AM621*AM622*6)/AM620)</f>
        <v>#N/A</v>
      </c>
      <c r="AN618" s="399" t="e">
        <f>IF(AL618=0,0,(AM618-AL618)/AL618*100)</f>
        <v>#N/A</v>
      </c>
      <c r="AO618" s="400" t="e">
        <f>IF(AO620=0,0,(AO619*AO620+AO621*AO622*6)/AO620)</f>
        <v>#N/A</v>
      </c>
      <c r="AP618" s="400" t="e">
        <f>IF(AP620=0,0,(AP619*AP620+AP621*AP622*6)/AP620)</f>
        <v>#N/A</v>
      </c>
      <c r="AQ618" s="399" t="e">
        <f>IF(AO618=0,0,(AP618-AO618)/AO618*100)</f>
        <v>#N/A</v>
      </c>
    </row>
    <row r="619" spans="1:43" s="322" customFormat="1" ht="15" customHeight="1" outlineLevel="1">
      <c r="A619" s="322" t="str">
        <f t="shared" si="128"/>
        <v>1</v>
      </c>
      <c r="G619" s="322" t="b">
        <f>F590="двухставочный"</f>
        <v>0</v>
      </c>
      <c r="L619" s="406" t="s">
        <v>695</v>
      </c>
      <c r="M619" s="397" t="s">
        <v>679</v>
      </c>
      <c r="N619" s="400"/>
      <c r="O619" s="400"/>
      <c r="P619" s="399">
        <f>IF(N619=0,0,(O619-N619)/N619*100)</f>
        <v>0</v>
      </c>
      <c r="Q619" s="400"/>
      <c r="R619" s="400"/>
      <c r="S619" s="399">
        <f>IF(Q619=0,0,(R619-Q619)/Q619*100)</f>
        <v>0</v>
      </c>
      <c r="T619" s="400"/>
      <c r="U619" s="400"/>
      <c r="V619" s="399">
        <f>IF(T619=0,0,(U619-T619)/T619*100)</f>
        <v>0</v>
      </c>
      <c r="W619" s="400"/>
      <c r="X619" s="400"/>
      <c r="Y619" s="399">
        <f>IF(W619=0,0,(X619-W619)/W619*100)</f>
        <v>0</v>
      </c>
      <c r="Z619" s="400"/>
      <c r="AA619" s="400"/>
      <c r="AB619" s="399">
        <f>IF(Z619=0,0,(AA619-Z619)/Z619*100)</f>
        <v>0</v>
      </c>
      <c r="AC619" s="400"/>
      <c r="AD619" s="400"/>
      <c r="AE619" s="399">
        <f>IF(AC619=0,0,(AD619-AC619)/AC619*100)</f>
        <v>0</v>
      </c>
      <c r="AF619" s="400"/>
      <c r="AG619" s="400"/>
      <c r="AH619" s="399">
        <f>IF(AF619=0,0,(AG619-AF619)/AF619*100)</f>
        <v>0</v>
      </c>
      <c r="AI619" s="400"/>
      <c r="AJ619" s="400"/>
      <c r="AK619" s="399">
        <f>IF(AI619=0,0,(AJ619-AI619)/AI619*100)</f>
        <v>0</v>
      </c>
      <c r="AL619" s="400"/>
      <c r="AM619" s="400"/>
      <c r="AN619" s="399">
        <f>IF(AL619=0,0,(AM619-AL619)/AL619*100)</f>
        <v>0</v>
      </c>
      <c r="AO619" s="400"/>
      <c r="AP619" s="400"/>
      <c r="AQ619" s="399">
        <f>IF(AO619=0,0,(AP619-AO619)/AO619*100)</f>
        <v>0</v>
      </c>
    </row>
    <row r="620" spans="1:43" s="322" customFormat="1" ht="15" customHeight="1" outlineLevel="1">
      <c r="A620" s="322" t="str">
        <f t="shared" si="128"/>
        <v>1</v>
      </c>
      <c r="B620" s="111" t="s">
        <v>1215</v>
      </c>
      <c r="G620" s="322" t="b">
        <f>F590="двухставочный"</f>
        <v>0</v>
      </c>
      <c r="L620" s="406" t="s">
        <v>696</v>
      </c>
      <c r="M620" s="397" t="s">
        <v>329</v>
      </c>
      <c r="N620" s="571" t="e">
        <f>SUMIFS(INDEX(Калькуляция!$T$15:$AM$139,,MATCH(N$3,Калькуляция!$T$3:$AM$3,0)),Калькуляция!$A$15:$A$139,$A620,Калькуляция!$B$15:$B$139,$B620)</f>
        <v>#N/A</v>
      </c>
      <c r="O620" s="571" t="e">
        <f>SUMIFS(INDEX(Калькуляция!$T$15:$AM$139,,MATCH(O$3,Калькуляция!$T$3:$AM$3,0)),Калькуляция!$A$15:$A$139,$A620,Калькуляция!$B$15:$B$139,$B620)</f>
        <v>#N/A</v>
      </c>
      <c r="P620" s="527" t="e">
        <f>IF(N620=0,0,(O620-N620)/N620*100)</f>
        <v>#N/A</v>
      </c>
      <c r="Q620" s="571" t="e">
        <f>SUMIFS(INDEX(Калькуляция!$T$15:$AM$139,,MATCH(Q$3,Калькуляция!$T$3:$AM$3,0)),Калькуляция!$A$15:$A$139,$A620,Калькуляция!$B$15:$B$139,$B620)</f>
        <v>#N/A</v>
      </c>
      <c r="R620" s="571" t="e">
        <f>SUMIFS(INDEX(Калькуляция!$T$15:$AM$139,,MATCH(R$3,Калькуляция!$T$3:$AM$3,0)),Калькуляция!$A$15:$A$139,$A620,Калькуляция!$B$15:$B$139,$B620)</f>
        <v>#N/A</v>
      </c>
      <c r="S620" s="527" t="e">
        <f>IF(Q620=0,0,(R620-Q620)/Q620*100)</f>
        <v>#N/A</v>
      </c>
      <c r="T620" s="571" t="e">
        <f>SUMIFS(INDEX(Калькуляция!$T$15:$AM$139,,MATCH(T$3,Калькуляция!$T$3:$AM$3,0)),Калькуляция!$A$15:$A$139,$A620,Калькуляция!$B$15:$B$139,$B620)</f>
        <v>#N/A</v>
      </c>
      <c r="U620" s="571" t="e">
        <f>SUMIFS(INDEX(Калькуляция!$T$15:$AM$139,,MATCH(U$3,Калькуляция!$T$3:$AM$3,0)),Калькуляция!$A$15:$A$139,$A620,Калькуляция!$B$15:$B$139,$B620)</f>
        <v>#N/A</v>
      </c>
      <c r="V620" s="527" t="e">
        <f>IF(T620=0,0,(U620-T620)/T620*100)</f>
        <v>#N/A</v>
      </c>
      <c r="W620" s="571" t="e">
        <f>SUMIFS(INDEX(Калькуляция!$T$15:$AM$139,,MATCH(W$3,Калькуляция!$T$3:$AM$3,0)),Калькуляция!$A$15:$A$139,$A620,Калькуляция!$B$15:$B$139,$B620)</f>
        <v>#N/A</v>
      </c>
      <c r="X620" s="571" t="e">
        <f>SUMIFS(INDEX(Калькуляция!$T$15:$AM$139,,MATCH(X$3,Калькуляция!$T$3:$AM$3,0)),Калькуляция!$A$15:$A$139,$A620,Калькуляция!$B$15:$B$139,$B620)</f>
        <v>#N/A</v>
      </c>
      <c r="Y620" s="527" t="e">
        <f>IF(W620=0,0,(X620-W620)/W620*100)</f>
        <v>#N/A</v>
      </c>
      <c r="Z620" s="571" t="e">
        <f>SUMIFS(INDEX(Калькуляция!$T$15:$AM$139,,MATCH(Z$3,Калькуляция!$T$3:$AM$3,0)),Калькуляция!$A$15:$A$139,$A620,Калькуляция!$B$15:$B$139,$B620)</f>
        <v>#N/A</v>
      </c>
      <c r="AA620" s="571" t="e">
        <f>SUMIFS(INDEX(Калькуляция!$T$15:$AM$139,,MATCH(AA$3,Калькуляция!$T$3:$AM$3,0)),Калькуляция!$A$15:$A$139,$A620,Калькуляция!$B$15:$B$139,$B620)</f>
        <v>#N/A</v>
      </c>
      <c r="AB620" s="527" t="e">
        <f>IF(Z620=0,0,(AA620-Z620)/Z620*100)</f>
        <v>#N/A</v>
      </c>
      <c r="AC620" s="571" t="e">
        <f>SUMIFS(INDEX(Калькуляция!$T$15:$AM$139,,MATCH(AC$3,Калькуляция!$T$3:$AM$3,0)),Калькуляция!$A$15:$A$139,$A620,Калькуляция!$B$15:$B$139,$B620)</f>
        <v>#N/A</v>
      </c>
      <c r="AD620" s="571" t="e">
        <f>SUMIFS(INDEX(Калькуляция!$T$15:$AM$139,,MATCH(AD$3,Калькуляция!$T$3:$AM$3,0)),Калькуляция!$A$15:$A$139,$A620,Калькуляция!$B$15:$B$139,$B620)</f>
        <v>#N/A</v>
      </c>
      <c r="AE620" s="527" t="e">
        <f>IF(AC620=0,0,(AD620-AC620)/AC620*100)</f>
        <v>#N/A</v>
      </c>
      <c r="AF620" s="571" t="e">
        <f>SUMIFS(INDEX(Калькуляция!$T$15:$AM$139,,MATCH(AF$3,Калькуляция!$T$3:$AM$3,0)),Калькуляция!$A$15:$A$139,$A620,Калькуляция!$B$15:$B$139,$B620)</f>
        <v>#N/A</v>
      </c>
      <c r="AG620" s="571" t="e">
        <f>SUMIFS(INDEX(Калькуляция!$T$15:$AM$139,,MATCH(AG$3,Калькуляция!$T$3:$AM$3,0)),Калькуляция!$A$15:$A$139,$A620,Калькуляция!$B$15:$B$139,$B620)</f>
        <v>#N/A</v>
      </c>
      <c r="AH620" s="527" t="e">
        <f>IF(AF620=0,0,(AG620-AF620)/AF620*100)</f>
        <v>#N/A</v>
      </c>
      <c r="AI620" s="571" t="e">
        <f>SUMIFS(INDEX(Калькуляция!$T$15:$AM$139,,MATCH(AI$3,Калькуляция!$T$3:$AM$3,0)),Калькуляция!$A$15:$A$139,$A620,Калькуляция!$B$15:$B$139,$B620)</f>
        <v>#N/A</v>
      </c>
      <c r="AJ620" s="571" t="e">
        <f>SUMIFS(INDEX(Калькуляция!$T$15:$AM$139,,MATCH(AJ$3,Калькуляция!$T$3:$AM$3,0)),Калькуляция!$A$15:$A$139,$A620,Калькуляция!$B$15:$B$139,$B620)</f>
        <v>#N/A</v>
      </c>
      <c r="AK620" s="527" t="e">
        <f>IF(AI620=0,0,(AJ620-AI620)/AI620*100)</f>
        <v>#N/A</v>
      </c>
      <c r="AL620" s="571" t="e">
        <f>SUMIFS(INDEX(Калькуляция!$T$15:$AM$139,,MATCH(AL$3,Калькуляция!$T$3:$AM$3,0)),Калькуляция!$A$15:$A$139,$A620,Калькуляция!$B$15:$B$139,$B620)</f>
        <v>#N/A</v>
      </c>
      <c r="AM620" s="571" t="e">
        <f>SUMIFS(INDEX(Калькуляция!$T$15:$AM$139,,MATCH(AM$3,Калькуляция!$T$3:$AM$3,0)),Калькуляция!$A$15:$A$139,$A620,Калькуляция!$B$15:$B$139,$B620)</f>
        <v>#N/A</v>
      </c>
      <c r="AN620" s="527" t="e">
        <f>IF(AL620=0,0,(AM620-AL620)/AL620*100)</f>
        <v>#N/A</v>
      </c>
      <c r="AO620" s="571" t="e">
        <f>SUMIFS(INDEX(Калькуляция!$T$15:$AM$139,,MATCH(AO$3,Калькуляция!$T$3:$AM$3,0)),Калькуляция!$A$15:$A$139,$A620,Калькуляция!$B$15:$B$139,$B620)</f>
        <v>#N/A</v>
      </c>
      <c r="AP620" s="571" t="e">
        <f>SUMIFS(INDEX(Калькуляция!$T$15:$AM$139,,MATCH(AP$3,Калькуляция!$T$3:$AM$3,0)),Калькуляция!$A$15:$A$139,$A620,Калькуляция!$B$15:$B$139,$B620)</f>
        <v>#N/A</v>
      </c>
      <c r="AQ620" s="527" t="e">
        <f>IF(AO620=0,0,(AP620-AO620)/AO620*100)</f>
        <v>#N/A</v>
      </c>
    </row>
    <row r="621" spans="1:43" s="322" customFormat="1" ht="24.75" customHeight="1" outlineLevel="1">
      <c r="A621" s="322" t="str">
        <f t="shared" si="128"/>
        <v>1</v>
      </c>
      <c r="G621" s="322" t="b">
        <f>F590="двухставочный"</f>
        <v>0</v>
      </c>
      <c r="L621" s="406" t="s">
        <v>697</v>
      </c>
      <c r="M621" s="397" t="s">
        <v>698</v>
      </c>
      <c r="N621" s="400"/>
      <c r="O621" s="400"/>
      <c r="P621" s="399">
        <f>IF(N621=0,0,(O621-N621)/N621*100)</f>
        <v>0</v>
      </c>
      <c r="Q621" s="400"/>
      <c r="R621" s="400"/>
      <c r="S621" s="399">
        <f>IF(Q621=0,0,(R621-Q621)/Q621*100)</f>
        <v>0</v>
      </c>
      <c r="T621" s="400"/>
      <c r="U621" s="400"/>
      <c r="V621" s="399">
        <f>IF(T621=0,0,(U621-T621)/T621*100)</f>
        <v>0</v>
      </c>
      <c r="W621" s="400"/>
      <c r="X621" s="400"/>
      <c r="Y621" s="399">
        <f>IF(W621=0,0,(X621-W621)/W621*100)</f>
        <v>0</v>
      </c>
      <c r="Z621" s="400"/>
      <c r="AA621" s="400"/>
      <c r="AB621" s="399">
        <f>IF(Z621=0,0,(AA621-Z621)/Z621*100)</f>
        <v>0</v>
      </c>
      <c r="AC621" s="400"/>
      <c r="AD621" s="400"/>
      <c r="AE621" s="399">
        <f>IF(AC621=0,0,(AD621-AC621)/AC621*100)</f>
        <v>0</v>
      </c>
      <c r="AF621" s="400"/>
      <c r="AG621" s="400"/>
      <c r="AH621" s="399">
        <f>IF(AF621=0,0,(AG621-AF621)/AF621*100)</f>
        <v>0</v>
      </c>
      <c r="AI621" s="400"/>
      <c r="AJ621" s="400"/>
      <c r="AK621" s="399">
        <f>IF(AI621=0,0,(AJ621-AI621)/AI621*100)</f>
        <v>0</v>
      </c>
      <c r="AL621" s="400"/>
      <c r="AM621" s="400"/>
      <c r="AN621" s="399">
        <f>IF(AL621=0,0,(AM621-AL621)/AL621*100)</f>
        <v>0</v>
      </c>
      <c r="AO621" s="400"/>
      <c r="AP621" s="400"/>
      <c r="AQ621" s="399">
        <f>IF(AO621=0,0,(AP621-AO621)/AO621*100)</f>
        <v>0</v>
      </c>
    </row>
    <row r="622" spans="1:43" s="322" customFormat="1" ht="15" customHeight="1" outlineLevel="1">
      <c r="A622" s="322" t="str">
        <f t="shared" si="128"/>
        <v>1</v>
      </c>
      <c r="G622" s="322" t="b">
        <f>F590="двухставочный"</f>
        <v>0</v>
      </c>
      <c r="L622" s="406" t="s">
        <v>699</v>
      </c>
      <c r="M622" s="397" t="s">
        <v>700</v>
      </c>
      <c r="N622" s="400"/>
      <c r="O622" s="400"/>
      <c r="P622" s="399">
        <f>IF(N622=0,0,(O622-N622)/N622*100)</f>
        <v>0</v>
      </c>
      <c r="Q622" s="400"/>
      <c r="R622" s="400"/>
      <c r="S622" s="399">
        <f>IF(Q622=0,0,(R622-Q622)/Q622*100)</f>
        <v>0</v>
      </c>
      <c r="T622" s="400"/>
      <c r="U622" s="400"/>
      <c r="V622" s="399">
        <f>IF(T622=0,0,(U622-T622)/T622*100)</f>
        <v>0</v>
      </c>
      <c r="W622" s="400"/>
      <c r="X622" s="400"/>
      <c r="Y622" s="399">
        <f>IF(W622=0,0,(X622-W622)/W622*100)</f>
        <v>0</v>
      </c>
      <c r="Z622" s="400"/>
      <c r="AA622" s="400"/>
      <c r="AB622" s="399">
        <f>IF(Z622=0,0,(AA622-Z622)/Z622*100)</f>
        <v>0</v>
      </c>
      <c r="AC622" s="400"/>
      <c r="AD622" s="400"/>
      <c r="AE622" s="399">
        <f>IF(AC622=0,0,(AD622-AC622)/AC622*100)</f>
        <v>0</v>
      </c>
      <c r="AF622" s="400"/>
      <c r="AG622" s="400"/>
      <c r="AH622" s="399">
        <f>IF(AF622=0,0,(AG622-AF622)/AF622*100)</f>
        <v>0</v>
      </c>
      <c r="AI622" s="400"/>
      <c r="AJ622" s="400"/>
      <c r="AK622" s="399">
        <f>IF(AI622=0,0,(AJ622-AI622)/AI622*100)</f>
        <v>0</v>
      </c>
      <c r="AL622" s="400"/>
      <c r="AM622" s="400"/>
      <c r="AN622" s="399">
        <f>IF(AL622=0,0,(AM622-AL622)/AL622*100)</f>
        <v>0</v>
      </c>
      <c r="AO622" s="400"/>
      <c r="AP622" s="400"/>
      <c r="AQ622" s="399">
        <f>IF(AO622=0,0,(AP622-AO622)/AO622*100)</f>
        <v>0</v>
      </c>
    </row>
    <row r="623" spans="1:43" s="322" customFormat="1" ht="15" customHeight="1" outlineLevel="1">
      <c r="A623" s="322" t="str">
        <f t="shared" si="128"/>
        <v>1</v>
      </c>
      <c r="G623" s="322" t="b">
        <f>F590="двухставочный"</f>
        <v>0</v>
      </c>
      <c r="L623" s="392" t="s">
        <v>1221</v>
      </c>
      <c r="M623" s="403"/>
      <c r="N623" s="404"/>
      <c r="O623" s="404"/>
      <c r="P623" s="404"/>
      <c r="Q623" s="404"/>
      <c r="R623" s="404"/>
      <c r="S623" s="404"/>
      <c r="T623" s="404"/>
      <c r="U623" s="404"/>
      <c r="V623" s="404"/>
      <c r="W623" s="404"/>
      <c r="X623" s="404"/>
      <c r="Y623" s="404"/>
      <c r="Z623" s="404"/>
      <c r="AA623" s="404"/>
      <c r="AB623" s="404"/>
      <c r="AC623" s="404"/>
      <c r="AD623" s="404"/>
      <c r="AE623" s="404"/>
      <c r="AF623" s="404"/>
      <c r="AG623" s="404"/>
      <c r="AH623" s="404"/>
      <c r="AI623" s="404"/>
      <c r="AJ623" s="404"/>
      <c r="AK623" s="404"/>
      <c r="AL623" s="404"/>
      <c r="AM623" s="404"/>
      <c r="AN623" s="404"/>
      <c r="AO623" s="404"/>
      <c r="AP623" s="404"/>
      <c r="AQ623" s="405"/>
    </row>
    <row r="624" spans="1:43" s="322" customFormat="1" ht="15" customHeight="1" outlineLevel="1">
      <c r="A624" s="322" t="str">
        <f t="shared" si="128"/>
        <v>1</v>
      </c>
      <c r="G624" s="322" t="b">
        <f>F590="двухставочный"</f>
        <v>0</v>
      </c>
      <c r="L624" s="406" t="s">
        <v>694</v>
      </c>
      <c r="M624" s="397" t="s">
        <v>679</v>
      </c>
      <c r="N624" s="400" t="e">
        <f>IF(N626=0,0,(N625*N626+N627*N628*6)/N626)</f>
        <v>#N/A</v>
      </c>
      <c r="O624" s="400" t="e">
        <f>IF(O626=0,0,(O625*O626+O627*O628*6)/O626)</f>
        <v>#N/A</v>
      </c>
      <c r="P624" s="399" t="e">
        <f>IF(N624=0,0,(O624-N624)/N624*100)</f>
        <v>#N/A</v>
      </c>
      <c r="Q624" s="400" t="e">
        <f>IF(Q626=0,0,(Q625*Q626+Q627*Q628*6)/Q626)</f>
        <v>#N/A</v>
      </c>
      <c r="R624" s="400" t="e">
        <f>IF(R626=0,0,(R625*R626+R627*R628*6)/R626)</f>
        <v>#N/A</v>
      </c>
      <c r="S624" s="399" t="e">
        <f>IF(Q624=0,0,(R624-Q624)/Q624*100)</f>
        <v>#N/A</v>
      </c>
      <c r="T624" s="400" t="e">
        <f>IF(T626=0,0,(T625*T626+T627*T628*6)/T626)</f>
        <v>#N/A</v>
      </c>
      <c r="U624" s="400" t="e">
        <f>IF(U626=0,0,(U625*U626+U627*U628*6)/U626)</f>
        <v>#N/A</v>
      </c>
      <c r="V624" s="399" t="e">
        <f>IF(T624=0,0,(U624-T624)/T624*100)</f>
        <v>#N/A</v>
      </c>
      <c r="W624" s="400" t="e">
        <f>IF(W626=0,0,(W625*W626+W627*W628*6)/W626)</f>
        <v>#N/A</v>
      </c>
      <c r="X624" s="400" t="e">
        <f>IF(X626=0,0,(X625*X626+X627*X628*6)/X626)</f>
        <v>#N/A</v>
      </c>
      <c r="Y624" s="399" t="e">
        <f>IF(W624=0,0,(X624-W624)/W624*100)</f>
        <v>#N/A</v>
      </c>
      <c r="Z624" s="400" t="e">
        <f>IF(Z626=0,0,(Z625*Z626+Z627*Z628*6)/Z626)</f>
        <v>#N/A</v>
      </c>
      <c r="AA624" s="400" t="e">
        <f>IF(AA626=0,0,(AA625*AA626+AA627*AA628*6)/AA626)</f>
        <v>#N/A</v>
      </c>
      <c r="AB624" s="399" t="e">
        <f>IF(Z624=0,0,(AA624-Z624)/Z624*100)</f>
        <v>#N/A</v>
      </c>
      <c r="AC624" s="400" t="e">
        <f>IF(AC626=0,0,(AC625*AC626+AC627*AC628*6)/AC626)</f>
        <v>#N/A</v>
      </c>
      <c r="AD624" s="400" t="e">
        <f>IF(AD626=0,0,(AD625*AD626+AD627*AD628*6)/AD626)</f>
        <v>#N/A</v>
      </c>
      <c r="AE624" s="399" t="e">
        <f>IF(AC624=0,0,(AD624-AC624)/AC624*100)</f>
        <v>#N/A</v>
      </c>
      <c r="AF624" s="400" t="e">
        <f>IF(AF626=0,0,(AF625*AF626+AF627*AF628*6)/AF626)</f>
        <v>#N/A</v>
      </c>
      <c r="AG624" s="400" t="e">
        <f>IF(AG626=0,0,(AG625*AG626+AG627*AG628*6)/AG626)</f>
        <v>#N/A</v>
      </c>
      <c r="AH624" s="399" t="e">
        <f>IF(AF624=0,0,(AG624-AF624)/AF624*100)</f>
        <v>#N/A</v>
      </c>
      <c r="AI624" s="400" t="e">
        <f>IF(AI626=0,0,(AI625*AI626+AI627*AI628*6)/AI626)</f>
        <v>#N/A</v>
      </c>
      <c r="AJ624" s="400" t="e">
        <f>IF(AJ626=0,0,(AJ625*AJ626+AJ627*AJ628*6)/AJ626)</f>
        <v>#N/A</v>
      </c>
      <c r="AK624" s="399" t="e">
        <f>IF(AI624=0,0,(AJ624-AI624)/AI624*100)</f>
        <v>#N/A</v>
      </c>
      <c r="AL624" s="400" t="e">
        <f>IF(AL626=0,0,(AL625*AL626+AL627*AL628*6)/AL626)</f>
        <v>#N/A</v>
      </c>
      <c r="AM624" s="400" t="e">
        <f>IF(AM626=0,0,(AM625*AM626+AM627*AM628*6)/AM626)</f>
        <v>#N/A</v>
      </c>
      <c r="AN624" s="399" t="e">
        <f>IF(AL624=0,0,(AM624-AL624)/AL624*100)</f>
        <v>#N/A</v>
      </c>
      <c r="AO624" s="400" t="e">
        <f>IF(AO626=0,0,(AO625*AO626+AO627*AO628*6)/AO626)</f>
        <v>#N/A</v>
      </c>
      <c r="AP624" s="400" t="e">
        <f>IF(AP626=0,0,(AP625*AP626+AP627*AP628*6)/AP626)</f>
        <v>#N/A</v>
      </c>
      <c r="AQ624" s="399" t="e">
        <f>IF(AO624=0,0,(AP624-AO624)/AO624*100)</f>
        <v>#N/A</v>
      </c>
    </row>
    <row r="625" spans="1:43" s="322" customFormat="1" ht="15" customHeight="1" outlineLevel="1">
      <c r="A625" s="322" t="str">
        <f t="shared" si="128"/>
        <v>1</v>
      </c>
      <c r="G625" s="322" t="b">
        <f>F590="двухставочный"</f>
        <v>0</v>
      </c>
      <c r="L625" s="406" t="s">
        <v>695</v>
      </c>
      <c r="M625" s="397" t="s">
        <v>679</v>
      </c>
      <c r="N625" s="400"/>
      <c r="O625" s="400"/>
      <c r="P625" s="399">
        <f>IF(N625=0,0,(O625-N625)/N625*100)</f>
        <v>0</v>
      </c>
      <c r="Q625" s="400"/>
      <c r="R625" s="400"/>
      <c r="S625" s="399">
        <f>IF(Q625=0,0,(R625-Q625)/Q625*100)</f>
        <v>0</v>
      </c>
      <c r="T625" s="400"/>
      <c r="U625" s="400"/>
      <c r="V625" s="399">
        <f>IF(T625=0,0,(U625-T625)/T625*100)</f>
        <v>0</v>
      </c>
      <c r="W625" s="400"/>
      <c r="X625" s="400"/>
      <c r="Y625" s="399">
        <f>IF(W625=0,0,(X625-W625)/W625*100)</f>
        <v>0</v>
      </c>
      <c r="Z625" s="400"/>
      <c r="AA625" s="400"/>
      <c r="AB625" s="399">
        <f>IF(Z625=0,0,(AA625-Z625)/Z625*100)</f>
        <v>0</v>
      </c>
      <c r="AC625" s="400"/>
      <c r="AD625" s="400"/>
      <c r="AE625" s="399">
        <f>IF(AC625=0,0,(AD625-AC625)/AC625*100)</f>
        <v>0</v>
      </c>
      <c r="AF625" s="400"/>
      <c r="AG625" s="400"/>
      <c r="AH625" s="399">
        <f>IF(AF625=0,0,(AG625-AF625)/AF625*100)</f>
        <v>0</v>
      </c>
      <c r="AI625" s="400"/>
      <c r="AJ625" s="400"/>
      <c r="AK625" s="399">
        <f>IF(AI625=0,0,(AJ625-AI625)/AI625*100)</f>
        <v>0</v>
      </c>
      <c r="AL625" s="400"/>
      <c r="AM625" s="400"/>
      <c r="AN625" s="399">
        <f>IF(AL625=0,0,(AM625-AL625)/AL625*100)</f>
        <v>0</v>
      </c>
      <c r="AO625" s="400"/>
      <c r="AP625" s="400"/>
      <c r="AQ625" s="399">
        <f>IF(AO625=0,0,(AP625-AO625)/AO625*100)</f>
        <v>0</v>
      </c>
    </row>
    <row r="626" spans="1:43" s="322" customFormat="1" ht="15" customHeight="1" outlineLevel="1">
      <c r="A626" s="322" t="str">
        <f t="shared" si="128"/>
        <v>1</v>
      </c>
      <c r="B626" s="111" t="s">
        <v>1216</v>
      </c>
      <c r="G626" s="322" t="b">
        <f>F590="двухставочный"</f>
        <v>0</v>
      </c>
      <c r="L626" s="406" t="s">
        <v>696</v>
      </c>
      <c r="M626" s="397" t="s">
        <v>329</v>
      </c>
      <c r="N626" s="571" t="e">
        <f>SUMIFS(INDEX(Калькуляция!$T$15:$AM$139,,MATCH(N$3,Калькуляция!$T$3:$AM$3,0)),Калькуляция!$A$15:$A$139,$A626,Калькуляция!$B$15:$B$139,$B626)</f>
        <v>#N/A</v>
      </c>
      <c r="O626" s="571" t="e">
        <f>SUMIFS(INDEX(Калькуляция!$T$15:$AM$139,,MATCH(O$3,Калькуляция!$T$3:$AM$3,0)),Калькуляция!$A$15:$A$139,$A626,Калькуляция!$B$15:$B$139,$B626)</f>
        <v>#N/A</v>
      </c>
      <c r="P626" s="527" t="e">
        <f>IF(N626=0,0,(O626-N626)/N626*100)</f>
        <v>#N/A</v>
      </c>
      <c r="Q626" s="571" t="e">
        <f>SUMIFS(INDEX(Калькуляция!$T$15:$AM$139,,MATCH(Q$3,Калькуляция!$T$3:$AM$3,0)),Калькуляция!$A$15:$A$139,$A626,Калькуляция!$B$15:$B$139,$B626)</f>
        <v>#N/A</v>
      </c>
      <c r="R626" s="571" t="e">
        <f>SUMIFS(INDEX(Калькуляция!$T$15:$AM$139,,MATCH(R$3,Калькуляция!$T$3:$AM$3,0)),Калькуляция!$A$15:$A$139,$A626,Калькуляция!$B$15:$B$139,$B626)</f>
        <v>#N/A</v>
      </c>
      <c r="S626" s="527" t="e">
        <f>IF(Q626=0,0,(R626-Q626)/Q626*100)</f>
        <v>#N/A</v>
      </c>
      <c r="T626" s="571" t="e">
        <f>SUMIFS(INDEX(Калькуляция!$T$15:$AM$139,,MATCH(T$3,Калькуляция!$T$3:$AM$3,0)),Калькуляция!$A$15:$A$139,$A626,Калькуляция!$B$15:$B$139,$B626)</f>
        <v>#N/A</v>
      </c>
      <c r="U626" s="571" t="e">
        <f>SUMIFS(INDEX(Калькуляция!$T$15:$AM$139,,MATCH(U$3,Калькуляция!$T$3:$AM$3,0)),Калькуляция!$A$15:$A$139,$A626,Калькуляция!$B$15:$B$139,$B626)</f>
        <v>#N/A</v>
      </c>
      <c r="V626" s="527" t="e">
        <f>IF(T626=0,0,(U626-T626)/T626*100)</f>
        <v>#N/A</v>
      </c>
      <c r="W626" s="571" t="e">
        <f>SUMIFS(INDEX(Калькуляция!$T$15:$AM$139,,MATCH(W$3,Калькуляция!$T$3:$AM$3,0)),Калькуляция!$A$15:$A$139,$A626,Калькуляция!$B$15:$B$139,$B626)</f>
        <v>#N/A</v>
      </c>
      <c r="X626" s="571" t="e">
        <f>SUMIFS(INDEX(Калькуляция!$T$15:$AM$139,,MATCH(X$3,Калькуляция!$T$3:$AM$3,0)),Калькуляция!$A$15:$A$139,$A626,Калькуляция!$B$15:$B$139,$B626)</f>
        <v>#N/A</v>
      </c>
      <c r="Y626" s="527" t="e">
        <f>IF(W626=0,0,(X626-W626)/W626*100)</f>
        <v>#N/A</v>
      </c>
      <c r="Z626" s="571" t="e">
        <f>SUMIFS(INDEX(Калькуляция!$T$15:$AM$139,,MATCH(Z$3,Калькуляция!$T$3:$AM$3,0)),Калькуляция!$A$15:$A$139,$A626,Калькуляция!$B$15:$B$139,$B626)</f>
        <v>#N/A</v>
      </c>
      <c r="AA626" s="571" t="e">
        <f>SUMIFS(INDEX(Калькуляция!$T$15:$AM$139,,MATCH(AA$3,Калькуляция!$T$3:$AM$3,0)),Калькуляция!$A$15:$A$139,$A626,Калькуляция!$B$15:$B$139,$B626)</f>
        <v>#N/A</v>
      </c>
      <c r="AB626" s="527" t="e">
        <f>IF(Z626=0,0,(AA626-Z626)/Z626*100)</f>
        <v>#N/A</v>
      </c>
      <c r="AC626" s="571" t="e">
        <f>SUMIFS(INDEX(Калькуляция!$T$15:$AM$139,,MATCH(AC$3,Калькуляция!$T$3:$AM$3,0)),Калькуляция!$A$15:$A$139,$A626,Калькуляция!$B$15:$B$139,$B626)</f>
        <v>#N/A</v>
      </c>
      <c r="AD626" s="571" t="e">
        <f>SUMIFS(INDEX(Калькуляция!$T$15:$AM$139,,MATCH(AD$3,Калькуляция!$T$3:$AM$3,0)),Калькуляция!$A$15:$A$139,$A626,Калькуляция!$B$15:$B$139,$B626)</f>
        <v>#N/A</v>
      </c>
      <c r="AE626" s="527" t="e">
        <f>IF(AC626=0,0,(AD626-AC626)/AC626*100)</f>
        <v>#N/A</v>
      </c>
      <c r="AF626" s="571" t="e">
        <f>SUMIFS(INDEX(Калькуляция!$T$15:$AM$139,,MATCH(AF$3,Калькуляция!$T$3:$AM$3,0)),Калькуляция!$A$15:$A$139,$A626,Калькуляция!$B$15:$B$139,$B626)</f>
        <v>#N/A</v>
      </c>
      <c r="AG626" s="571" t="e">
        <f>SUMIFS(INDEX(Калькуляция!$T$15:$AM$139,,MATCH(AG$3,Калькуляция!$T$3:$AM$3,0)),Калькуляция!$A$15:$A$139,$A626,Калькуляция!$B$15:$B$139,$B626)</f>
        <v>#N/A</v>
      </c>
      <c r="AH626" s="527" t="e">
        <f>IF(AF626=0,0,(AG626-AF626)/AF626*100)</f>
        <v>#N/A</v>
      </c>
      <c r="AI626" s="571" t="e">
        <f>SUMIFS(INDEX(Калькуляция!$T$15:$AM$139,,MATCH(AI$3,Калькуляция!$T$3:$AM$3,0)),Калькуляция!$A$15:$A$139,$A626,Калькуляция!$B$15:$B$139,$B626)</f>
        <v>#N/A</v>
      </c>
      <c r="AJ626" s="571" t="e">
        <f>SUMIFS(INDEX(Калькуляция!$T$15:$AM$139,,MATCH(AJ$3,Калькуляция!$T$3:$AM$3,0)),Калькуляция!$A$15:$A$139,$A626,Калькуляция!$B$15:$B$139,$B626)</f>
        <v>#N/A</v>
      </c>
      <c r="AK626" s="527" t="e">
        <f>IF(AI626=0,0,(AJ626-AI626)/AI626*100)</f>
        <v>#N/A</v>
      </c>
      <c r="AL626" s="571" t="e">
        <f>SUMIFS(INDEX(Калькуляция!$T$15:$AM$139,,MATCH(AL$3,Калькуляция!$T$3:$AM$3,0)),Калькуляция!$A$15:$A$139,$A626,Калькуляция!$B$15:$B$139,$B626)</f>
        <v>#N/A</v>
      </c>
      <c r="AM626" s="571" t="e">
        <f>SUMIFS(INDEX(Калькуляция!$T$15:$AM$139,,MATCH(AM$3,Калькуляция!$T$3:$AM$3,0)),Калькуляция!$A$15:$A$139,$A626,Калькуляция!$B$15:$B$139,$B626)</f>
        <v>#N/A</v>
      </c>
      <c r="AN626" s="527" t="e">
        <f>IF(AL626=0,0,(AM626-AL626)/AL626*100)</f>
        <v>#N/A</v>
      </c>
      <c r="AO626" s="571" t="e">
        <f>SUMIFS(INDEX(Калькуляция!$T$15:$AM$139,,MATCH(AO$3,Калькуляция!$T$3:$AM$3,0)),Калькуляция!$A$15:$A$139,$A626,Калькуляция!$B$15:$B$139,$B626)</f>
        <v>#N/A</v>
      </c>
      <c r="AP626" s="571" t="e">
        <f>SUMIFS(INDEX(Калькуляция!$T$15:$AM$139,,MATCH(AP$3,Калькуляция!$T$3:$AM$3,0)),Калькуляция!$A$15:$A$139,$A626,Калькуляция!$B$15:$B$139,$B626)</f>
        <v>#N/A</v>
      </c>
      <c r="AQ626" s="527" t="e">
        <f>IF(AO626=0,0,(AP626-AO626)/AO626*100)</f>
        <v>#N/A</v>
      </c>
    </row>
    <row r="627" spans="1:43" s="322" customFormat="1" ht="24.75" customHeight="1" outlineLevel="1">
      <c r="A627" s="322" t="str">
        <f t="shared" si="128"/>
        <v>1</v>
      </c>
      <c r="G627" s="322" t="b">
        <f>F590="двухставочный"</f>
        <v>0</v>
      </c>
      <c r="L627" s="406" t="s">
        <v>697</v>
      </c>
      <c r="M627" s="397" t="s">
        <v>698</v>
      </c>
      <c r="N627" s="400"/>
      <c r="O627" s="400"/>
      <c r="P627" s="399">
        <f>IF(N627=0,0,(O627-N627)/N627*100)</f>
        <v>0</v>
      </c>
      <c r="Q627" s="400"/>
      <c r="R627" s="400"/>
      <c r="S627" s="399">
        <f>IF(Q627=0,0,(R627-Q627)/Q627*100)</f>
        <v>0</v>
      </c>
      <c r="T627" s="400"/>
      <c r="U627" s="400"/>
      <c r="V627" s="399">
        <f>IF(T627=0,0,(U627-T627)/T627*100)</f>
        <v>0</v>
      </c>
      <c r="W627" s="400"/>
      <c r="X627" s="400"/>
      <c r="Y627" s="399">
        <f>IF(W627=0,0,(X627-W627)/W627*100)</f>
        <v>0</v>
      </c>
      <c r="Z627" s="400"/>
      <c r="AA627" s="400"/>
      <c r="AB627" s="399">
        <f>IF(Z627=0,0,(AA627-Z627)/Z627*100)</f>
        <v>0</v>
      </c>
      <c r="AC627" s="400"/>
      <c r="AD627" s="400"/>
      <c r="AE627" s="399">
        <f>IF(AC627=0,0,(AD627-AC627)/AC627*100)</f>
        <v>0</v>
      </c>
      <c r="AF627" s="400"/>
      <c r="AG627" s="400"/>
      <c r="AH627" s="399">
        <f>IF(AF627=0,0,(AG627-AF627)/AF627*100)</f>
        <v>0</v>
      </c>
      <c r="AI627" s="400"/>
      <c r="AJ627" s="400"/>
      <c r="AK627" s="399">
        <f>IF(AI627=0,0,(AJ627-AI627)/AI627*100)</f>
        <v>0</v>
      </c>
      <c r="AL627" s="400"/>
      <c r="AM627" s="400"/>
      <c r="AN627" s="399">
        <f>IF(AL627=0,0,(AM627-AL627)/AL627*100)</f>
        <v>0</v>
      </c>
      <c r="AO627" s="400"/>
      <c r="AP627" s="400"/>
      <c r="AQ627" s="399">
        <f>IF(AO627=0,0,(AP627-AO627)/AO627*100)</f>
        <v>0</v>
      </c>
    </row>
    <row r="628" spans="1:43" s="322" customFormat="1" ht="15" customHeight="1" outlineLevel="1">
      <c r="A628" s="322" t="str">
        <f t="shared" si="128"/>
        <v>1</v>
      </c>
      <c r="G628" s="322" t="b">
        <f>F590="двухставочный"</f>
        <v>0</v>
      </c>
      <c r="L628" s="406" t="s">
        <v>699</v>
      </c>
      <c r="M628" s="397" t="s">
        <v>700</v>
      </c>
      <c r="N628" s="400"/>
      <c r="O628" s="400"/>
      <c r="P628" s="399">
        <f>IF(N628=0,0,(O628-N628)/N628*100)</f>
        <v>0</v>
      </c>
      <c r="Q628" s="400"/>
      <c r="R628" s="400"/>
      <c r="S628" s="399">
        <f>IF(Q628=0,0,(R628-Q628)/Q628*100)</f>
        <v>0</v>
      </c>
      <c r="T628" s="400"/>
      <c r="U628" s="400"/>
      <c r="V628" s="399">
        <f>IF(T628=0,0,(U628-T628)/T628*100)</f>
        <v>0</v>
      </c>
      <c r="W628" s="400"/>
      <c r="X628" s="400"/>
      <c r="Y628" s="399">
        <f>IF(W628=0,0,(X628-W628)/W628*100)</f>
        <v>0</v>
      </c>
      <c r="Z628" s="400"/>
      <c r="AA628" s="400"/>
      <c r="AB628" s="399">
        <f>IF(Z628=0,0,(AA628-Z628)/Z628*100)</f>
        <v>0</v>
      </c>
      <c r="AC628" s="400"/>
      <c r="AD628" s="400"/>
      <c r="AE628" s="399">
        <f>IF(AC628=0,0,(AD628-AC628)/AC628*100)</f>
        <v>0</v>
      </c>
      <c r="AF628" s="400"/>
      <c r="AG628" s="400"/>
      <c r="AH628" s="399">
        <f>IF(AF628=0,0,(AG628-AF628)/AF628*100)</f>
        <v>0</v>
      </c>
      <c r="AI628" s="400"/>
      <c r="AJ628" s="400"/>
      <c r="AK628" s="399">
        <f>IF(AI628=0,0,(AJ628-AI628)/AI628*100)</f>
        <v>0</v>
      </c>
      <c r="AL628" s="400"/>
      <c r="AM628" s="400"/>
      <c r="AN628" s="399">
        <f>IF(AL628=0,0,(AM628-AL628)/AL628*100)</f>
        <v>0</v>
      </c>
      <c r="AO628" s="400"/>
      <c r="AP628" s="400"/>
      <c r="AQ628" s="399">
        <f>IF(AO628=0,0,(AP628-AO628)/AO628*100)</f>
        <v>0</v>
      </c>
    </row>
    <row r="629" spans="1:43" s="322" customFormat="1" ht="15" customHeight="1" outlineLevel="1">
      <c r="A629" s="322" t="str">
        <f t="shared" si="128"/>
        <v>1</v>
      </c>
      <c r="G629" s="322" t="b">
        <f>F590="двухставочный"</f>
        <v>0</v>
      </c>
      <c r="J629" s="322" t="s">
        <v>1375</v>
      </c>
      <c r="L629" s="572" t="s">
        <v>371</v>
      </c>
      <c r="M629" s="573"/>
      <c r="N629" s="574"/>
      <c r="O629" s="574"/>
      <c r="P629" s="574"/>
      <c r="Q629" s="574"/>
      <c r="R629" s="574"/>
      <c r="S629" s="574"/>
      <c r="T629" s="574"/>
      <c r="U629" s="574"/>
      <c r="V629" s="574"/>
      <c r="W629" s="574"/>
      <c r="X629" s="574"/>
      <c r="Y629" s="574"/>
      <c r="Z629" s="574"/>
      <c r="AA629" s="574"/>
      <c r="AB629" s="574"/>
      <c r="AC629" s="574"/>
      <c r="AD629" s="574"/>
      <c r="AE629" s="574"/>
      <c r="AF629" s="574"/>
      <c r="AG629" s="574"/>
      <c r="AH629" s="574"/>
      <c r="AI629" s="574"/>
      <c r="AJ629" s="574"/>
      <c r="AK629" s="574"/>
      <c r="AL629" s="574"/>
      <c r="AM629" s="574"/>
      <c r="AN629" s="574"/>
      <c r="AO629" s="574"/>
      <c r="AP629" s="574"/>
      <c r="AQ629" s="361"/>
    </row>
    <row r="630" spans="1:43" s="188" customFormat="1">
      <c r="A630" s="187" t="s">
        <v>1104</v>
      </c>
      <c r="M630" s="3"/>
      <c r="N630" s="3"/>
      <c r="O630" s="3"/>
      <c r="P630" s="3"/>
      <c r="AA630" s="5"/>
    </row>
    <row r="631" spans="1:43" s="322" customFormat="1" ht="15" customHeight="1">
      <c r="A631" s="183" t="s">
        <v>18</v>
      </c>
      <c r="L631" s="645" t="s">
        <v>16</v>
      </c>
      <c r="M631" s="646"/>
      <c r="N631" s="382" t="str">
        <f>"Тариф " &amp; A631</f>
        <v>Тариф 1</v>
      </c>
      <c r="O631" s="383"/>
      <c r="P631" s="383"/>
      <c r="Q631" s="383"/>
      <c r="R631" s="383"/>
      <c r="S631" s="383"/>
      <c r="T631" s="383"/>
      <c r="U631" s="383"/>
      <c r="V631" s="383"/>
      <c r="W631" s="383"/>
      <c r="X631" s="383"/>
      <c r="Y631" s="383"/>
      <c r="Z631" s="383"/>
      <c r="AA631" s="383"/>
      <c r="AB631" s="383"/>
      <c r="AC631" s="383"/>
      <c r="AD631" s="383"/>
      <c r="AE631" s="383"/>
      <c r="AF631" s="383"/>
      <c r="AG631" s="383"/>
      <c r="AH631" s="383"/>
      <c r="AI631" s="383"/>
      <c r="AJ631" s="383"/>
      <c r="AK631" s="383"/>
      <c r="AL631" s="383"/>
      <c r="AM631" s="383"/>
      <c r="AN631" s="383"/>
      <c r="AO631" s="383"/>
      <c r="AP631" s="383"/>
      <c r="AQ631" s="384"/>
    </row>
    <row r="632" spans="1:43" s="322" customFormat="1" ht="15" customHeight="1" outlineLevel="1">
      <c r="A632" s="322" t="str">
        <f t="shared" ref="A632:A638" si="129">A631</f>
        <v>1</v>
      </c>
      <c r="L632" s="639" t="s">
        <v>686</v>
      </c>
      <c r="M632" s="640"/>
      <c r="N632" s="382" t="str">
        <f>INDEX('Общие сведения'!$K$113:$K$146,MATCH($A632,'Общие сведения'!$D$113:$D$146,0))</f>
        <v>техническая вода</v>
      </c>
      <c r="O632" s="385"/>
      <c r="P632" s="385"/>
      <c r="Q632" s="385"/>
      <c r="R632" s="385"/>
      <c r="S632" s="385"/>
      <c r="T632" s="385"/>
      <c r="U632" s="385"/>
      <c r="V632" s="385"/>
      <c r="W632" s="385"/>
      <c r="X632" s="385"/>
      <c r="Y632" s="385"/>
      <c r="Z632" s="385"/>
      <c r="AA632" s="385"/>
      <c r="AB632" s="385"/>
      <c r="AC632" s="385"/>
      <c r="AD632" s="385"/>
      <c r="AE632" s="385"/>
      <c r="AF632" s="385"/>
      <c r="AG632" s="385"/>
      <c r="AH632" s="385"/>
      <c r="AI632" s="385"/>
      <c r="AJ632" s="385"/>
      <c r="AK632" s="385"/>
      <c r="AL632" s="385"/>
      <c r="AM632" s="385"/>
      <c r="AN632" s="385"/>
      <c r="AO632" s="385"/>
      <c r="AP632" s="385"/>
      <c r="AQ632" s="386"/>
    </row>
    <row r="633" spans="1:43" s="322" customFormat="1" ht="15" customHeight="1" outlineLevel="1">
      <c r="A633" s="322" t="str">
        <f t="shared" si="129"/>
        <v>1</v>
      </c>
      <c r="L633" s="639" t="s">
        <v>687</v>
      </c>
      <c r="M633" s="640"/>
      <c r="N633" s="382" t="str">
        <f>INDEX('Общие сведения'!$L$113:$L$146,MATCH($A633,'Общие сведения'!$D$113:$D$146,0))</f>
        <v>тариф на техническую воду</v>
      </c>
      <c r="O633" s="385"/>
      <c r="P633" s="385"/>
      <c r="Q633" s="385"/>
      <c r="R633" s="385"/>
      <c r="S633" s="385"/>
      <c r="T633" s="385"/>
      <c r="U633" s="385"/>
      <c r="V633" s="385"/>
      <c r="W633" s="385"/>
      <c r="X633" s="385"/>
      <c r="Y633" s="385"/>
      <c r="Z633" s="385"/>
      <c r="AA633" s="385"/>
      <c r="AB633" s="385"/>
      <c r="AC633" s="385"/>
      <c r="AD633" s="385"/>
      <c r="AE633" s="385"/>
      <c r="AF633" s="385"/>
      <c r="AG633" s="385"/>
      <c r="AH633" s="385"/>
      <c r="AI633" s="385"/>
      <c r="AJ633" s="385"/>
      <c r="AK633" s="385"/>
      <c r="AL633" s="385"/>
      <c r="AM633" s="385"/>
      <c r="AN633" s="385"/>
      <c r="AO633" s="385"/>
      <c r="AP633" s="385"/>
      <c r="AQ633" s="386"/>
    </row>
    <row r="634" spans="1:43" s="322" customFormat="1" ht="15" customHeight="1" outlineLevel="1">
      <c r="A634" s="322" t="str">
        <f t="shared" si="129"/>
        <v>1</v>
      </c>
      <c r="L634" s="641" t="s">
        <v>282</v>
      </c>
      <c r="M634" s="642"/>
      <c r="N634" s="382" t="str">
        <f>INDEX('Общие сведения'!$M$113:$M$146,MATCH($A634,'Общие сведения'!$D$113:$D$146,0))</f>
        <v>нет</v>
      </c>
      <c r="O634" s="385"/>
      <c r="P634" s="385"/>
      <c r="Q634" s="385"/>
      <c r="R634" s="385"/>
      <c r="S634" s="385"/>
      <c r="T634" s="385"/>
      <c r="U634" s="385"/>
      <c r="V634" s="385"/>
      <c r="W634" s="385"/>
      <c r="X634" s="385"/>
      <c r="Y634" s="385"/>
      <c r="Z634" s="385"/>
      <c r="AA634" s="385"/>
      <c r="AB634" s="385"/>
      <c r="AC634" s="385"/>
      <c r="AD634" s="385"/>
      <c r="AE634" s="385"/>
      <c r="AF634" s="385"/>
      <c r="AG634" s="385"/>
      <c r="AH634" s="385"/>
      <c r="AI634" s="385"/>
      <c r="AJ634" s="385"/>
      <c r="AK634" s="385"/>
      <c r="AL634" s="385"/>
      <c r="AM634" s="385"/>
      <c r="AN634" s="385"/>
      <c r="AO634" s="385"/>
      <c r="AP634" s="385"/>
      <c r="AQ634" s="386"/>
    </row>
    <row r="635" spans="1:43" s="391" customFormat="1" ht="15" customHeight="1" outlineLevel="1">
      <c r="A635" s="322" t="str">
        <f t="shared" si="129"/>
        <v>1</v>
      </c>
      <c r="L635" s="446" t="s">
        <v>702</v>
      </c>
      <c r="M635" s="447" t="s">
        <v>679</v>
      </c>
      <c r="N635" s="448"/>
      <c r="O635" s="448"/>
      <c r="P635" s="395">
        <f>IF(N635=0,0,(O635-N635)/N635*100)</f>
        <v>0</v>
      </c>
      <c r="Q635" s="448"/>
      <c r="R635" s="448"/>
      <c r="S635" s="395">
        <f>IF(Q635=0,0,(R635-Q635)/Q635*100)</f>
        <v>0</v>
      </c>
      <c r="T635" s="448"/>
      <c r="U635" s="448"/>
      <c r="V635" s="395">
        <f>IF(T635=0,0,(U635-T635)/T635*100)</f>
        <v>0</v>
      </c>
      <c r="W635" s="448"/>
      <c r="X635" s="448"/>
      <c r="Y635" s="395">
        <f>IF(W635=0,0,(X635-W635)/W635*100)</f>
        <v>0</v>
      </c>
      <c r="Z635" s="448"/>
      <c r="AA635" s="448"/>
      <c r="AB635" s="395">
        <f>IF(Z635=0,0,(AA635-Z635)/Z635*100)</f>
        <v>0</v>
      </c>
      <c r="AC635" s="448"/>
      <c r="AD635" s="448"/>
      <c r="AE635" s="395">
        <f>IF(AC635=0,0,(AD635-AC635)/AC635*100)</f>
        <v>0</v>
      </c>
      <c r="AF635" s="448"/>
      <c r="AG635" s="448"/>
      <c r="AH635" s="395">
        <f>IF(AF635=0,0,(AG635-AF635)/AF635*100)</f>
        <v>0</v>
      </c>
      <c r="AI635" s="448"/>
      <c r="AJ635" s="448"/>
      <c r="AK635" s="395">
        <f>IF(AI635=0,0,(AJ635-AI635)/AI635*100)</f>
        <v>0</v>
      </c>
      <c r="AL635" s="448"/>
      <c r="AM635" s="448"/>
      <c r="AN635" s="395">
        <f>IF(AL635=0,0,(AM635-AL635)/AL635*100)</f>
        <v>0</v>
      </c>
      <c r="AO635" s="448"/>
      <c r="AP635" s="448"/>
      <c r="AQ635" s="395">
        <f>IF(AO635=0,0,(AP635-AO635)/AO635*100)</f>
        <v>0</v>
      </c>
    </row>
    <row r="636" spans="1:43" s="391" customFormat="1" ht="15" customHeight="1" outlineLevel="1">
      <c r="A636" s="322" t="str">
        <f t="shared" si="129"/>
        <v>1</v>
      </c>
      <c r="L636" s="446" t="s">
        <v>703</v>
      </c>
      <c r="M636" s="447" t="s">
        <v>679</v>
      </c>
      <c r="N636" s="448"/>
      <c r="O636" s="448"/>
      <c r="P636" s="395">
        <f>IF(N636=0,0,(O636-N636)/N636*100)</f>
        <v>0</v>
      </c>
      <c r="Q636" s="448"/>
      <c r="R636" s="448"/>
      <c r="S636" s="395">
        <f>IF(Q636=0,0,(R636-Q636)/Q636*100)</f>
        <v>0</v>
      </c>
      <c r="T636" s="448"/>
      <c r="U636" s="448"/>
      <c r="V636" s="395">
        <f>IF(T636=0,0,(U636-T636)/T636*100)</f>
        <v>0</v>
      </c>
      <c r="W636" s="448"/>
      <c r="X636" s="448"/>
      <c r="Y636" s="395">
        <f>IF(W636=0,0,(X636-W636)/W636*100)</f>
        <v>0</v>
      </c>
      <c r="Z636" s="448"/>
      <c r="AA636" s="448"/>
      <c r="AB636" s="395">
        <f>IF(Z636=0,0,(AA636-Z636)/Z636*100)</f>
        <v>0</v>
      </c>
      <c r="AC636" s="448"/>
      <c r="AD636" s="448"/>
      <c r="AE636" s="395">
        <f>IF(AC636=0,0,(AD636-AC636)/AC636*100)</f>
        <v>0</v>
      </c>
      <c r="AF636" s="448"/>
      <c r="AG636" s="448"/>
      <c r="AH636" s="395">
        <f>IF(AF636=0,0,(AG636-AF636)/AF636*100)</f>
        <v>0</v>
      </c>
      <c r="AI636" s="448"/>
      <c r="AJ636" s="448"/>
      <c r="AK636" s="395">
        <f>IF(AI636=0,0,(AJ636-AI636)/AI636*100)</f>
        <v>0</v>
      </c>
      <c r="AL636" s="448"/>
      <c r="AM636" s="448"/>
      <c r="AN636" s="395">
        <f>IF(AL636=0,0,(AM636-AL636)/AL636*100)</f>
        <v>0</v>
      </c>
      <c r="AO636" s="448"/>
      <c r="AP636" s="448"/>
      <c r="AQ636" s="395">
        <f>IF(AO636=0,0,(AP636-AO636)/AO636*100)</f>
        <v>0</v>
      </c>
    </row>
    <row r="637" spans="1:43" s="322" customFormat="1" ht="15" customHeight="1" outlineLevel="1">
      <c r="A637" s="322" t="str">
        <f t="shared" si="129"/>
        <v>1</v>
      </c>
      <c r="L637" s="449" t="s">
        <v>689</v>
      </c>
      <c r="M637" s="450" t="s">
        <v>145</v>
      </c>
      <c r="N637" s="398">
        <f>IF(N635=0,0,N636/N635)*100</f>
        <v>0</v>
      </c>
      <c r="O637" s="398">
        <f>IF(O635=0,0,O636/O635)*100</f>
        <v>0</v>
      </c>
      <c r="P637" s="451"/>
      <c r="Q637" s="398">
        <f>IF(Q635=0,0,Q636/Q635)*100</f>
        <v>0</v>
      </c>
      <c r="R637" s="398">
        <f>IF(R635=0,0,R636/R635)*100</f>
        <v>0</v>
      </c>
      <c r="S637" s="451"/>
      <c r="T637" s="398">
        <f>IF(T635=0,0,T636/T635)*100</f>
        <v>0</v>
      </c>
      <c r="U637" s="398">
        <f>IF(U635=0,0,U636/U635)*100</f>
        <v>0</v>
      </c>
      <c r="V637" s="451"/>
      <c r="W637" s="398">
        <f>IF(W635=0,0,W636/W635)*100</f>
        <v>0</v>
      </c>
      <c r="X637" s="398">
        <f>IF(X635=0,0,X636/X635)*100</f>
        <v>0</v>
      </c>
      <c r="Y637" s="451"/>
      <c r="Z637" s="398">
        <f>IF(Z635=0,0,Z636/Z635)*100</f>
        <v>0</v>
      </c>
      <c r="AA637" s="398">
        <f>IF(AA635=0,0,AA636/AA635)*100</f>
        <v>0</v>
      </c>
      <c r="AB637" s="451"/>
      <c r="AC637" s="398">
        <f>IF(AC635=0,0,AC636/AC635)*100</f>
        <v>0</v>
      </c>
      <c r="AD637" s="398">
        <f>IF(AD635=0,0,AD636/AD635)*100</f>
        <v>0</v>
      </c>
      <c r="AE637" s="451"/>
      <c r="AF637" s="398">
        <f>IF(AF635=0,0,AF636/AF635)*100</f>
        <v>0</v>
      </c>
      <c r="AG637" s="398">
        <f>IF(AG635=0,0,AG636/AG635)*100</f>
        <v>0</v>
      </c>
      <c r="AH637" s="451"/>
      <c r="AI637" s="398">
        <f>IF(AI635=0,0,AI636/AI635)*100</f>
        <v>0</v>
      </c>
      <c r="AJ637" s="398">
        <f>IF(AJ635=0,0,AJ636/AJ635)*100</f>
        <v>0</v>
      </c>
      <c r="AK637" s="451"/>
      <c r="AL637" s="398">
        <f>IF(AL635=0,0,AL636/AL635)*100</f>
        <v>0</v>
      </c>
      <c r="AM637" s="398">
        <f>IF(AM635=0,0,AM636/AM635)*100</f>
        <v>0</v>
      </c>
      <c r="AN637" s="451"/>
      <c r="AO637" s="398">
        <f>IF(AO635=0,0,AO636/AO635)*100</f>
        <v>0</v>
      </c>
      <c r="AP637" s="398">
        <f>IF(AP635=0,0,AP636/AP635)*100</f>
        <v>0</v>
      </c>
      <c r="AQ637" s="451"/>
    </row>
    <row r="638" spans="1:43" s="322" customFormat="1" ht="15" customHeight="1" outlineLevel="1">
      <c r="A638" s="322" t="str">
        <f t="shared" si="129"/>
        <v>1</v>
      </c>
      <c r="J638" s="322" t="s">
        <v>1376</v>
      </c>
      <c r="L638" s="343" t="s">
        <v>371</v>
      </c>
      <c r="M638" s="342"/>
      <c r="N638" s="340"/>
      <c r="O638" s="340"/>
      <c r="P638" s="340"/>
      <c r="Q638" s="340"/>
      <c r="R638" s="340"/>
      <c r="S638" s="340"/>
      <c r="T638" s="340"/>
      <c r="U638" s="340"/>
      <c r="V638" s="340"/>
      <c r="W638" s="340"/>
      <c r="X638" s="340"/>
      <c r="Y638" s="340"/>
      <c r="Z638" s="340"/>
      <c r="AA638" s="340"/>
      <c r="AB638" s="340"/>
      <c r="AC638" s="340"/>
      <c r="AD638" s="340"/>
      <c r="AE638" s="340"/>
      <c r="AF638" s="340"/>
      <c r="AG638" s="340"/>
      <c r="AH638" s="340"/>
      <c r="AI638" s="340"/>
      <c r="AJ638" s="340"/>
      <c r="AK638" s="340"/>
      <c r="AL638" s="340"/>
      <c r="AM638" s="340"/>
      <c r="AN638" s="340"/>
      <c r="AO638" s="340"/>
      <c r="AP638" s="340"/>
      <c r="AQ638" s="341"/>
    </row>
    <row r="639" spans="1:43" s="558" customFormat="1">
      <c r="A639" s="575" t="s">
        <v>1377</v>
      </c>
      <c r="M639" s="559"/>
      <c r="N639" s="559"/>
      <c r="O639" s="559"/>
      <c r="P639" s="559"/>
      <c r="AA639" s="560"/>
    </row>
    <row r="640" spans="1:43" s="322" customFormat="1" ht="15" customHeight="1" outlineLevel="1">
      <c r="A640" s="322" t="str">
        <f ca="1">OFFSET(A640,-1,0)</f>
        <v>et_List16_line_o</v>
      </c>
      <c r="G640" s="322">
        <f ca="1">OFFSET(G640,-1,0)</f>
        <v>0</v>
      </c>
      <c r="J640" s="632"/>
      <c r="K640" s="147" t="s">
        <v>283</v>
      </c>
      <c r="L640" s="576"/>
      <c r="M640" s="577" t="s">
        <v>679</v>
      </c>
      <c r="N640" s="400"/>
      <c r="O640" s="401"/>
      <c r="P640" s="399">
        <f>IF(N640=0,0,(O640-N640)/N640*100)</f>
        <v>0</v>
      </c>
      <c r="Q640" s="400"/>
      <c r="R640" s="401"/>
      <c r="S640" s="399">
        <f>IF(Q640=0,0,(R640-Q640)/Q640*100)</f>
        <v>0</v>
      </c>
      <c r="T640" s="400"/>
      <c r="U640" s="401"/>
      <c r="V640" s="399">
        <f>IF(T640=0,0,(U640-T640)/T640*100)</f>
        <v>0</v>
      </c>
      <c r="W640" s="400"/>
      <c r="X640" s="401"/>
      <c r="Y640" s="399">
        <f>IF(W640=0,0,(X640-W640)/W640*100)</f>
        <v>0</v>
      </c>
      <c r="Z640" s="400"/>
      <c r="AA640" s="401"/>
      <c r="AB640" s="399">
        <f>IF(Z640=0,0,(AA640-Z640)/Z640*100)</f>
        <v>0</v>
      </c>
      <c r="AC640" s="400"/>
      <c r="AD640" s="401"/>
      <c r="AE640" s="399">
        <f>IF(AC640=0,0,(AD640-AC640)/AC640*100)</f>
        <v>0</v>
      </c>
      <c r="AF640" s="400"/>
      <c r="AG640" s="401"/>
      <c r="AH640" s="399">
        <f>IF(AF640=0,0,(AG640-AF640)/AF640*100)</f>
        <v>0</v>
      </c>
      <c r="AI640" s="400"/>
      <c r="AJ640" s="401"/>
      <c r="AK640" s="399">
        <f>IF(AI640=0,0,(AJ640-AI640)/AI640*100)</f>
        <v>0</v>
      </c>
      <c r="AL640" s="400"/>
      <c r="AM640" s="401"/>
      <c r="AN640" s="399">
        <f>IF(AL640=0,0,(AM640-AL640)/AL640*100)</f>
        <v>0</v>
      </c>
      <c r="AO640" s="400"/>
      <c r="AP640" s="401"/>
      <c r="AQ640" s="399">
        <f>IF(AO640=0,0,(AP640-AO640)/AO640*100)</f>
        <v>0</v>
      </c>
    </row>
    <row r="641" spans="1:43" s="322" customFormat="1" ht="15" customHeight="1" outlineLevel="1">
      <c r="A641" s="322" t="str">
        <f ca="1">OFFSET(A641,-1,0)</f>
        <v>et_List16_line_o</v>
      </c>
      <c r="G641" s="322">
        <f ca="1">OFFSET(G641,-1,0)</f>
        <v>0</v>
      </c>
      <c r="J641" s="632"/>
      <c r="K641" s="147"/>
      <c r="L641" s="396" t="s">
        <v>1378</v>
      </c>
      <c r="M641" s="578" t="s">
        <v>329</v>
      </c>
      <c r="N641" s="571"/>
      <c r="O641" s="571"/>
      <c r="P641" s="579">
        <f>IF(N641=0,0,(O641-N641)/N641*100)</f>
        <v>0</v>
      </c>
      <c r="Q641" s="571"/>
      <c r="R641" s="571"/>
      <c r="S641" s="579">
        <f>IF(Q641=0,0,(R641-Q641)/Q641*100)</f>
        <v>0</v>
      </c>
      <c r="T641" s="571"/>
      <c r="U641" s="571"/>
      <c r="V641" s="579">
        <f>IF(T641=0,0,(U641-T641)/T641*100)</f>
        <v>0</v>
      </c>
      <c r="W641" s="571"/>
      <c r="X641" s="571"/>
      <c r="Y641" s="579">
        <f>IF(W641=0,0,(X641-W641)/W641*100)</f>
        <v>0</v>
      </c>
      <c r="Z641" s="571"/>
      <c r="AA641" s="571"/>
      <c r="AB641" s="579">
        <f>IF(Z641=0,0,(AA641-Z641)/Z641*100)</f>
        <v>0</v>
      </c>
      <c r="AC641" s="571"/>
      <c r="AD641" s="571"/>
      <c r="AE641" s="579">
        <f>IF(AC641=0,0,(AD641-AC641)/AC641*100)</f>
        <v>0</v>
      </c>
      <c r="AF641" s="571"/>
      <c r="AG641" s="571"/>
      <c r="AH641" s="579">
        <f>IF(AF641=0,0,(AG641-AF641)/AF641*100)</f>
        <v>0</v>
      </c>
      <c r="AI641" s="571"/>
      <c r="AJ641" s="571"/>
      <c r="AK641" s="579">
        <f>IF(AI641=0,0,(AJ641-AI641)/AI641*100)</f>
        <v>0</v>
      </c>
      <c r="AL641" s="571"/>
      <c r="AM641" s="571"/>
      <c r="AN641" s="579">
        <f>IF(AL641=0,0,(AM641-AL641)/AL641*100)</f>
        <v>0</v>
      </c>
      <c r="AO641" s="571"/>
      <c r="AP641" s="571"/>
      <c r="AQ641" s="579">
        <f>IF(AO641=0,0,(AP641-AO641)/AO641*100)</f>
        <v>0</v>
      </c>
    </row>
    <row r="642" spans="1:43" s="558" customFormat="1">
      <c r="A642" s="575" t="s">
        <v>1379</v>
      </c>
      <c r="M642" s="559"/>
      <c r="N642" s="559"/>
      <c r="O642" s="559"/>
      <c r="P642" s="559"/>
      <c r="Q642" s="559"/>
      <c r="R642" s="559"/>
      <c r="S642" s="559"/>
      <c r="T642" s="559"/>
      <c r="U642" s="559"/>
      <c r="V642" s="559"/>
      <c r="W642" s="559"/>
      <c r="X642" s="559"/>
      <c r="Y642" s="559"/>
      <c r="Z642" s="559"/>
      <c r="AA642" s="559"/>
      <c r="AB642" s="559"/>
      <c r="AC642" s="559"/>
      <c r="AD642" s="559"/>
      <c r="AE642" s="559"/>
      <c r="AF642" s="559"/>
      <c r="AG642" s="559"/>
      <c r="AH642" s="559"/>
      <c r="AI642" s="559"/>
      <c r="AJ642" s="559"/>
      <c r="AK642" s="559"/>
      <c r="AL642" s="559"/>
      <c r="AM642" s="559"/>
      <c r="AN642" s="559"/>
      <c r="AO642" s="559"/>
      <c r="AP642" s="559"/>
      <c r="AQ642" s="559"/>
    </row>
    <row r="643" spans="1:43" s="322" customFormat="1" ht="14.25" outlineLevel="1">
      <c r="A643" s="322" t="str">
        <f t="shared" ref="A643:A648" ca="1" si="130">OFFSET(A643,-1,0)</f>
        <v>et_List16_line_d</v>
      </c>
      <c r="G643" s="322">
        <f t="shared" ref="G643:G648" ca="1" si="131">OFFSET(G643,-1,0)</f>
        <v>0</v>
      </c>
      <c r="J643" s="632"/>
      <c r="K643" s="147" t="s">
        <v>283</v>
      </c>
      <c r="L643" s="576"/>
      <c r="M643" s="577"/>
      <c r="N643" s="580"/>
      <c r="O643" s="581"/>
      <c r="P643" s="581"/>
      <c r="Q643" s="580"/>
      <c r="R643" s="581"/>
      <c r="S643" s="581"/>
      <c r="T643" s="580"/>
      <c r="U643" s="581"/>
      <c r="V643" s="581"/>
      <c r="W643" s="580"/>
      <c r="X643" s="581"/>
      <c r="Y643" s="581"/>
      <c r="Z643" s="580"/>
      <c r="AA643" s="581"/>
      <c r="AB643" s="581"/>
      <c r="AC643" s="580"/>
      <c r="AD643" s="581"/>
      <c r="AE643" s="581"/>
      <c r="AF643" s="580"/>
      <c r="AG643" s="581"/>
      <c r="AH643" s="581"/>
      <c r="AI643" s="580"/>
      <c r="AJ643" s="581"/>
      <c r="AK643" s="581"/>
      <c r="AL643" s="580"/>
      <c r="AM643" s="581"/>
      <c r="AN643" s="581"/>
      <c r="AO643" s="580"/>
      <c r="AP643" s="581"/>
      <c r="AQ643" s="581"/>
    </row>
    <row r="644" spans="1:43" s="322" customFormat="1" ht="22.5" outlineLevel="1">
      <c r="A644" s="322" t="str">
        <f t="shared" ca="1" si="130"/>
        <v>et_List16_line_d</v>
      </c>
      <c r="G644" s="322">
        <f t="shared" ca="1" si="131"/>
        <v>0</v>
      </c>
      <c r="J644" s="632"/>
      <c r="K644" s="147"/>
      <c r="L644" s="406" t="s">
        <v>694</v>
      </c>
      <c r="M644" s="577" t="s">
        <v>679</v>
      </c>
      <c r="N644" s="400">
        <f>IF(N646=0,0,(N645*N646+N647*N648*6)/N646)</f>
        <v>0</v>
      </c>
      <c r="O644" s="400">
        <f>IF(O646=0,0,(O645*O646+O647*O648*6)/O646)</f>
        <v>0</v>
      </c>
      <c r="P644" s="399">
        <f>IF(N644=0,0,(O644-N644)/N644*100)</f>
        <v>0</v>
      </c>
      <c r="Q644" s="400">
        <f>IF(Q646=0,0,(Q645*Q646+Q647*Q648*6)/Q646)</f>
        <v>0</v>
      </c>
      <c r="R644" s="400">
        <f>IF(R646=0,0,(R645*R646+R647*R648*6)/R646)</f>
        <v>0</v>
      </c>
      <c r="S644" s="399">
        <f>IF(Q644=0,0,(R644-Q644)/Q644*100)</f>
        <v>0</v>
      </c>
      <c r="T644" s="400">
        <f>IF(T646=0,0,(T645*T646+T647*T648*6)/T646)</f>
        <v>0</v>
      </c>
      <c r="U644" s="400">
        <f>IF(U646=0,0,(U645*U646+U647*U648*6)/U646)</f>
        <v>0</v>
      </c>
      <c r="V644" s="399">
        <f>IF(T644=0,0,(U644-T644)/T644*100)</f>
        <v>0</v>
      </c>
      <c r="W644" s="400">
        <f>IF(W646=0,0,(W645*W646+W647*W648*6)/W646)</f>
        <v>0</v>
      </c>
      <c r="X644" s="400">
        <f>IF(X646=0,0,(X645*X646+X647*X648*6)/X646)</f>
        <v>0</v>
      </c>
      <c r="Y644" s="399">
        <f>IF(W644=0,0,(X644-W644)/W644*100)</f>
        <v>0</v>
      </c>
      <c r="Z644" s="400">
        <f>IF(Z646=0,0,(Z645*Z646+Z647*Z648*6)/Z646)</f>
        <v>0</v>
      </c>
      <c r="AA644" s="400">
        <f>IF(AA646=0,0,(AA645*AA646+AA647*AA648*6)/AA646)</f>
        <v>0</v>
      </c>
      <c r="AB644" s="399">
        <f>IF(Z644=0,0,(AA644-Z644)/Z644*100)</f>
        <v>0</v>
      </c>
      <c r="AC644" s="400">
        <f>IF(AC646=0,0,(AC645*AC646+AC647*AC648*6)/AC646)</f>
        <v>0</v>
      </c>
      <c r="AD644" s="400">
        <f>IF(AD646=0,0,(AD645*AD646+AD647*AD648*6)/AD646)</f>
        <v>0</v>
      </c>
      <c r="AE644" s="399">
        <f>IF(AC644=0,0,(AD644-AC644)/AC644*100)</f>
        <v>0</v>
      </c>
      <c r="AF644" s="400">
        <f>IF(AF646=0,0,(AF645*AF646+AF647*AF648*6)/AF646)</f>
        <v>0</v>
      </c>
      <c r="AG644" s="400">
        <f>IF(AG646=0,0,(AG645*AG646+AG647*AG648*6)/AG646)</f>
        <v>0</v>
      </c>
      <c r="AH644" s="399">
        <f>IF(AF644=0,0,(AG644-AF644)/AF644*100)</f>
        <v>0</v>
      </c>
      <c r="AI644" s="400">
        <f>IF(AI646=0,0,(AI645*AI646+AI647*AI648*6)/AI646)</f>
        <v>0</v>
      </c>
      <c r="AJ644" s="400">
        <f>IF(AJ646=0,0,(AJ645*AJ646+AJ647*AJ648*6)/AJ646)</f>
        <v>0</v>
      </c>
      <c r="AK644" s="399">
        <f>IF(AI644=0,0,(AJ644-AI644)/AI644*100)</f>
        <v>0</v>
      </c>
      <c r="AL644" s="400">
        <f>IF(AL646=0,0,(AL645*AL646+AL647*AL648*6)/AL646)</f>
        <v>0</v>
      </c>
      <c r="AM644" s="400">
        <f>IF(AM646=0,0,(AM645*AM646+AM647*AM648*6)/AM646)</f>
        <v>0</v>
      </c>
      <c r="AN644" s="399">
        <f>IF(AL644=0,0,(AM644-AL644)/AL644*100)</f>
        <v>0</v>
      </c>
      <c r="AO644" s="400">
        <f>IF(AO646=0,0,(AO645*AO646+AO647*AO648*6)/AO646)</f>
        <v>0</v>
      </c>
      <c r="AP644" s="400">
        <f>IF(AP646=0,0,(AP645*AP646+AP647*AP648*6)/AP646)</f>
        <v>0</v>
      </c>
      <c r="AQ644" s="399">
        <f>IF(AO644=0,0,(AP644-AO644)/AO644*100)</f>
        <v>0</v>
      </c>
    </row>
    <row r="645" spans="1:43" s="322" customFormat="1" ht="22.5" outlineLevel="1">
      <c r="A645" s="322" t="str">
        <f t="shared" ca="1" si="130"/>
        <v>et_List16_line_d</v>
      </c>
      <c r="G645" s="322">
        <f t="shared" ca="1" si="131"/>
        <v>0</v>
      </c>
      <c r="J645" s="632"/>
      <c r="K645" s="147"/>
      <c r="L645" s="406" t="s">
        <v>695</v>
      </c>
      <c r="M645" s="577" t="s">
        <v>679</v>
      </c>
      <c r="N645" s="400"/>
      <c r="O645" s="400"/>
      <c r="P645" s="399">
        <f>IF(N645=0,0,(O645-N645)/N645*100)</f>
        <v>0</v>
      </c>
      <c r="Q645" s="400"/>
      <c r="R645" s="400"/>
      <c r="S645" s="399">
        <f>IF(Q645=0,0,(R645-Q645)/Q645*100)</f>
        <v>0</v>
      </c>
      <c r="T645" s="400"/>
      <c r="U645" s="400"/>
      <c r="V645" s="399">
        <f>IF(T645=0,0,(U645-T645)/T645*100)</f>
        <v>0</v>
      </c>
      <c r="W645" s="400"/>
      <c r="X645" s="400"/>
      <c r="Y645" s="399">
        <f>IF(W645=0,0,(X645-W645)/W645*100)</f>
        <v>0</v>
      </c>
      <c r="Z645" s="400"/>
      <c r="AA645" s="400"/>
      <c r="AB645" s="399">
        <f>IF(Z645=0,0,(AA645-Z645)/Z645*100)</f>
        <v>0</v>
      </c>
      <c r="AC645" s="400"/>
      <c r="AD645" s="400"/>
      <c r="AE645" s="399">
        <f>IF(AC645=0,0,(AD645-AC645)/AC645*100)</f>
        <v>0</v>
      </c>
      <c r="AF645" s="400"/>
      <c r="AG645" s="400"/>
      <c r="AH645" s="399">
        <f>IF(AF645=0,0,(AG645-AF645)/AF645*100)</f>
        <v>0</v>
      </c>
      <c r="AI645" s="400"/>
      <c r="AJ645" s="400"/>
      <c r="AK645" s="399">
        <f>IF(AI645=0,0,(AJ645-AI645)/AI645*100)</f>
        <v>0</v>
      </c>
      <c r="AL645" s="400"/>
      <c r="AM645" s="400"/>
      <c r="AN645" s="399">
        <f>IF(AL645=0,0,(AM645-AL645)/AL645*100)</f>
        <v>0</v>
      </c>
      <c r="AO645" s="400"/>
      <c r="AP645" s="400"/>
      <c r="AQ645" s="399">
        <f>IF(AO645=0,0,(AP645-AO645)/AO645*100)</f>
        <v>0</v>
      </c>
    </row>
    <row r="646" spans="1:43" s="322" customFormat="1" ht="22.5" outlineLevel="1">
      <c r="A646" s="322" t="str">
        <f t="shared" ca="1" si="130"/>
        <v>et_List16_line_d</v>
      </c>
      <c r="G646" s="322">
        <f t="shared" ca="1" si="131"/>
        <v>0</v>
      </c>
      <c r="J646" s="632"/>
      <c r="K646" s="147"/>
      <c r="L646" s="406" t="s">
        <v>696</v>
      </c>
      <c r="M646" s="577" t="s">
        <v>329</v>
      </c>
      <c r="N646" s="571"/>
      <c r="O646" s="571"/>
      <c r="P646" s="579">
        <f>IF(N646=0,0,(O646-N646)/N646*100)</f>
        <v>0</v>
      </c>
      <c r="Q646" s="571"/>
      <c r="R646" s="571"/>
      <c r="S646" s="579">
        <f>IF(Q646=0,0,(R646-Q646)/Q646*100)</f>
        <v>0</v>
      </c>
      <c r="T646" s="571"/>
      <c r="U646" s="571"/>
      <c r="V646" s="579">
        <f>IF(T646=0,0,(U646-T646)/T646*100)</f>
        <v>0</v>
      </c>
      <c r="W646" s="571"/>
      <c r="X646" s="571"/>
      <c r="Y646" s="579">
        <f>IF(W646=0,0,(X646-W646)/W646*100)</f>
        <v>0</v>
      </c>
      <c r="Z646" s="571"/>
      <c r="AA646" s="571"/>
      <c r="AB646" s="579">
        <f>IF(Z646=0,0,(AA646-Z646)/Z646*100)</f>
        <v>0</v>
      </c>
      <c r="AC646" s="571"/>
      <c r="AD646" s="571"/>
      <c r="AE646" s="579">
        <f>IF(AC646=0,0,(AD646-AC646)/AC646*100)</f>
        <v>0</v>
      </c>
      <c r="AF646" s="571"/>
      <c r="AG646" s="571"/>
      <c r="AH646" s="579">
        <f>IF(AF646=0,0,(AG646-AF646)/AF646*100)</f>
        <v>0</v>
      </c>
      <c r="AI646" s="571"/>
      <c r="AJ646" s="571"/>
      <c r="AK646" s="579">
        <f>IF(AI646=0,0,(AJ646-AI646)/AI646*100)</f>
        <v>0</v>
      </c>
      <c r="AL646" s="571"/>
      <c r="AM646" s="571"/>
      <c r="AN646" s="579">
        <f>IF(AL646=0,0,(AM646-AL646)/AL646*100)</f>
        <v>0</v>
      </c>
      <c r="AO646" s="571"/>
      <c r="AP646" s="571"/>
      <c r="AQ646" s="579">
        <f>IF(AO646=0,0,(AP646-AO646)/AO646*100)</f>
        <v>0</v>
      </c>
    </row>
    <row r="647" spans="1:43" s="322" customFormat="1" ht="33.75" outlineLevel="1">
      <c r="A647" s="322" t="str">
        <f t="shared" ca="1" si="130"/>
        <v>et_List16_line_d</v>
      </c>
      <c r="G647" s="322">
        <f t="shared" ca="1" si="131"/>
        <v>0</v>
      </c>
      <c r="J647" s="632"/>
      <c r="K647" s="147"/>
      <c r="L647" s="406" t="s">
        <v>697</v>
      </c>
      <c r="M647" s="577" t="s">
        <v>698</v>
      </c>
      <c r="N647" s="400"/>
      <c r="O647" s="400"/>
      <c r="P647" s="399">
        <f>IF(N647=0,0,(O647-N647)/N647*100)</f>
        <v>0</v>
      </c>
      <c r="Q647" s="400"/>
      <c r="R647" s="400"/>
      <c r="S647" s="399">
        <f>IF(Q647=0,0,(R647-Q647)/Q647*100)</f>
        <v>0</v>
      </c>
      <c r="T647" s="400"/>
      <c r="U647" s="400"/>
      <c r="V647" s="399">
        <f>IF(T647=0,0,(U647-T647)/T647*100)</f>
        <v>0</v>
      </c>
      <c r="W647" s="400"/>
      <c r="X647" s="400"/>
      <c r="Y647" s="399">
        <f>IF(W647=0,0,(X647-W647)/W647*100)</f>
        <v>0</v>
      </c>
      <c r="Z647" s="400"/>
      <c r="AA647" s="400"/>
      <c r="AB647" s="399">
        <f>IF(Z647=0,0,(AA647-Z647)/Z647*100)</f>
        <v>0</v>
      </c>
      <c r="AC647" s="400"/>
      <c r="AD647" s="400"/>
      <c r="AE647" s="399">
        <f>IF(AC647=0,0,(AD647-AC647)/AC647*100)</f>
        <v>0</v>
      </c>
      <c r="AF647" s="400"/>
      <c r="AG647" s="400"/>
      <c r="AH647" s="399">
        <f>IF(AF647=0,0,(AG647-AF647)/AF647*100)</f>
        <v>0</v>
      </c>
      <c r="AI647" s="400"/>
      <c r="AJ647" s="400"/>
      <c r="AK647" s="399">
        <f>IF(AI647=0,0,(AJ647-AI647)/AI647*100)</f>
        <v>0</v>
      </c>
      <c r="AL647" s="400"/>
      <c r="AM647" s="400"/>
      <c r="AN647" s="399">
        <f>IF(AL647=0,0,(AM647-AL647)/AL647*100)</f>
        <v>0</v>
      </c>
      <c r="AO647" s="400"/>
      <c r="AP647" s="400"/>
      <c r="AQ647" s="399">
        <f>IF(AO647=0,0,(AP647-AO647)/AO647*100)</f>
        <v>0</v>
      </c>
    </row>
    <row r="648" spans="1:43" s="322" customFormat="1" ht="22.5" outlineLevel="1">
      <c r="A648" s="322" t="str">
        <f t="shared" ca="1" si="130"/>
        <v>et_List16_line_d</v>
      </c>
      <c r="G648" s="322">
        <f t="shared" ca="1" si="131"/>
        <v>0</v>
      </c>
      <c r="J648" s="632"/>
      <c r="K648" s="147"/>
      <c r="L648" s="406" t="s">
        <v>699</v>
      </c>
      <c r="M648" s="577" t="s">
        <v>700</v>
      </c>
      <c r="N648" s="400"/>
      <c r="O648" s="400"/>
      <c r="P648" s="399">
        <f>IF(N648=0,0,(O648-N648)/N648*100)</f>
        <v>0</v>
      </c>
      <c r="Q648" s="400"/>
      <c r="R648" s="400"/>
      <c r="S648" s="399">
        <f>IF(Q648=0,0,(R648-Q648)/Q648*100)</f>
        <v>0</v>
      </c>
      <c r="T648" s="400"/>
      <c r="U648" s="400"/>
      <c r="V648" s="399">
        <f>IF(T648=0,0,(U648-T648)/T648*100)</f>
        <v>0</v>
      </c>
      <c r="W648" s="400"/>
      <c r="X648" s="400"/>
      <c r="Y648" s="399">
        <f>IF(W648=0,0,(X648-W648)/W648*100)</f>
        <v>0</v>
      </c>
      <c r="Z648" s="400"/>
      <c r="AA648" s="400"/>
      <c r="AB648" s="399">
        <f>IF(Z648=0,0,(AA648-Z648)/Z648*100)</f>
        <v>0</v>
      </c>
      <c r="AC648" s="400"/>
      <c r="AD648" s="400"/>
      <c r="AE648" s="399">
        <f>IF(AC648=0,0,(AD648-AC648)/AC648*100)</f>
        <v>0</v>
      </c>
      <c r="AF648" s="400"/>
      <c r="AG648" s="400"/>
      <c r="AH648" s="399">
        <f>IF(AF648=0,0,(AG648-AF648)/AF648*100)</f>
        <v>0</v>
      </c>
      <c r="AI648" s="400"/>
      <c r="AJ648" s="400"/>
      <c r="AK648" s="399">
        <f>IF(AI648=0,0,(AJ648-AI648)/AI648*100)</f>
        <v>0</v>
      </c>
      <c r="AL648" s="400"/>
      <c r="AM648" s="400"/>
      <c r="AN648" s="399">
        <f>IF(AL648=0,0,(AM648-AL648)/AL648*100)</f>
        <v>0</v>
      </c>
      <c r="AO648" s="400"/>
      <c r="AP648" s="400"/>
      <c r="AQ648" s="399">
        <f>IF(AO648=0,0,(AP648-AO648)/AO648*100)</f>
        <v>0</v>
      </c>
    </row>
    <row r="649" spans="1:43" s="188" customFormat="1">
      <c r="A649" s="187" t="s">
        <v>1380</v>
      </c>
      <c r="M649" s="3"/>
      <c r="N649" s="3"/>
      <c r="O649" s="3"/>
      <c r="P649" s="3"/>
      <c r="AA649" s="5"/>
    </row>
    <row r="650" spans="1:43" s="322" customFormat="1" ht="15" customHeight="1" outlineLevel="1">
      <c r="A650" s="322" t="str">
        <f ca="1">OFFSET(A650,-1,0)</f>
        <v>et_List16_line_transp</v>
      </c>
      <c r="K650" s="147" t="s">
        <v>283</v>
      </c>
      <c r="L650" s="452"/>
      <c r="M650" s="397" t="s">
        <v>679</v>
      </c>
      <c r="N650" s="400"/>
      <c r="O650" s="401"/>
      <c r="P650" s="399">
        <f>IF(N650=0,0,(O650-N650)/N650*100)</f>
        <v>0</v>
      </c>
      <c r="Q650" s="401"/>
      <c r="R650" s="401"/>
      <c r="S650" s="399">
        <f>IF(Q650=0,0,(R650-Q650)/Q650*100)</f>
        <v>0</v>
      </c>
      <c r="T650" s="401"/>
      <c r="U650" s="401"/>
      <c r="V650" s="399">
        <f>IF(T650=0,0,(U650-T650)/T650*100)</f>
        <v>0</v>
      </c>
      <c r="W650" s="401"/>
      <c r="X650" s="401"/>
      <c r="Y650" s="399">
        <f>IF(W650=0,0,(X650-W650)/W650*100)</f>
        <v>0</v>
      </c>
      <c r="Z650" s="401"/>
      <c r="AA650" s="401"/>
      <c r="AB650" s="399">
        <f>IF(Z650=0,0,(AA650-Z650)/Z650*100)</f>
        <v>0</v>
      </c>
      <c r="AC650" s="401"/>
      <c r="AD650" s="401"/>
      <c r="AE650" s="399">
        <f>IF(AC650=0,0,(AD650-AC650)/AC650*100)</f>
        <v>0</v>
      </c>
      <c r="AF650" s="401"/>
      <c r="AG650" s="401"/>
      <c r="AH650" s="399">
        <f>IF(AF650=0,0,(AG650-AF650)/AF650*100)</f>
        <v>0</v>
      </c>
      <c r="AI650" s="401"/>
      <c r="AJ650" s="401"/>
      <c r="AK650" s="399">
        <f>IF(AI650=0,0,(AJ650-AI650)/AI650*100)</f>
        <v>0</v>
      </c>
      <c r="AL650" s="401"/>
      <c r="AM650" s="401"/>
      <c r="AN650" s="399">
        <f>IF(AL650=0,0,(AM650-AL650)/AL650*100)</f>
        <v>0</v>
      </c>
      <c r="AO650" s="401"/>
      <c r="AP650" s="401"/>
      <c r="AQ650" s="399">
        <f>IF(AO650=0,0,(AP650-AO650)/AO650*100)</f>
        <v>0</v>
      </c>
    </row>
    <row r="652" spans="1:43" s="143" customFormat="1" ht="30" customHeight="1">
      <c r="A652" s="142" t="s">
        <v>1222</v>
      </c>
      <c r="M652" s="144"/>
      <c r="N652" s="144"/>
      <c r="O652" s="144"/>
      <c r="P652" s="144"/>
      <c r="AA652" s="145"/>
    </row>
    <row r="653" spans="1:43">
      <c r="A653" s="146" t="s">
        <v>1345</v>
      </c>
    </row>
    <row r="654" spans="1:43" s="102" customFormat="1" ht="15" customHeight="1">
      <c r="A654" s="183" t="s">
        <v>18</v>
      </c>
      <c r="L654" s="279" t="str">
        <f>INDEX('Общие сведения'!$J$113:$J$146,MATCH($A654,'Общие сведения'!$D$113:$D$146,0))</f>
        <v>Тариф 1 (Водоснабжение) - тариф на техническую воду (нет)</v>
      </c>
      <c r="M654" s="280"/>
      <c r="N654" s="280"/>
      <c r="O654" s="280"/>
      <c r="P654" s="280"/>
      <c r="Q654" s="280"/>
    </row>
    <row r="655" spans="1:43" s="111" customFormat="1" ht="15" customHeight="1" outlineLevel="1">
      <c r="A655" s="111" t="str">
        <f t="shared" ref="A655:A664" si="132">A654</f>
        <v>1</v>
      </c>
      <c r="F655" s="111">
        <f>first_year</f>
        <v>2023</v>
      </c>
      <c r="G655" s="111" t="b">
        <f t="shared" ref="G655:G664" si="133">F655&lt;first_year+PERIOD_LENGTH</f>
        <v>1</v>
      </c>
      <c r="L655" s="326" t="str">
        <f>F655&amp; " год"</f>
        <v>2023 год</v>
      </c>
      <c r="M655" s="327">
        <f>IFERROR(SUMIFS(INDEX(Калькуляция!$AD$15:$AM$139,,MATCH(F655,Калькуляция!$AD$1:$AM$1,0)),Калькуляция!$A$15:$A$139,A655,Калькуляция!$M$15:$M$139,"Операционные расходы"),0)</f>
        <v>0</v>
      </c>
      <c r="N655" s="476">
        <f>IFERROR(SUMIFS(INDEX(Сценарии!$T$15:$AP$35,,MATCH($F655&amp;"Принято органом регулирования",Сценарии!$T$3:$AP$3,0)),Сценарии!$A$15:$A$35,$A655,Сценарии!$M$15:$M$35,"Индекс эффективности операционных расходов"),0)</f>
        <v>0</v>
      </c>
      <c r="O655" s="327"/>
      <c r="P655" s="476">
        <f>IFERROR(SUMIFS(INDEX(Баланс!$AC$16:$AL$67,,MATCH($F655&amp;"Принято органом регулирования",Баланс!$AC$3:$AL$3,0)),Баланс!$A$16:$A$67,$A655,Баланс!$M$16:$M$67,"Уровень потерь воды"),0)</f>
        <v>0</v>
      </c>
      <c r="Q655" s="476">
        <f>IFERROR(SUMIFS(INDEX(ЭЭ!$AC$15:$AL$27,,MATCH($F655&amp;"Принято органом регулирования",ЭЭ!$AC$3:$AL$3,0)),ЭЭ!$A$15:$A$27,$A655,ЭЭ!$M$15:$M$27,"Удельный расход электроэнергии"),0)</f>
        <v>0</v>
      </c>
    </row>
    <row r="656" spans="1:43" s="111" customFormat="1" ht="15" customHeight="1" outlineLevel="1">
      <c r="A656" s="111" t="str">
        <f t="shared" si="132"/>
        <v>1</v>
      </c>
      <c r="F656" s="111">
        <f>first_year+1</f>
        <v>2024</v>
      </c>
      <c r="G656" s="111" t="b">
        <f t="shared" si="133"/>
        <v>1</v>
      </c>
      <c r="L656" s="326" t="str">
        <f t="shared" ref="L656:L664" si="134">F656&amp; " год"</f>
        <v>2024 год</v>
      </c>
      <c r="M656" s="327">
        <f>IFERROR(SUMIFS(INDEX(Калькуляция!$AD$15:$AM$139,,MATCH(F656,Калькуляция!$AD$1:$AM$1,0)),Калькуляция!$A$15:$A$139,A656,Калькуляция!$M$15:$M$139,"Операционные расходы"),0)</f>
        <v>21533.43</v>
      </c>
      <c r="N656" s="476">
        <f>IFERROR(SUMIFS(INDEX(Сценарии!$T$15:$AP$35,,MATCH($F656&amp;"Принято органом регулирования",Сценарии!$T$3:$AP$3,0)),Сценарии!$A$15:$A$35,$A656,Сценарии!$M$15:$M$35,"Индекс эффективности операционных расходов"),0)</f>
        <v>1</v>
      </c>
      <c r="O656" s="327"/>
      <c r="P656" s="476">
        <f>IFERROR(SUMIFS(INDEX(Баланс!$AC$16:$AL$67,,MATCH($F656&amp;"Принято органом регулирования",Баланс!$AC$3:$AL$3,0)),Баланс!$A$16:$A$67,$A656,Баланс!$M$16:$M$67,"Уровень потерь воды"),0)</f>
        <v>3.4501450995602618</v>
      </c>
      <c r="Q656" s="476">
        <f>IFERROR(SUMIFS(INDEX(ЭЭ!$AC$15:$AL$27,,MATCH($F656&amp;"Принято органом регулирования",ЭЭ!$AC$3:$AL$3,0)),ЭЭ!$A$15:$A$27,$A656,ЭЭ!$M$15:$M$27,"Удельный расход электроэнергии"),0)</f>
        <v>0.75999925230500354</v>
      </c>
    </row>
    <row r="657" spans="1:17" s="111" customFormat="1" ht="15" customHeight="1" outlineLevel="1">
      <c r="A657" s="111" t="str">
        <f t="shared" si="132"/>
        <v>1</v>
      </c>
      <c r="F657" s="111">
        <f>first_year+2</f>
        <v>2025</v>
      </c>
      <c r="G657" s="111" t="b">
        <f t="shared" si="133"/>
        <v>1</v>
      </c>
      <c r="L657" s="326" t="str">
        <f t="shared" si="134"/>
        <v>2025 год</v>
      </c>
      <c r="M657" s="327">
        <f>IFERROR(SUMIFS(INDEX(Калькуляция!$AD$15:$AM$139,,MATCH(F657,Калькуляция!$AD$1:$AM$1,0)),Калькуляция!$A$15:$A$139,A657,Калькуляция!$M$15:$M$139,"Операционные расходы"),0)</f>
        <v>21533.43</v>
      </c>
      <c r="N657" s="476">
        <f>IFERROR(SUMIFS(INDEX(Сценарии!$T$15:$AP$35,,MATCH($F657&amp;"Принято органом регулирования",Сценарии!$T$3:$AP$3,0)),Сценарии!$A$15:$A$35,$A657,Сценарии!$M$15:$M$35,"Индекс эффективности операционных расходов"),0)</f>
        <v>0</v>
      </c>
      <c r="O657" s="327"/>
      <c r="P657" s="476">
        <f>IFERROR(SUMIFS(INDEX(Баланс!$AC$16:$AL$67,,MATCH($F657&amp;"Принято органом регулирования",Баланс!$AC$3:$AL$3,0)),Баланс!$A$16:$A$67,$A657,Баланс!$M$16:$M$67,"Уровень потерь воды"),0)</f>
        <v>0</v>
      </c>
      <c r="Q657" s="476">
        <f>IFERROR(SUMIFS(INDEX(ЭЭ!$AC$15:$AL$27,,MATCH($F657&amp;"Принято органом регулирования",ЭЭ!$AC$3:$AL$3,0)),ЭЭ!$A$15:$A$27,$A657,ЭЭ!$M$15:$M$27,"Удельный расход электроэнергии"),0)</f>
        <v>0.76</v>
      </c>
    </row>
    <row r="658" spans="1:17" s="111" customFormat="1" ht="15" customHeight="1" outlineLevel="1">
      <c r="A658" s="111" t="str">
        <f t="shared" si="132"/>
        <v>1</v>
      </c>
      <c r="F658" s="111">
        <f>first_year+3</f>
        <v>2026</v>
      </c>
      <c r="G658" s="111" t="b">
        <f t="shared" si="133"/>
        <v>1</v>
      </c>
      <c r="L658" s="326" t="str">
        <f t="shared" si="134"/>
        <v>2026 год</v>
      </c>
      <c r="M658" s="327">
        <f>IFERROR(SUMIFS(INDEX(Калькуляция!$AD$15:$AM$139,,MATCH(F658,Калькуляция!$AD$1:$AM$1,0)),Калькуляция!$A$15:$A$139,A658,Калькуляция!$M$15:$M$139,"Операционные расходы"),0)</f>
        <v>21533.43</v>
      </c>
      <c r="N658" s="476">
        <f>IFERROR(SUMIFS(INDEX(Сценарии!$T$15:$AP$35,,MATCH($F658&amp;"Принято органом регулирования",Сценарии!$T$3:$AP$3,0)),Сценарии!$A$15:$A$35,$A658,Сценарии!$M$15:$M$35,"Индекс эффективности операционных расходов"),0)</f>
        <v>0</v>
      </c>
      <c r="O658" s="327"/>
      <c r="P658" s="476">
        <f>IFERROR(SUMIFS(INDEX(Баланс!$AC$16:$AL$67,,MATCH($F658&amp;"Принято органом регулирования",Баланс!$AC$3:$AL$3,0)),Баланс!$A$16:$A$67,$A658,Баланс!$M$16:$M$67,"Уровень потерь воды"),0)</f>
        <v>0</v>
      </c>
      <c r="Q658" s="476">
        <f>IFERROR(SUMIFS(INDEX(ЭЭ!$AC$15:$AL$27,,MATCH($F658&amp;"Принято органом регулирования",ЭЭ!$AC$3:$AL$3,0)),ЭЭ!$A$15:$A$27,$A658,ЭЭ!$M$15:$M$27,"Удельный расход электроэнергии"),0)</f>
        <v>0.76</v>
      </c>
    </row>
    <row r="659" spans="1:17" s="111" customFormat="1" ht="15" customHeight="1" outlineLevel="1">
      <c r="A659" s="111" t="str">
        <f t="shared" si="132"/>
        <v>1</v>
      </c>
      <c r="F659" s="111">
        <f>first_year+4</f>
        <v>2027</v>
      </c>
      <c r="G659" s="111" t="b">
        <f t="shared" si="133"/>
        <v>1</v>
      </c>
      <c r="L659" s="326" t="str">
        <f t="shared" si="134"/>
        <v>2027 год</v>
      </c>
      <c r="M659" s="327">
        <f>IFERROR(SUMIFS(INDEX(Калькуляция!$AD$15:$AM$139,,MATCH(F659,Калькуляция!$AD$1:$AM$1,0)),Калькуляция!$A$15:$A$139,A659,Калькуляция!$M$15:$M$139,"Операционные расходы"),0)</f>
        <v>21533.43</v>
      </c>
      <c r="N659" s="476">
        <f>IFERROR(SUMIFS(INDEX(Сценарии!$T$15:$AP$35,,MATCH($F659&amp;"Принято органом регулирования",Сценарии!$T$3:$AP$3,0)),Сценарии!$A$15:$A$35,$A659,Сценарии!$M$15:$M$35,"Индекс эффективности операционных расходов"),0)</f>
        <v>0</v>
      </c>
      <c r="O659" s="327"/>
      <c r="P659" s="476">
        <f>IFERROR(SUMIFS(INDEX(Баланс!$AC$16:$AL$67,,MATCH($F659&amp;"Принято органом регулирования",Баланс!$AC$3:$AL$3,0)),Баланс!$A$16:$A$67,$A659,Баланс!$M$16:$M$67,"Уровень потерь воды"),0)</f>
        <v>0</v>
      </c>
      <c r="Q659" s="476">
        <f>IFERROR(SUMIFS(INDEX(ЭЭ!$AC$15:$AL$27,,MATCH($F659&amp;"Принято органом регулирования",ЭЭ!$AC$3:$AL$3,0)),ЭЭ!$A$15:$A$27,$A659,ЭЭ!$M$15:$M$27,"Удельный расход электроэнергии"),0)</f>
        <v>0.76</v>
      </c>
    </row>
    <row r="660" spans="1:17" s="111" customFormat="1" ht="15" customHeight="1" outlineLevel="1">
      <c r="A660" s="111" t="str">
        <f t="shared" si="132"/>
        <v>1</v>
      </c>
      <c r="F660" s="111">
        <f>first_year+5</f>
        <v>2028</v>
      </c>
      <c r="G660" s="111" t="b">
        <f t="shared" si="133"/>
        <v>0</v>
      </c>
      <c r="L660" s="326" t="str">
        <f t="shared" si="134"/>
        <v>2028 год</v>
      </c>
      <c r="M660" s="327">
        <f>IFERROR(SUMIFS(INDEX(Калькуляция!$AD$15:$AM$139,,MATCH(F660,Калькуляция!$AD$1:$AM$1,0)),Калькуляция!$A$15:$A$139,A660,Калькуляция!$M$15:$M$139,"Операционные расходы"),0)</f>
        <v>21533.43</v>
      </c>
      <c r="N660" s="476">
        <f>IFERROR(SUMIFS(INDEX(Сценарии!$T$15:$AP$35,,MATCH($F660&amp;"Принято органом регулирования",Сценарии!$T$3:$AP$3,0)),Сценарии!$A$15:$A$35,$A660,Сценарии!$M$15:$M$35,"Индекс эффективности операционных расходов"),0)</f>
        <v>0</v>
      </c>
      <c r="O660" s="327"/>
      <c r="P660" s="476">
        <f>IFERROR(SUMIFS(INDEX(Баланс!$AC$16:$AL$67,,MATCH($F660&amp;"Принято органом регулирования",Баланс!$AC$3:$AL$3,0)),Баланс!$A$16:$A$67,$A660,Баланс!$M$16:$M$67,"Уровень потерь воды"),0)</f>
        <v>0</v>
      </c>
      <c r="Q660" s="476">
        <f>IFERROR(SUMIFS(INDEX(ЭЭ!$AC$15:$AL$27,,MATCH($F660&amp;"Принято органом регулирования",ЭЭ!$AC$3:$AL$3,0)),ЭЭ!$A$15:$A$27,$A660,ЭЭ!$M$15:$M$27,"Удельный расход электроэнергии"),0)</f>
        <v>0</v>
      </c>
    </row>
    <row r="661" spans="1:17" s="111" customFormat="1" ht="15" customHeight="1" outlineLevel="1">
      <c r="A661" s="111" t="str">
        <f t="shared" si="132"/>
        <v>1</v>
      </c>
      <c r="F661" s="111">
        <f>first_year+6</f>
        <v>2029</v>
      </c>
      <c r="G661" s="111" t="b">
        <f t="shared" si="133"/>
        <v>0</v>
      </c>
      <c r="L661" s="326" t="str">
        <f t="shared" si="134"/>
        <v>2029 год</v>
      </c>
      <c r="M661" s="327">
        <f>IFERROR(SUMIFS(INDEX(Калькуляция!$AD$15:$AM$139,,MATCH(F661,Калькуляция!$AD$1:$AM$1,0)),Калькуляция!$A$15:$A$139,A661,Калькуляция!$M$15:$M$139,"Операционные расходы"),0)</f>
        <v>21533.43</v>
      </c>
      <c r="N661" s="476">
        <f>IFERROR(SUMIFS(INDEX(Сценарии!$T$15:$AP$35,,MATCH($F661&amp;"Принято органом регулирования",Сценарии!$T$3:$AP$3,0)),Сценарии!$A$15:$A$35,$A661,Сценарии!$M$15:$M$35,"Индекс эффективности операционных расходов"),0)</f>
        <v>0</v>
      </c>
      <c r="O661" s="327"/>
      <c r="P661" s="476">
        <f>IFERROR(SUMIFS(INDEX(Баланс!$AC$16:$AL$67,,MATCH($F661&amp;"Принято органом регулирования",Баланс!$AC$3:$AL$3,0)),Баланс!$A$16:$A$67,$A661,Баланс!$M$16:$M$67,"Уровень потерь воды"),0)</f>
        <v>0</v>
      </c>
      <c r="Q661" s="476">
        <f>IFERROR(SUMIFS(INDEX(ЭЭ!$AC$15:$AL$27,,MATCH($F661&amp;"Принято органом регулирования",ЭЭ!$AC$3:$AL$3,0)),ЭЭ!$A$15:$A$27,$A661,ЭЭ!$M$15:$M$27,"Удельный расход электроэнергии"),0)</f>
        <v>0</v>
      </c>
    </row>
    <row r="662" spans="1:17" s="111" customFormat="1" ht="15" customHeight="1" outlineLevel="1">
      <c r="A662" s="111" t="str">
        <f t="shared" si="132"/>
        <v>1</v>
      </c>
      <c r="F662" s="111">
        <f>first_year+7</f>
        <v>2030</v>
      </c>
      <c r="G662" s="111" t="b">
        <f t="shared" si="133"/>
        <v>0</v>
      </c>
      <c r="L662" s="326" t="str">
        <f t="shared" si="134"/>
        <v>2030 год</v>
      </c>
      <c r="M662" s="327">
        <f>IFERROR(SUMIFS(INDEX(Калькуляция!$AD$15:$AM$139,,MATCH(F662,Калькуляция!$AD$1:$AM$1,0)),Калькуляция!$A$15:$A$139,A662,Калькуляция!$M$15:$M$139,"Операционные расходы"),0)</f>
        <v>21533.43</v>
      </c>
      <c r="N662" s="476">
        <f>IFERROR(SUMIFS(INDEX(Сценарии!$T$15:$AP$35,,MATCH($F662&amp;"Принято органом регулирования",Сценарии!$T$3:$AP$3,0)),Сценарии!$A$15:$A$35,$A662,Сценарии!$M$15:$M$35,"Индекс эффективности операционных расходов"),0)</f>
        <v>0</v>
      </c>
      <c r="O662" s="327"/>
      <c r="P662" s="476">
        <f>IFERROR(SUMIFS(INDEX(Баланс!$AC$16:$AL$67,,MATCH($F662&amp;"Принято органом регулирования",Баланс!$AC$3:$AL$3,0)),Баланс!$A$16:$A$67,$A662,Баланс!$M$16:$M$67,"Уровень потерь воды"),0)</f>
        <v>0</v>
      </c>
      <c r="Q662" s="476">
        <f>IFERROR(SUMIFS(INDEX(ЭЭ!$AC$15:$AL$27,,MATCH($F662&amp;"Принято органом регулирования",ЭЭ!$AC$3:$AL$3,0)),ЭЭ!$A$15:$A$27,$A662,ЭЭ!$M$15:$M$27,"Удельный расход электроэнергии"),0)</f>
        <v>0</v>
      </c>
    </row>
    <row r="663" spans="1:17" s="111" customFormat="1" ht="15" customHeight="1" outlineLevel="1">
      <c r="A663" s="111" t="str">
        <f t="shared" si="132"/>
        <v>1</v>
      </c>
      <c r="F663" s="111">
        <f>first_year+8</f>
        <v>2031</v>
      </c>
      <c r="G663" s="111" t="b">
        <f t="shared" si="133"/>
        <v>0</v>
      </c>
      <c r="L663" s="326" t="str">
        <f t="shared" si="134"/>
        <v>2031 год</v>
      </c>
      <c r="M663" s="327">
        <f>IFERROR(SUMIFS(INDEX(Калькуляция!$AD$15:$AM$139,,MATCH(F663,Калькуляция!$AD$1:$AM$1,0)),Калькуляция!$A$15:$A$139,A663,Калькуляция!$M$15:$M$139,"Операционные расходы"),0)</f>
        <v>21533.43</v>
      </c>
      <c r="N663" s="476">
        <f>IFERROR(SUMIFS(INDEX(Сценарии!$T$15:$AP$35,,MATCH($F663&amp;"Принято органом регулирования",Сценарии!$T$3:$AP$3,0)),Сценарии!$A$15:$A$35,$A663,Сценарии!$M$15:$M$35,"Индекс эффективности операционных расходов"),0)</f>
        <v>0</v>
      </c>
      <c r="O663" s="327"/>
      <c r="P663" s="476">
        <f>IFERROR(SUMIFS(INDEX(Баланс!$AC$16:$AL$67,,MATCH($F663&amp;"Принято органом регулирования",Баланс!$AC$3:$AL$3,0)),Баланс!$A$16:$A$67,$A663,Баланс!$M$16:$M$67,"Уровень потерь воды"),0)</f>
        <v>0</v>
      </c>
      <c r="Q663" s="476">
        <f>IFERROR(SUMIFS(INDEX(ЭЭ!$AC$15:$AL$27,,MATCH($F663&amp;"Принято органом регулирования",ЭЭ!$AC$3:$AL$3,0)),ЭЭ!$A$15:$A$27,$A663,ЭЭ!$M$15:$M$27,"Удельный расход электроэнергии"),0)</f>
        <v>0</v>
      </c>
    </row>
    <row r="664" spans="1:17" s="111" customFormat="1" ht="15" customHeight="1" outlineLevel="1">
      <c r="A664" s="111" t="str">
        <f t="shared" si="132"/>
        <v>1</v>
      </c>
      <c r="F664" s="111">
        <f>first_year+9</f>
        <v>2032</v>
      </c>
      <c r="G664" s="111" t="b">
        <f t="shared" si="133"/>
        <v>0</v>
      </c>
      <c r="L664" s="326" t="str">
        <f t="shared" si="134"/>
        <v>2032 год</v>
      </c>
      <c r="M664" s="327">
        <f>IFERROR(SUMIFS(INDEX(Калькуляция!$AD$15:$AM$139,,MATCH(F664,Калькуляция!$AD$1:$AM$1,0)),Калькуляция!$A$15:$A$139,A664,Калькуляция!$M$15:$M$139,"Операционные расходы"),0)</f>
        <v>21533.43</v>
      </c>
      <c r="N664" s="476">
        <f>IFERROR(SUMIFS(INDEX(Сценарии!$T$15:$AP$35,,MATCH($F664&amp;"Принято органом регулирования",Сценарии!$T$3:$AP$3,0)),Сценарии!$A$15:$A$35,$A664,Сценарии!$M$15:$M$35,"Индекс эффективности операционных расходов"),0)</f>
        <v>0</v>
      </c>
      <c r="O664" s="327"/>
      <c r="P664" s="476">
        <f>IFERROR(SUMIFS(INDEX(Баланс!$AC$16:$AL$67,,MATCH($F664&amp;"Принято органом регулирования",Баланс!$AC$3:$AL$3,0)),Баланс!$A$16:$A$67,$A664,Баланс!$M$16:$M$67,"Уровень потерь воды"),0)</f>
        <v>0</v>
      </c>
      <c r="Q664" s="476">
        <f>IFERROR(SUMIFS(INDEX(ЭЭ!$AC$15:$AL$27,,MATCH($F664&amp;"Принято органом регулирования",ЭЭ!$AC$3:$AL$3,0)),ЭЭ!$A$15:$A$27,$A664,ЭЭ!$M$15:$M$27,"Удельный расход электроэнергии"),0)</f>
        <v>0</v>
      </c>
    </row>
    <row r="665" spans="1:17">
      <c r="A665" s="146" t="s">
        <v>1346</v>
      </c>
    </row>
    <row r="666" spans="1:17" s="102" customFormat="1" ht="15" customHeight="1">
      <c r="A666" s="183" t="s">
        <v>18</v>
      </c>
      <c r="L666" s="279" t="str">
        <f>INDEX('Общие сведения'!$J$113:$J$146,MATCH($A666,'Общие сведения'!$D$113:$D$146,0))</f>
        <v>Тариф 1 (Водоснабжение) - тариф на техническую воду (нет)</v>
      </c>
      <c r="M666" s="280"/>
      <c r="N666" s="280"/>
      <c r="O666" s="280"/>
      <c r="P666" s="280"/>
      <c r="Q666" s="280"/>
    </row>
    <row r="667" spans="1:17" s="111" customFormat="1" ht="15" customHeight="1" outlineLevel="1">
      <c r="A667" s="111" t="str">
        <f t="shared" ref="A667:A676" si="135">A666</f>
        <v>1</v>
      </c>
      <c r="F667" s="111">
        <f>first_year</f>
        <v>2023</v>
      </c>
      <c r="G667" s="111" t="b">
        <f t="shared" ref="G667:G676" si="136">F667&lt;first_year+PERIOD_LENGTH</f>
        <v>1</v>
      </c>
      <c r="L667" s="326" t="str">
        <f>F667&amp; " год"</f>
        <v>2023 год</v>
      </c>
      <c r="M667" s="327">
        <f>IFERROR(SUMIFS(INDEX(Калькуляция!$AD$15:$AM$139,,MATCH(F667,Калькуляция!$AD$1:$AM$1,0)),Калькуляция!$A$15:$A$139,A667,Калькуляция!$M$15:$M$139,"Операционные расходы"),0)</f>
        <v>0</v>
      </c>
      <c r="N667" s="476">
        <f>IFERROR(SUMIFS(INDEX(Сценарии!$T$15:$AP$35,,MATCH($F667&amp;"Принято органом регулирования",Сценарии!$T$3:$AP$3,0)),Сценарии!$A$15:$A$35,$A667,Сценарии!$M$15:$M$35,"Индекс эффективности операционных расходов"),0)</f>
        <v>0</v>
      </c>
      <c r="O667" s="539"/>
      <c r="P667" s="476">
        <f>IFERROR(SUMIFS(INDEX(Баланс!$AC$16:$AL$67,,MATCH($F667&amp;"Принято органом регулирования",Баланс!$AC$3:$AL$3,0)),Баланс!$A$16:$A$67,$A667,Баланс!$M$16:$M$67,"Уровень потерь воды"),0)</f>
        <v>0</v>
      </c>
      <c r="Q667" s="476">
        <f>IFERROR(SUMIFS(INDEX(ЭЭ!$AC$15:$AL$27,,MATCH($F667&amp;"Принято органом регулирования",ЭЭ!$AC$3:$AL$3,0)),ЭЭ!$A$15:$A$27,$A667,ЭЭ!$M$15:$M$27,"Удельный расход электроэнергии"),0)</f>
        <v>0</v>
      </c>
    </row>
    <row r="668" spans="1:17" s="111" customFormat="1" ht="15" customHeight="1" outlineLevel="1">
      <c r="A668" s="111" t="str">
        <f t="shared" si="135"/>
        <v>1</v>
      </c>
      <c r="F668" s="111">
        <f>first_year+1</f>
        <v>2024</v>
      </c>
      <c r="G668" s="111" t="b">
        <f t="shared" si="136"/>
        <v>1</v>
      </c>
      <c r="L668" s="326" t="str">
        <f t="shared" ref="L668:L676" si="137">F668&amp; " год"</f>
        <v>2024 год</v>
      </c>
      <c r="M668" s="327">
        <f>IFERROR(SUMIFS(INDEX(Калькуляция!$AD$15:$AM$139,,MATCH(F668,Калькуляция!$AD$1:$AM$1,0)),Калькуляция!$A$15:$A$139,A668,Калькуляция!$M$15:$M$139,"Операционные расходы"),0)</f>
        <v>21533.43</v>
      </c>
      <c r="N668" s="476">
        <f>IFERROR(SUMIFS(INDEX(Сценарии!$T$15:$AP$35,,MATCH($F668&amp;"Принято органом регулирования",Сценарии!$T$3:$AP$3,0)),Сценарии!$A$15:$A$35,$A668,Сценарии!$M$15:$M$35,"Индекс эффективности операционных расходов"),0)</f>
        <v>1</v>
      </c>
      <c r="O668" s="539"/>
      <c r="P668" s="476">
        <f>IFERROR(SUMIFS(INDEX(Баланс!$AC$16:$AL$67,,MATCH($F668&amp;"Принято органом регулирования",Баланс!$AC$3:$AL$3,0)),Баланс!$A$16:$A$67,$A668,Баланс!$M$16:$M$67,"Уровень потерь воды"),0)</f>
        <v>3.4501450995602618</v>
      </c>
      <c r="Q668" s="476">
        <f>IFERROR(SUMIFS(INDEX(ЭЭ!$AC$15:$AL$27,,MATCH($F668&amp;"Принято органом регулирования",ЭЭ!$AC$3:$AL$3,0)),ЭЭ!$A$15:$A$27,$A668,ЭЭ!$M$15:$M$27,"Удельный расход электроэнергии"),0)</f>
        <v>0.75999925230500354</v>
      </c>
    </row>
    <row r="669" spans="1:17" s="111" customFormat="1" ht="15" customHeight="1" outlineLevel="1">
      <c r="A669" s="111" t="str">
        <f t="shared" si="135"/>
        <v>1</v>
      </c>
      <c r="F669" s="111">
        <f>first_year+2</f>
        <v>2025</v>
      </c>
      <c r="G669" s="111" t="b">
        <f t="shared" si="136"/>
        <v>1</v>
      </c>
      <c r="L669" s="326" t="str">
        <f t="shared" si="137"/>
        <v>2025 год</v>
      </c>
      <c r="M669" s="327">
        <f>IFERROR(SUMIFS(INDEX(Калькуляция!$AD$15:$AM$139,,MATCH(F669,Калькуляция!$AD$1:$AM$1,0)),Калькуляция!$A$15:$A$139,A669,Калькуляция!$M$15:$M$139,"Операционные расходы"),0)</f>
        <v>21533.43</v>
      </c>
      <c r="N669" s="476">
        <f>IFERROR(SUMIFS(INDEX(Сценарии!$T$15:$AP$35,,MATCH($F669&amp;"Принято органом регулирования",Сценарии!$T$3:$AP$3,0)),Сценарии!$A$15:$A$35,$A669,Сценарии!$M$15:$M$35,"Индекс эффективности операционных расходов"),0)</f>
        <v>0</v>
      </c>
      <c r="O669" s="539"/>
      <c r="P669" s="476">
        <f>IFERROR(SUMIFS(INDEX(Баланс!$AC$16:$AL$67,,MATCH($F669&amp;"Принято органом регулирования",Баланс!$AC$3:$AL$3,0)),Баланс!$A$16:$A$67,$A669,Баланс!$M$16:$M$67,"Уровень потерь воды"),0)</f>
        <v>0</v>
      </c>
      <c r="Q669" s="476">
        <f>IFERROR(SUMIFS(INDEX(ЭЭ!$AC$15:$AL$27,,MATCH($F669&amp;"Принято органом регулирования",ЭЭ!$AC$3:$AL$3,0)),ЭЭ!$A$15:$A$27,$A669,ЭЭ!$M$15:$M$27,"Удельный расход электроэнергии"),0)</f>
        <v>0.76</v>
      </c>
    </row>
    <row r="670" spans="1:17" s="111" customFormat="1" ht="15" customHeight="1" outlineLevel="1">
      <c r="A670" s="111" t="str">
        <f t="shared" si="135"/>
        <v>1</v>
      </c>
      <c r="F670" s="111">
        <f>first_year+3</f>
        <v>2026</v>
      </c>
      <c r="G670" s="111" t="b">
        <f t="shared" si="136"/>
        <v>1</v>
      </c>
      <c r="L670" s="326" t="str">
        <f t="shared" si="137"/>
        <v>2026 год</v>
      </c>
      <c r="M670" s="327">
        <f>IFERROR(SUMIFS(INDEX(Калькуляция!$AD$15:$AM$139,,MATCH(F670,Калькуляция!$AD$1:$AM$1,0)),Калькуляция!$A$15:$A$139,A670,Калькуляция!$M$15:$M$139,"Операционные расходы"),0)</f>
        <v>21533.43</v>
      </c>
      <c r="N670" s="476">
        <f>IFERROR(SUMIFS(INDEX(Сценарии!$T$15:$AP$35,,MATCH($F670&amp;"Принято органом регулирования",Сценарии!$T$3:$AP$3,0)),Сценарии!$A$15:$A$35,$A670,Сценарии!$M$15:$M$35,"Индекс эффективности операционных расходов"),0)</f>
        <v>0</v>
      </c>
      <c r="O670" s="539"/>
      <c r="P670" s="476">
        <f>IFERROR(SUMIFS(INDEX(Баланс!$AC$16:$AL$67,,MATCH($F670&amp;"Принято органом регулирования",Баланс!$AC$3:$AL$3,0)),Баланс!$A$16:$A$67,$A670,Баланс!$M$16:$M$67,"Уровень потерь воды"),0)</f>
        <v>0</v>
      </c>
      <c r="Q670" s="476">
        <f>IFERROR(SUMIFS(INDEX(ЭЭ!$AC$15:$AL$27,,MATCH($F670&amp;"Принято органом регулирования",ЭЭ!$AC$3:$AL$3,0)),ЭЭ!$A$15:$A$27,$A670,ЭЭ!$M$15:$M$27,"Удельный расход электроэнергии"),0)</f>
        <v>0.76</v>
      </c>
    </row>
    <row r="671" spans="1:17" s="111" customFormat="1" ht="15" customHeight="1" outlineLevel="1">
      <c r="A671" s="111" t="str">
        <f t="shared" si="135"/>
        <v>1</v>
      </c>
      <c r="F671" s="111">
        <f>first_year+4</f>
        <v>2027</v>
      </c>
      <c r="G671" s="111" t="b">
        <f t="shared" si="136"/>
        <v>1</v>
      </c>
      <c r="L671" s="326" t="str">
        <f t="shared" si="137"/>
        <v>2027 год</v>
      </c>
      <c r="M671" s="327">
        <f>IFERROR(SUMIFS(INDEX(Калькуляция!$AD$15:$AM$139,,MATCH(F671,Калькуляция!$AD$1:$AM$1,0)),Калькуляция!$A$15:$A$139,A671,Калькуляция!$M$15:$M$139,"Операционные расходы"),0)</f>
        <v>21533.43</v>
      </c>
      <c r="N671" s="476">
        <f>IFERROR(SUMIFS(INDEX(Сценарии!$T$15:$AP$35,,MATCH($F671&amp;"Принято органом регулирования",Сценарии!$T$3:$AP$3,0)),Сценарии!$A$15:$A$35,$A671,Сценарии!$M$15:$M$35,"Индекс эффективности операционных расходов"),0)</f>
        <v>0</v>
      </c>
      <c r="O671" s="539"/>
      <c r="P671" s="476">
        <f>IFERROR(SUMIFS(INDEX(Баланс!$AC$16:$AL$67,,MATCH($F671&amp;"Принято органом регулирования",Баланс!$AC$3:$AL$3,0)),Баланс!$A$16:$A$67,$A671,Баланс!$M$16:$M$67,"Уровень потерь воды"),0)</f>
        <v>0</v>
      </c>
      <c r="Q671" s="476">
        <f>IFERROR(SUMIFS(INDEX(ЭЭ!$AC$15:$AL$27,,MATCH($F671&amp;"Принято органом регулирования",ЭЭ!$AC$3:$AL$3,0)),ЭЭ!$A$15:$A$27,$A671,ЭЭ!$M$15:$M$27,"Удельный расход электроэнергии"),0)</f>
        <v>0.76</v>
      </c>
    </row>
    <row r="672" spans="1:17" s="111" customFormat="1" ht="15" customHeight="1" outlineLevel="1">
      <c r="A672" s="111" t="str">
        <f t="shared" si="135"/>
        <v>1</v>
      </c>
      <c r="F672" s="111">
        <f>first_year+5</f>
        <v>2028</v>
      </c>
      <c r="G672" s="111" t="b">
        <f t="shared" si="136"/>
        <v>0</v>
      </c>
      <c r="L672" s="326" t="str">
        <f t="shared" si="137"/>
        <v>2028 год</v>
      </c>
      <c r="M672" s="327">
        <f>IFERROR(SUMIFS(INDEX(Калькуляция!$AD$15:$AM$139,,MATCH(F672,Калькуляция!$AD$1:$AM$1,0)),Калькуляция!$A$15:$A$139,A672,Калькуляция!$M$15:$M$139,"Операционные расходы"),0)</f>
        <v>21533.43</v>
      </c>
      <c r="N672" s="476">
        <f>IFERROR(SUMIFS(INDEX(Сценарии!$T$15:$AP$35,,MATCH($F672&amp;"Принято органом регулирования",Сценарии!$T$3:$AP$3,0)),Сценарии!$A$15:$A$35,$A672,Сценарии!$M$15:$M$35,"Индекс эффективности операционных расходов"),0)</f>
        <v>0</v>
      </c>
      <c r="O672" s="539"/>
      <c r="P672" s="476">
        <f>IFERROR(SUMIFS(INDEX(Баланс!$AC$16:$AL$67,,MATCH($F672&amp;"Принято органом регулирования",Баланс!$AC$3:$AL$3,0)),Баланс!$A$16:$A$67,$A672,Баланс!$M$16:$M$67,"Уровень потерь воды"),0)</f>
        <v>0</v>
      </c>
      <c r="Q672" s="476">
        <f>IFERROR(SUMIFS(INDEX(ЭЭ!$AC$15:$AL$27,,MATCH($F672&amp;"Принято органом регулирования",ЭЭ!$AC$3:$AL$3,0)),ЭЭ!$A$15:$A$27,$A672,ЭЭ!$M$15:$M$27,"Удельный расход электроэнергии"),0)</f>
        <v>0</v>
      </c>
    </row>
    <row r="673" spans="1:27" s="111" customFormat="1" ht="15" customHeight="1" outlineLevel="1">
      <c r="A673" s="111" t="str">
        <f t="shared" si="135"/>
        <v>1</v>
      </c>
      <c r="F673" s="111">
        <f>first_year+6</f>
        <v>2029</v>
      </c>
      <c r="G673" s="111" t="b">
        <f t="shared" si="136"/>
        <v>0</v>
      </c>
      <c r="L673" s="326" t="str">
        <f t="shared" si="137"/>
        <v>2029 год</v>
      </c>
      <c r="M673" s="327">
        <f>IFERROR(SUMIFS(INDEX(Калькуляция!$AD$15:$AM$139,,MATCH(F673,Калькуляция!$AD$1:$AM$1,0)),Калькуляция!$A$15:$A$139,A673,Калькуляция!$M$15:$M$139,"Операционные расходы"),0)</f>
        <v>21533.43</v>
      </c>
      <c r="N673" s="476">
        <f>IFERROR(SUMIFS(INDEX(Сценарии!$T$15:$AP$35,,MATCH($F673&amp;"Принято органом регулирования",Сценарии!$T$3:$AP$3,0)),Сценарии!$A$15:$A$35,$A673,Сценарии!$M$15:$M$35,"Индекс эффективности операционных расходов"),0)</f>
        <v>0</v>
      </c>
      <c r="O673" s="539"/>
      <c r="P673" s="476">
        <f>IFERROR(SUMIFS(INDEX(Баланс!$AC$16:$AL$67,,MATCH($F673&amp;"Принято органом регулирования",Баланс!$AC$3:$AL$3,0)),Баланс!$A$16:$A$67,$A673,Баланс!$M$16:$M$67,"Уровень потерь воды"),0)</f>
        <v>0</v>
      </c>
      <c r="Q673" s="476">
        <f>IFERROR(SUMIFS(INDEX(ЭЭ!$AC$15:$AL$27,,MATCH($F673&amp;"Принято органом регулирования",ЭЭ!$AC$3:$AL$3,0)),ЭЭ!$A$15:$A$27,$A673,ЭЭ!$M$15:$M$27,"Удельный расход электроэнергии"),0)</f>
        <v>0</v>
      </c>
    </row>
    <row r="674" spans="1:27" s="111" customFormat="1" ht="15" customHeight="1" outlineLevel="1">
      <c r="A674" s="111" t="str">
        <f t="shared" si="135"/>
        <v>1</v>
      </c>
      <c r="F674" s="111">
        <f>first_year+7</f>
        <v>2030</v>
      </c>
      <c r="G674" s="111" t="b">
        <f t="shared" si="136"/>
        <v>0</v>
      </c>
      <c r="L674" s="326" t="str">
        <f t="shared" si="137"/>
        <v>2030 год</v>
      </c>
      <c r="M674" s="327">
        <f>IFERROR(SUMIFS(INDEX(Калькуляция!$AD$15:$AM$139,,MATCH(F674,Калькуляция!$AD$1:$AM$1,0)),Калькуляция!$A$15:$A$139,A674,Калькуляция!$M$15:$M$139,"Операционные расходы"),0)</f>
        <v>21533.43</v>
      </c>
      <c r="N674" s="476">
        <f>IFERROR(SUMIFS(INDEX(Сценарии!$T$15:$AP$35,,MATCH($F674&amp;"Принято органом регулирования",Сценарии!$T$3:$AP$3,0)),Сценарии!$A$15:$A$35,$A674,Сценарии!$M$15:$M$35,"Индекс эффективности операционных расходов"),0)</f>
        <v>0</v>
      </c>
      <c r="O674" s="539"/>
      <c r="P674" s="476">
        <f>IFERROR(SUMIFS(INDEX(Баланс!$AC$16:$AL$67,,MATCH($F674&amp;"Принято органом регулирования",Баланс!$AC$3:$AL$3,0)),Баланс!$A$16:$A$67,$A674,Баланс!$M$16:$M$67,"Уровень потерь воды"),0)</f>
        <v>0</v>
      </c>
      <c r="Q674" s="476">
        <f>IFERROR(SUMIFS(INDEX(ЭЭ!$AC$15:$AL$27,,MATCH($F674&amp;"Принято органом регулирования",ЭЭ!$AC$3:$AL$3,0)),ЭЭ!$A$15:$A$27,$A674,ЭЭ!$M$15:$M$27,"Удельный расход электроэнергии"),0)</f>
        <v>0</v>
      </c>
    </row>
    <row r="675" spans="1:27" s="111" customFormat="1" ht="15" customHeight="1" outlineLevel="1">
      <c r="A675" s="111" t="str">
        <f t="shared" si="135"/>
        <v>1</v>
      </c>
      <c r="F675" s="111">
        <f>first_year+8</f>
        <v>2031</v>
      </c>
      <c r="G675" s="111" t="b">
        <f t="shared" si="136"/>
        <v>0</v>
      </c>
      <c r="L675" s="326" t="str">
        <f t="shared" si="137"/>
        <v>2031 год</v>
      </c>
      <c r="M675" s="327">
        <f>IFERROR(SUMIFS(INDEX(Калькуляция!$AD$15:$AM$139,,MATCH(F675,Калькуляция!$AD$1:$AM$1,0)),Калькуляция!$A$15:$A$139,A675,Калькуляция!$M$15:$M$139,"Операционные расходы"),0)</f>
        <v>21533.43</v>
      </c>
      <c r="N675" s="476">
        <f>IFERROR(SUMIFS(INDEX(Сценарии!$T$15:$AP$35,,MATCH($F675&amp;"Принято органом регулирования",Сценарии!$T$3:$AP$3,0)),Сценарии!$A$15:$A$35,$A675,Сценарии!$M$15:$M$35,"Индекс эффективности операционных расходов"),0)</f>
        <v>0</v>
      </c>
      <c r="O675" s="539"/>
      <c r="P675" s="476">
        <f>IFERROR(SUMIFS(INDEX(Баланс!$AC$16:$AL$67,,MATCH($F675&amp;"Принято органом регулирования",Баланс!$AC$3:$AL$3,0)),Баланс!$A$16:$A$67,$A675,Баланс!$M$16:$M$67,"Уровень потерь воды"),0)</f>
        <v>0</v>
      </c>
      <c r="Q675" s="476">
        <f>IFERROR(SUMIFS(INDEX(ЭЭ!$AC$15:$AL$27,,MATCH($F675&amp;"Принято органом регулирования",ЭЭ!$AC$3:$AL$3,0)),ЭЭ!$A$15:$A$27,$A675,ЭЭ!$M$15:$M$27,"Удельный расход электроэнергии"),0)</f>
        <v>0</v>
      </c>
    </row>
    <row r="676" spans="1:27" s="111" customFormat="1" ht="15" customHeight="1" outlineLevel="1">
      <c r="A676" s="111" t="str">
        <f t="shared" si="135"/>
        <v>1</v>
      </c>
      <c r="F676" s="111">
        <f>first_year+9</f>
        <v>2032</v>
      </c>
      <c r="G676" s="111" t="b">
        <f t="shared" si="136"/>
        <v>0</v>
      </c>
      <c r="L676" s="326" t="str">
        <f t="shared" si="137"/>
        <v>2032 год</v>
      </c>
      <c r="M676" s="327">
        <f>IFERROR(SUMIFS(INDEX(Калькуляция!$AD$15:$AM$139,,MATCH(F676,Калькуляция!$AD$1:$AM$1,0)),Калькуляция!$A$15:$A$139,A676,Калькуляция!$M$15:$M$139,"Операционные расходы"),0)</f>
        <v>21533.43</v>
      </c>
      <c r="N676" s="476">
        <f>IFERROR(SUMIFS(INDEX(Сценарии!$T$15:$AP$35,,MATCH($F676&amp;"Принято органом регулирования",Сценарии!$T$3:$AP$3,0)),Сценарии!$A$15:$A$35,$A676,Сценарии!$M$15:$M$35,"Индекс эффективности операционных расходов"),0)</f>
        <v>0</v>
      </c>
      <c r="O676" s="539"/>
      <c r="P676" s="476">
        <f>IFERROR(SUMIFS(INDEX(Баланс!$AC$16:$AL$67,,MATCH($F676&amp;"Принято органом регулирования",Баланс!$AC$3:$AL$3,0)),Баланс!$A$16:$A$67,$A676,Баланс!$M$16:$M$67,"Уровень потерь воды"),0)</f>
        <v>0</v>
      </c>
      <c r="Q676" s="476">
        <f>IFERROR(SUMIFS(INDEX(ЭЭ!$AC$15:$AL$27,,MATCH($F676&amp;"Принято органом регулирования",ЭЭ!$AC$3:$AL$3,0)),ЭЭ!$A$15:$A$27,$A676,ЭЭ!$M$15:$M$27,"Удельный расход электроэнергии"),0)</f>
        <v>0</v>
      </c>
    </row>
    <row r="678" spans="1:27" s="143" customFormat="1" ht="30" customHeight="1">
      <c r="A678" s="142" t="s">
        <v>1223</v>
      </c>
      <c r="M678" s="144"/>
      <c r="N678" s="144"/>
      <c r="O678" s="144"/>
      <c r="P678" s="144"/>
      <c r="AA678" s="145"/>
    </row>
    <row r="679" spans="1:27">
      <c r="A679" s="146" t="s">
        <v>1224</v>
      </c>
    </row>
    <row r="680" spans="1:27" s="102" customFormat="1" ht="15" customHeight="1">
      <c r="A680" s="183" t="s">
        <v>18</v>
      </c>
      <c r="L680" s="279" t="str">
        <f>INDEX('Общие сведения'!$J$113:$J$146,MATCH($A680,'Общие сведения'!$D$113:$D$146,0))</f>
        <v>Тариф 1 (Водоснабжение) - тариф на техническую воду (нет)</v>
      </c>
      <c r="M680" s="280"/>
      <c r="N680" s="280"/>
      <c r="O680" s="280"/>
      <c r="P680" s="280"/>
      <c r="Q680" s="280"/>
    </row>
    <row r="681" spans="1:27" s="111" customFormat="1" ht="15" customHeight="1" outlineLevel="1">
      <c r="A681" s="111" t="str">
        <f>A680</f>
        <v>1</v>
      </c>
      <c r="L681" s="343" t="s">
        <v>371</v>
      </c>
      <c r="M681" s="459"/>
      <c r="N681" s="459"/>
      <c r="O681" s="459"/>
      <c r="P681" s="459"/>
      <c r="Q681" s="460"/>
    </row>
    <row r="682" spans="1:27">
      <c r="A682" s="146" t="s">
        <v>1225</v>
      </c>
    </row>
    <row r="683" spans="1:27" s="102" customFormat="1" ht="15" customHeight="1" outlineLevel="1">
      <c r="A683" s="570" t="str">
        <f ca="1">OFFSET(B683,-1,-1)</f>
        <v>et_List18_block</v>
      </c>
      <c r="K683" s="638" t="s">
        <v>283</v>
      </c>
      <c r="L683" s="637"/>
      <c r="M683" s="637"/>
      <c r="N683" s="637"/>
      <c r="O683" s="637"/>
      <c r="P683" s="637"/>
      <c r="Q683" s="637"/>
    </row>
    <row r="684" spans="1:27" s="111" customFormat="1" ht="15" customHeight="1" outlineLevel="1">
      <c r="A684" s="111" t="str">
        <f t="shared" ref="A684:A693" ca="1" si="138">A683</f>
        <v>et_List18_block</v>
      </c>
      <c r="F684" s="111">
        <f>first_year</f>
        <v>2023</v>
      </c>
      <c r="G684" s="111" t="b">
        <f t="shared" ref="G684:G693" si="139">F684&lt;first_year+PERIOD_LENGTH</f>
        <v>1</v>
      </c>
      <c r="K684" s="638"/>
      <c r="L684" s="457" t="str">
        <f>F684&amp; " год"</f>
        <v>2023 год</v>
      </c>
      <c r="M684" s="458"/>
      <c r="N684" s="458"/>
      <c r="O684" s="458"/>
      <c r="P684" s="458"/>
      <c r="Q684" s="477"/>
    </row>
    <row r="685" spans="1:27" s="111" customFormat="1" ht="15" customHeight="1" outlineLevel="1">
      <c r="A685" s="111" t="str">
        <f t="shared" ca="1" si="138"/>
        <v>et_List18_block</v>
      </c>
      <c r="F685" s="111">
        <f>first_year+1</f>
        <v>2024</v>
      </c>
      <c r="G685" s="111" t="b">
        <f t="shared" si="139"/>
        <v>1</v>
      </c>
      <c r="K685" s="638"/>
      <c r="L685" s="326" t="str">
        <f t="shared" ref="L685:L693" si="140">F685&amp; " год"</f>
        <v>2024 год</v>
      </c>
      <c r="M685" s="327"/>
      <c r="N685" s="327"/>
      <c r="O685" s="327"/>
      <c r="P685" s="327"/>
      <c r="Q685" s="476"/>
    </row>
    <row r="686" spans="1:27" s="111" customFormat="1" ht="15" customHeight="1" outlineLevel="1">
      <c r="A686" s="111" t="str">
        <f t="shared" ca="1" si="138"/>
        <v>et_List18_block</v>
      </c>
      <c r="F686" s="111">
        <f>first_year+2</f>
        <v>2025</v>
      </c>
      <c r="G686" s="111" t="b">
        <f t="shared" si="139"/>
        <v>1</v>
      </c>
      <c r="K686" s="638"/>
      <c r="L686" s="326" t="str">
        <f t="shared" si="140"/>
        <v>2025 год</v>
      </c>
      <c r="M686" s="327"/>
      <c r="N686" s="327"/>
      <c r="O686" s="327"/>
      <c r="P686" s="327"/>
      <c r="Q686" s="476"/>
    </row>
    <row r="687" spans="1:27" s="111" customFormat="1" ht="15" customHeight="1" outlineLevel="1">
      <c r="A687" s="111" t="str">
        <f t="shared" ca="1" si="138"/>
        <v>et_List18_block</v>
      </c>
      <c r="F687" s="111">
        <f>first_year+3</f>
        <v>2026</v>
      </c>
      <c r="G687" s="111" t="b">
        <f t="shared" si="139"/>
        <v>1</v>
      </c>
      <c r="K687" s="638"/>
      <c r="L687" s="326" t="str">
        <f t="shared" si="140"/>
        <v>2026 год</v>
      </c>
      <c r="M687" s="327"/>
      <c r="N687" s="327"/>
      <c r="O687" s="327"/>
      <c r="P687" s="327"/>
      <c r="Q687" s="476"/>
    </row>
    <row r="688" spans="1:27" s="111" customFormat="1" ht="15" customHeight="1" outlineLevel="1">
      <c r="A688" s="111" t="str">
        <f t="shared" ca="1" si="138"/>
        <v>et_List18_block</v>
      </c>
      <c r="F688" s="111">
        <f>first_year+4</f>
        <v>2027</v>
      </c>
      <c r="G688" s="111" t="b">
        <f t="shared" si="139"/>
        <v>1</v>
      </c>
      <c r="K688" s="638"/>
      <c r="L688" s="326" t="str">
        <f t="shared" si="140"/>
        <v>2027 год</v>
      </c>
      <c r="M688" s="327"/>
      <c r="N688" s="327"/>
      <c r="O688" s="327"/>
      <c r="P688" s="327"/>
      <c r="Q688" s="476"/>
    </row>
    <row r="689" spans="1:17" s="111" customFormat="1" ht="15" customHeight="1" outlineLevel="1">
      <c r="A689" s="111" t="str">
        <f t="shared" ca="1" si="138"/>
        <v>et_List18_block</v>
      </c>
      <c r="F689" s="111">
        <f>first_year+5</f>
        <v>2028</v>
      </c>
      <c r="G689" s="111" t="b">
        <f t="shared" si="139"/>
        <v>0</v>
      </c>
      <c r="K689" s="638"/>
      <c r="L689" s="326" t="str">
        <f t="shared" si="140"/>
        <v>2028 год</v>
      </c>
      <c r="M689" s="327"/>
      <c r="N689" s="327"/>
      <c r="O689" s="327"/>
      <c r="P689" s="327"/>
      <c r="Q689" s="476"/>
    </row>
    <row r="690" spans="1:17" s="111" customFormat="1" ht="15" customHeight="1" outlineLevel="1">
      <c r="A690" s="111" t="str">
        <f t="shared" ca="1" si="138"/>
        <v>et_List18_block</v>
      </c>
      <c r="F690" s="111">
        <f>first_year+6</f>
        <v>2029</v>
      </c>
      <c r="G690" s="111" t="b">
        <f t="shared" si="139"/>
        <v>0</v>
      </c>
      <c r="K690" s="638"/>
      <c r="L690" s="326" t="str">
        <f t="shared" si="140"/>
        <v>2029 год</v>
      </c>
      <c r="M690" s="327"/>
      <c r="N690" s="327"/>
      <c r="O690" s="327"/>
      <c r="P690" s="327"/>
      <c r="Q690" s="476"/>
    </row>
    <row r="691" spans="1:17" s="111" customFormat="1" ht="15" customHeight="1" outlineLevel="1">
      <c r="A691" s="111" t="str">
        <f t="shared" ca="1" si="138"/>
        <v>et_List18_block</v>
      </c>
      <c r="F691" s="111">
        <f>first_year+7</f>
        <v>2030</v>
      </c>
      <c r="G691" s="111" t="b">
        <f t="shared" si="139"/>
        <v>0</v>
      </c>
      <c r="K691" s="638"/>
      <c r="L691" s="326" t="str">
        <f t="shared" si="140"/>
        <v>2030 год</v>
      </c>
      <c r="M691" s="327"/>
      <c r="N691" s="327"/>
      <c r="O691" s="327"/>
      <c r="P691" s="327"/>
      <c r="Q691" s="476"/>
    </row>
    <row r="692" spans="1:17" s="111" customFormat="1" ht="15" customHeight="1" outlineLevel="1">
      <c r="A692" s="111" t="str">
        <f t="shared" ca="1" si="138"/>
        <v>et_List18_block</v>
      </c>
      <c r="F692" s="111">
        <f>first_year+8</f>
        <v>2031</v>
      </c>
      <c r="G692" s="111" t="b">
        <f t="shared" si="139"/>
        <v>0</v>
      </c>
      <c r="K692" s="638"/>
      <c r="L692" s="326" t="str">
        <f t="shared" si="140"/>
        <v>2031 год</v>
      </c>
      <c r="M692" s="327"/>
      <c r="N692" s="327"/>
      <c r="O692" s="327"/>
      <c r="P692" s="327"/>
      <c r="Q692" s="476"/>
    </row>
    <row r="693" spans="1:17" s="111" customFormat="1" ht="15" customHeight="1" outlineLevel="1">
      <c r="A693" s="111" t="str">
        <f t="shared" ca="1" si="138"/>
        <v>et_List18_block</v>
      </c>
      <c r="F693" s="111">
        <f>first_year+9</f>
        <v>2032</v>
      </c>
      <c r="G693" s="111" t="b">
        <f t="shared" si="139"/>
        <v>0</v>
      </c>
      <c r="K693" s="638"/>
      <c r="L693" s="326" t="str">
        <f t="shared" si="140"/>
        <v>2032 год</v>
      </c>
      <c r="M693" s="327"/>
      <c r="N693" s="327"/>
      <c r="O693" s="327"/>
      <c r="P693" s="327"/>
      <c r="Q693" s="476"/>
    </row>
  </sheetData>
  <sheetProtection formatColumns="0" formatRows="0"/>
  <mergeCells count="45">
    <mergeCell ref="J348:J350"/>
    <mergeCell ref="J352:J354"/>
    <mergeCell ref="J247:J253"/>
    <mergeCell ref="J236:J238"/>
    <mergeCell ref="J340:J342"/>
    <mergeCell ref="D3:D35"/>
    <mergeCell ref="O81:S81"/>
    <mergeCell ref="O88:S88"/>
    <mergeCell ref="L683:Q683"/>
    <mergeCell ref="K683:K693"/>
    <mergeCell ref="L632:M632"/>
    <mergeCell ref="L633:M633"/>
    <mergeCell ref="L634:M634"/>
    <mergeCell ref="L590:M590"/>
    <mergeCell ref="L591:M591"/>
    <mergeCell ref="L592:M592"/>
    <mergeCell ref="L593:M593"/>
    <mergeCell ref="L631:M631"/>
    <mergeCell ref="O90:Q90"/>
    <mergeCell ref="J243:J245"/>
    <mergeCell ref="J344:J346"/>
    <mergeCell ref="J640:J641"/>
    <mergeCell ref="J643:J648"/>
    <mergeCell ref="E37:G37"/>
    <mergeCell ref="E41:E45"/>
    <mergeCell ref="F41:G41"/>
    <mergeCell ref="F42:G42"/>
    <mergeCell ref="F43:G43"/>
    <mergeCell ref="F44:G44"/>
    <mergeCell ref="F45:G45"/>
    <mergeCell ref="E48:E53"/>
    <mergeCell ref="F48:G48"/>
    <mergeCell ref="F49:G49"/>
    <mergeCell ref="F50:G50"/>
    <mergeCell ref="F51:G51"/>
    <mergeCell ref="F52:G52"/>
    <mergeCell ref="J356:J358"/>
    <mergeCell ref="F53:G53"/>
    <mergeCell ref="E55:E60"/>
    <mergeCell ref="F55:G55"/>
    <mergeCell ref="F56:G56"/>
    <mergeCell ref="F57:G57"/>
    <mergeCell ref="F58:G58"/>
    <mergeCell ref="F59:G59"/>
    <mergeCell ref="F60:G60"/>
  </mergeCells>
  <phoneticPr fontId="12"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67 WHB67 VXF67 VNJ67 VDN67 UTR67 UJV67 TZZ67 TQD67 TGH67 SWL67 SMP67 SCT67 RSX67 RJB67 QZF67 QPJ67 QFN67 PVR67 PLV67 PBZ67 OSD67 OIH67 NYL67 NOP67 NET67 MUX67 MLB67 MBF67 LRJ67 LHN67 KXR67 KNV67 KDZ67 JUD67 JKH67 JAL67 IQP67 IGT67 HWX67 HNB67 HDF67 GTJ67 GJN67 FZR67 FPV67 FFZ67 EWD67 EMH67 ECL67 DSP67 DIT67 CYX67 CPB67 CFF67 BVJ67 BLN67 BBR67 ARV67 AHZ67 YD67 OH67 EL67 WQX70 WHB70 VXF70 VNJ70 VDN70 UTR70 UJV70 TZZ70 TQD70 TGH70 SWL70 SMP70 SCT70 RSX70 RJB70 QZF70 QPJ70 QFN70 PVR70 PLV70 PBZ70 OSD70 OIH70 NYL70 NOP70 NET70 MUX70 MLB70 MBF70 LRJ70 LHN70 KXR70 KNV70 KDZ70 JUD70 JKH70 JAL70 IQP70 IGT70 HWX70 HNB70 HDF70 GTJ70 GJN70 FZR70 FPV70 FFZ70 EWD70 EMH70 ECL70 DSP70 DIT70 CYX70 CPB70 CFF70 BVJ70 BLN70 BBR70 ARV70 AHZ70 YD70 OH70 EL70">
      <formula1>0</formula1>
      <formula2>10000000</formula2>
    </dataValidation>
    <dataValidation type="list" showInputMessage="1" showErrorMessage="1" errorTitle="Внимание" error="Пожалуйста, выберите значение из списка" sqref="WSY67 WJC67 VZG67 VPK67 VFO67 UVS67 ULW67 UCA67 TSE67 TII67 SYM67 SOQ67 SEU67 RUY67 RLC67 RBG67 QRK67 QHO67 PXS67 PNW67 PEA67 OUE67 OKI67 OAM67 NQQ67 NGU67 MWY67 MNC67 MDG67 LTK67 LJO67 KZS67 KPW67 KGA67 JWE67 JMI67 JCM67 ISQ67 IIU67 HYY67 HPC67 HFG67 GVK67 GLO67 GBS67 FRW67 FIA67 EYE67 EOI67 EEM67 DUQ67 DKU67 DAY67 CRC67 CHG67 BXK67 BNO67 BDS67 ATW67 AKA67 AAE67 QI67 GM67 WSY70 WJC70 VZG70 VPK70 VFO70 UVS70 ULW70 UCA70 TSE70 TII70 SYM70 SOQ70 SEU70 RUY70 RLC70 RBG70 QRK70 QHO70 PXS70 PNW70 PEA70 OUE70 OKI70 OAM70 NQQ70 NGU70 MWY70 MNC70 MDG70 LTK70 LJO70 KZS70 KPW70 KGA70 JWE70 JMI70 JCM70 ISQ70 IIU70 HYY70 HPC70 HFG70 GVK70 GLO70 GBS70 FRW70 FIA70 EYE70 EOI70 EEM70 DUQ70 DKU70 DAY70 CRC70 CHG70 BXK70 BNO70 BDS70 ATW70 AKA70 AAE70 QI70 GM70">
      <formula1>TF_START_YEAR_LIST</formula1>
    </dataValidation>
    <dataValidation type="list" showInputMessage="1" showErrorMessage="1" errorTitle="Внимание" error="Пожалуйста, выберите значение из списка" sqref="WTB67 WJF67 VZJ67 VPN67 VFR67 UVV67 ULZ67 UCD67 TSH67 TIL67 SYP67 SOT67 SEX67 RVB67 RLF67 RBJ67 QRN67 QHR67 PXV67 PNZ67 PED67 OUH67 OKL67 OAP67 NQT67 NGX67 MXB67 MNF67 MDJ67 LTN67 LJR67 KZV67 KPZ67 KGD67 JWH67 JML67 JCP67 IST67 IIX67 HZB67 HPF67 HFJ67 GVN67 GLR67 GBV67 FRZ67 FID67 EYH67 EOL67 EEP67 DUT67 DKX67 DBB67 CRF67 CHJ67 BXN67 BNR67 BDV67 ATZ67 AKD67 AAH67 QL67 GP67 WTB70 WJF70 VZJ70 VPN70 VFR70 UVV70 ULZ70 UCD70 TSH70 TIL70 SYP70 SOT70 SEX70 RVB70 RLF70 RBJ70 QRN70 QHR70 PXV70 PNZ70 PED70 OUH70 OKL70 OAP70 NQT70 NGX70 MXB70 MNF70 MDJ70 LTN70 LJR70 KZV70 KPZ70 KGD70 JWH70 JML70 JCP70 IST70 IIX70 HZB70 HPF70 HFJ70 GVN70 GLR70 GBV70 FRZ70 FID70 EYH70 EOL70 EEP70 DUT70 DKX70 DBB70 CRF70 CHJ70 BXN70 BNR70 BDV70 ATZ70 AKD70 AAH70 QL70 GP70">
      <formula1>TF_END_YEAR_LIST</formula1>
    </dataValidation>
    <dataValidation type="list" allowBlank="1" showInputMessage="1" showErrorMessage="1" errorTitle="Внимание" error="Пожалуйста, выберите значение из списка!" sqref="WTZ67 WKD67 WAH67 VQL67 VGP67 UWT67 UMX67 UDB67 TTF67 TJJ67 SZN67 SPR67 SFV67 RVZ67 RMD67 RCH67 QSL67 QIP67 PYT67 POX67 PFB67 OVF67 OLJ67 OBN67 NRR67 NHV67 MXZ67 MOD67 MEH67 LUL67 LKP67 LAT67 KQX67 KHB67 JXF67 JNJ67 JDN67 ITR67 IJV67 HZZ67 HQD67 HGH67 GWL67 GMP67 GCT67 FSX67 FJB67 EZF67 EPJ67 EFN67 DVR67 DLV67 DBZ67 CSD67 CIH67 BYL67 BOP67 BET67 AUX67 ALB67 ABF67 RJ67 HN67 WTT67 WJX67 WAB67 VQF67 VGJ67 UWN67 UMR67 UCV67 TSZ67 TJD67 SZH67 SPL67 SFP67 RVT67 RLX67 RCB67 QSF67 QIJ67 PYN67 POR67 PEV67 OUZ67 OLD67 OBH67 NRL67 NHP67 MXT67 MNX67 MEB67 LUF67 LKJ67 LAN67 KQR67 KGV67 JWZ67 JND67 JDH67 ITL67 IJP67 HZT67 HPX67 HGB67 GWF67 GMJ67 GCN67 FSR67 FIV67 EYZ67 EPD67 EFH67 DVL67 DLP67 DBT67 CRX67 CIB67 BYF67 BOJ67 BEN67 AUR67 AKV67 AAZ67 RD67 HH67 WUF67 WKJ67 WAN67 VQR67 VGV67 UWZ67 UND67 UDH67 TTL67 TJP67 SZT67 SPX67 SGB67 RWF67 RMJ67 RCN67 QSR67 QIV67 PYZ67 PPD67 PFH67 OVL67 OLP67 OBT67 NRX67 NIB67 MYF67 MOJ67 MEN67 LUR67 LKV67 LAZ67 KRD67 KHH67 JXL67 JNP67 JDT67 ITX67 IKB67 IAF67 HQJ67 HGN67 GWR67 GMV67 GCZ67 FTD67 FJH67 EZL67 EPP67 EFT67 DVX67 DMB67 DCF67 CSJ67 CIN67 BYR67 BOV67 BEZ67 AVD67 ALH67 ABL67 RP67 HT67 WTZ70 WKD70 WAH70 VQL70 VGP70 UWT70 UMX70 UDB70 TTF70 TJJ70 SZN70 SPR70 SFV70 RVZ70 RMD70 RCH70 QSL70 QIP70 PYT70 POX70 PFB70 OVF70 OLJ70 OBN70 NRR70 NHV70 MXZ70 MOD70 MEH70 LUL70 LKP70 LAT70 KQX70 KHB70 JXF70 JNJ70 JDN70 ITR70 IJV70 HZZ70 HQD70 HGH70 GWL70 GMP70 GCT70 FSX70 FJB70 EZF70 EPJ70 EFN70 DVR70 DLV70 DBZ70 CSD70 CIH70 BYL70 BOP70 BET70 AUX70 ALB70 ABF70 RJ70 HN70 WTT70 WJX70 WAB70 VQF70 VGJ70 UWN70 UMR70 UCV70 TSZ70 TJD70 SZH70 SPL70 SFP70 RVT70 RLX70 RCB70 QSF70 QIJ70 PYN70 POR70 PEV70 OUZ70 OLD70 OBH70 NRL70 NHP70 MXT70 MNX70 MEB70 LUF70 LKJ70 LAN70 KQR70 KGV70 JWZ70 JND70 JDH70 ITL70 IJP70 HZT70 HPX70 HGB70 GWF70 GMJ70 GCN70 FSR70 FIV70 EYZ70 EPD70 EFH70 DVL70 DLP70 DBT70 CRX70 CIB70 BYF70 BOJ70 BEN70 AUR70 AKV70 AAZ70 RD70 HH70 WUF70 WKJ70 WAN70 VQR70 VGV70 UWZ70 UND70 UDH70 TTL70 TJP70 SZT70 SPX70 SGB70 RWF70 RMJ70 RCN70 QSR70 QIV70 PYZ70 PPD70 PFH70 OVL70 OLP70 OBT70 NRX70 NIB70 MYF70 MOJ70 MEN70 LUR70 LKV70 LAZ70 KRD70 KHH70 JXL70 JNP70 JDT70 ITX70 IKB70 IAF70 HQJ70 HGN70 GWR70 GMV70 GCZ70 FTD70 FJH70 EZL70 EPP70 EFT70 DVX70 DMB70 DCF70 CSJ70 CIN70 BYR70 BOV70 BEZ70 AVD70 ALH70 ABL70 RP70 HT70">
      <formula1>YES_NO</formula1>
    </dataValidation>
    <dataValidation type="list" showInputMessage="1" showErrorMessage="1" errorTitle="Внимание" error="Пожалуйста, выберите значение из списка" sqref="WSQ67 WIU67 VYY67 VPC67 VFG67 UVK67 ULO67 UBS67 TRW67 TIA67 SYE67 SOI67 SEM67 RUQ67 RKU67 RAY67 QRC67 QHG67 PXK67 PNO67 PDS67 OTW67 OKA67 OAE67 NQI67 NGM67 MWQ67 MMU67 MCY67 LTC67 LJG67 KZK67 KPO67 KFS67 JVW67 JMA67 JCE67 ISI67 IIM67 HYQ67 HOU67 HEY67 GVC67 GLG67 GBK67 FRO67 FHS67 EXW67 EOA67 EEE67 DUI67 DKM67 DAQ67 CQU67 CGY67 BXC67 BNG67 BDK67 ATO67 AJS67 ZW67 QA67 GE67 WSQ70 WIU70 VYY70 VPC70 VFG70 UVK70 ULO70 UBS70 TRW70 TIA70 SYE70 SOI70 SEM70 RUQ70 RKU70 RAY70 QRC70 QHG70 PXK70 PNO70 PDS70 OTW70 OKA70 OAE70 NQI70 NGM70 MWQ70 MMU70 MCY70 LTC70 LJG70 KZK70 KPO70 KFS70 JVW70 JMA70 JCE70 ISI70 IIM70 HYQ70 HOU70 HEY70 GVC70 GLG70 GBK70 FRO70 FHS70 EXW70 EOA70 EEE70 DUI70 DKM70 DAQ70 CQU70 CGY70 BXC70 BNG70 BDK70 ATO70 AJS70 ZW70 QA70 GE70">
      <formula1>YES_NO</formula1>
    </dataValidation>
    <dataValidation type="whole" allowBlank="1" showInputMessage="1" showErrorMessage="1" errorTitle="Внимание" error="Пожалуйста, укажите число!" sqref="WTA67 WJE67 VZI67 VPM67 VFQ67 UVU67 ULY67 UCC67 TSG67 TIK67 SYO67 SOS67 SEW67 RVA67 RLE67 RBI67 QRM67 QHQ67 PXU67 PNY67 PEC67 OUG67 OKK67 OAO67 NQS67 NGW67 MXA67 MNE67 MDI67 LTM67 LJQ67 KZU67 KPY67 KGC67 JWG67 JMK67 JCO67 ISS67 IIW67 HZA67 HPE67 HFI67 GVM67 GLQ67 GBU67 FRY67 FIC67 EYG67 EOK67 EEO67 DUS67 DKW67 DBA67 CRE67 CHI67 BXM67 BNQ67 BDU67 ATY67 AKC67 AAG67 QK67 GO67 WTD67 WJH67 VZL67 VPP67 VFT67 UVX67 UMB67 UCF67 TSJ67 TIN67 SYR67 SOV67 SEZ67 RVD67 RLH67 RBL67 QRP67 QHT67 PXX67 POB67 PEF67 OUJ67 OKN67 OAR67 NQV67 NGZ67 MXD67 MNH67 MDL67 LTP67 LJT67 KZX67 KQB67 KGF67 JWJ67 JMN67 JCR67 ISV67 IIZ67 HZD67 HPH67 HFL67 GVP67 GLT67 GBX67 FSB67 FIF67 EYJ67 EON67 EER67 DUV67 DKZ67 DBD67 CRH67 CHL67 BXP67 BNT67 BDX67 AUB67 AKF67 AAJ67 QN67 GR67 WTA70 WJE70 VZI70 VPM70 VFQ70 UVU70 ULY70 UCC70 TSG70 TIK70 SYO70 SOS70 SEW70 RVA70 RLE70 RBI70 QRM70 QHQ70 PXU70 PNY70 PEC70 OUG70 OKK70 OAO70 NQS70 NGW70 MXA70 MNE70 MDI70 LTM70 LJQ70 KZU70 KPY70 KGC70 JWG70 JMK70 JCO70 ISS70 IIW70 HZA70 HPE70 HFI70 GVM70 GLQ70 GBU70 FRY70 FIC70 EYG70 EOK70 EEO70 DUS70 DKW70 DBA70 CRE70 CHI70 BXM70 BNQ70 BDU70 ATY70 AKC70 AAG70 QK70 GO70 WTD70 WJH70 VZL70 VPP70 VFT70 UVX70 UMB70 UCF70 TSJ70 TIN70 SYR70 SOV70 SEZ70 RVD70 RLH70 RBL70 QRP70 QHT70 PXX70 POB70 PEF70 OUJ70 OKN70 OAR70 NQV70 NGZ70 MXD70 MNH70 MDL70 LTP70 LJT70 KZX70 KQB70 KGF70 JWJ70 JMN70 JCR70 ISV70 IIZ70 HZD70 HPH70 HFL70 GVP70 GLT70 GBX70 FSB70 FIF70 EYJ70 EON70 EER70 DUV70 DKZ70 DBD70 CRH70 CHL70 BXP70 BNT70 BDX70 AUB70 AKF70 AAJ70 QN70 GR70">
      <formula1>1</formula1>
      <formula2>31</formula2>
    </dataValidation>
    <dataValidation type="list" showInputMessage="1" showErrorMessage="1" errorTitle="Внимание" error="Пожалуйста, выберите значение из списка" sqref="WSZ67 WJD67 VZH67 VPL67 VFP67 UVT67 ULX67 UCB67 TSF67 TIJ67 SYN67 SOR67 SEV67 RUZ67 RLD67 RBH67 QRL67 QHP67 PXT67 PNX67 PEB67 OUF67 OKJ67 OAN67 NQR67 NGV67 MWZ67 MND67 MDH67 LTL67 LJP67 KZT67 KPX67 KGB67 JWF67 JMJ67 JCN67 ISR67 IIV67 HYZ67 HPD67 HFH67 GVL67 GLP67 GBT67 FRX67 FIB67 EYF67 EOJ67 EEN67 DUR67 DKV67 DAZ67 CRD67 CHH67 BXL67 BNP67 BDT67 ATX67 AKB67 AAF67 QJ67 GN67 WTC67 WJG67 VZK67 VPO67 VFS67 UVW67 UMA67 UCE67 TSI67 TIM67 SYQ67 SOU67 SEY67 RVC67 RLG67 RBK67 QRO67 QHS67 PXW67 POA67 PEE67 OUI67 OKM67 OAQ67 NQU67 NGY67 MXC67 MNG67 MDK67 LTO67 LJS67 KZW67 KQA67 KGE67 JWI67 JMM67 JCQ67 ISU67 IIY67 HZC67 HPG67 HFK67 GVO67 GLS67 GBW67 FSA67 FIE67 EYI67 EOM67 EEQ67 DUU67 DKY67 DBC67 CRG67 CHK67 BXO67 BNS67 BDW67 AUA67 AKE67 AAI67 QM67 GQ67 WSZ70 WJD70 VZH70 VPL70 VFP70 UVT70 ULX70 UCB70 TSF70 TIJ70 SYN70 SOR70 SEV70 RUZ70 RLD70 RBH70 QRL70 QHP70 PXT70 PNX70 PEB70 OUF70 OKJ70 OAN70 NQR70 NGV70 MWZ70 MND70 MDH70 LTL70 LJP70 KZT70 KPX70 KGB70 JWF70 JMJ70 JCN70 ISR70 IIV70 HYZ70 HPD70 HFH70 GVL70 GLP70 GBT70 FRX70 FIB70 EYF70 EOJ70 EEN70 DUR70 DKV70 DAZ70 CRD70 CHH70 BXL70 BNP70 BDT70 ATX70 AKB70 AAF70 QJ70 GN70 WTC70 WJG70 VZK70 VPO70 VFS70 UVW70 UMA70 UCE70 TSI70 TIM70 SYQ70 SOU70 SEY70 RVC70 RLG70 RBK70 QRO70 QHS70 PXW70 POA70 PEE70 OUI70 OKM70 OAQ70 NQU70 NGY70 MXC70 MNG70 MDK70 LTO70 LJS70 KZW70 KQA70 KGE70 JWI70 JMM70 JCQ70 ISU70 IIY70 HZC70 HPG70 HFK70 GVO70 GLS70 GBW70 FSA70 FIE70 EYI70 EOM70 EEQ70 DUU70 DKY70 DBC70 CRG70 CHK70 BXO70 BNS70 BDW70 AUA70 AKE70 AAI70 QM70 GQ70">
      <formula1>MONTH_LIST</formula1>
    </dataValidation>
    <dataValidation type="list" allowBlank="1" showInputMessage="1" showErrorMessage="1" errorTitle="Внимание" error="Пожалуйста, выберите МР из списка!" sqref="WQD67 WGH67 VWL67 VMP67 VCT67 USX67 UJB67 TZF67 TPJ67 TFN67 SVR67 SLV67 SBZ67 RSD67 RIH67 QYL67 QOP67 QET67 PUX67 PLB67 PBF67 ORJ67 OHN67 NXR67 NNV67 NDZ67 MUD67 MKH67 MAL67 LQP67 LGT67 KWX67 KNB67 KDF67 JTJ67 JJN67 IZR67 IPV67 IFZ67 HWD67 HMH67 HCL67 GSP67 GIT67 FYX67 FPB67 FFF67 EVJ67 ELN67 EBR67 DRV67 DHZ67 CYD67 COH67 CEL67 BUP67 BKT67 BAX67 ARB67 AHF67 XJ67 NN67 DR67 M67 WQD70 WGH70 VWL70 VMP70 VCT70 USX70 UJB70 TZF70 TPJ70 TFN70 SVR70 SLV70 SBZ70 RSD70 RIH70 QYL70 QOP70 QET70 PUX70 PLB70 PBF70 ORJ70 OHN70 NXR70 NNV70 NDZ70 MUD70 MKH70 MAL70 LQP70 LGT70 KWX70 KNB70 KDF70 JTJ70 JJN70 IZR70 IPV70 IFZ70 HWD70 HMH70 HCL70 GSP70 GIT70 FYX70 FPB70 FFF70 EVJ70 ELN70 EBR70 DRV70 DHZ70 CYD70 COH70 CEL70 BUP70 BKT70 BAX70 ARB70 AHF70 XJ70 NN70 DR70 M70">
      <formula1>MR_LIST</formula1>
    </dataValidation>
    <dataValidation type="list" showInputMessage="1" showErrorMessage="1" errorTitle="Внимание" error="Пожалуйста, выберите значение из списка" sqref="WUB67 WKF67 WAJ67 VQN67 VGR67 UWV67 UMZ67 UDD67 TTH67 TJL67 SZP67 SPT67 SFX67 RWB67 RMF67 RCJ67 QSN67 QIR67 PYV67 POZ67 PFD67 OVH67 OLL67 OBP67 NRT67 NHX67 MYB67 MOF67 MEJ67 LUN67 LKR67 LAV67 KQZ67 KHD67 JXH67 JNL67 JDP67 ITT67 IJX67 IAB67 HQF67 HGJ67 GWN67 GMR67 GCV67 FSZ67 FJD67 EZH67 EPL67 EFP67 DVT67 DLX67 DCB67 CSF67 CIJ67 BYN67 BOR67 BEV67 AUZ67 ALD67 ABH67 RL67 HP67 WUB70 WKF70 WAJ70 VQN70 VGR70 UWV70 UMZ70 UDD70 TTH70 TJL70 SZP70 SPT70 SFX70 RWB70 RMF70 RCJ70 QSN70 QIR70 PYV70 POZ70 PFD70 OVH70 OLL70 OBP70 NRT70 NHX70 MYB70 MOF70 MEJ70 LUN70 LKR70 LAV70 KQZ70 KHD70 JXH70 JNL70 JDP70 ITT70 IJX70 IAB70 HQF70 HGJ70 GWN70 GMR70 GCV70 FSZ70 FJD70 EZH70 EPL70 EFP70 DVT70 DLX70 DCB70 CSF70 CIJ70 BYN70 BOR70 BEV70 AUZ70 ALD70 ABH70 RL70 HP70">
      <formula1>DOCUMENT_TYPES</formula1>
    </dataValidation>
    <dataValidation type="list" showInputMessage="1" showErrorMessage="1" errorTitle="Внимание" error="Пожалуйста, выберите МО из списка" sqref="WQE67 WGI67 VWM67 VMQ67 VCU67 USY67 UJC67 TZG67 TPK67 TFO67 SVS67 SLW67 SCA67 RSE67 RII67 QYM67 QOQ67 QEU67 PUY67 PLC67 PBG67 ORK67 OHO67 NXS67 NNW67 NEA67 MUE67 MKI67 MAM67 LQQ67 LGU67 KWY67 KNC67 KDG67 JTK67 JJO67 IZS67 IPW67 IGA67 HWE67 HMI67 HCM67 GSQ67 GIU67 FYY67 FPC67 FFG67 EVK67 ELO67 EBS67 DRW67 DIA67 CYE67 COI67 CEM67 BUQ67 BKU67 BAY67 ARC67 AHG67 XK67 NO67 DS67 DS70 WQE70 WGI70 VWM70 VMQ70 VCU70 USY70 UJC70 TZG70 TPK70 TFO70 SVS70 SLW70 SCA70 RSE70 RII70 QYM70 QOQ70 QEU70 PUY70 PLC70 PBG70 ORK70 OHO70 NXS70 NNW70 NEA70 MUE70 MKI70 MAM70 LQQ70 LGU70 KWY70 KNC70 KDG70 JTK70 JJO70 IZS70 IPW70 IGA70 HWE70 HMI70 HCM70 GSQ70 GIU70 FYY70 FPC70 FFG70 EVK70 ELO70 EBS70 DRW70 DIA70 CYE70 COI70 CEM70 BUQ70 BKU70 BAY70 ARC70 AHG70 XK70 NO70">
      <formula1>MO_LIST_12</formula1>
    </dataValidation>
    <dataValidation type="list" allowBlank="1" showInputMessage="1" showErrorMessage="1" errorTitle="Ошибка" error="Выберите значение из списка" prompt="Выберите значение из списка" sqref="O93:Q93">
      <formula1>support_docs_1</formula1>
    </dataValidation>
    <dataValidation type="list" allowBlank="1" showInputMessage="1" showErrorMessage="1" errorTitle="Ошибка" error="Выберите значение из списка" prompt="Выберите значение из списка" sqref="N90 N93">
      <formula1>osn_expl_list</formula1>
    </dataValidation>
    <dataValidation type="list" allowBlank="1" showInputMessage="1" showErrorMessage="1" errorTitle="Ошибка" error="Выберите значение из списка" prompt="Выберите значение из списка" sqref="M243 M236">
      <formula1>VOLTAGE_LEVEL_list</formula1>
    </dataValidation>
    <dataValidation allowBlank="1" showInputMessage="1" showErrorMessage="1" sqref="S373:AL373"/>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44 C51:C53 C58:C60">
      <formula1>1</formula1>
    </dataValidation>
    <dataValidation type="textLength" operator="lessThanOrEqual" allowBlank="1" showInputMessage="1" showErrorMessage="1" sqref="C9:C10 C12 C41 C43 C48 C50 C55 C5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84:R85 O75:R78">
      <formula1>0</formula1>
      <formula2>9.99999999999999E+23</formula2>
    </dataValidation>
    <dataValidation type="decimal" allowBlank="1" showErrorMessage="1" errorTitle="Ошибка" error="Допускается ввод только неотрицательных чисел!" sqref="O79:R79 AO650:AP650 AL650:AM650 AI650:AJ650 AF650:AG650 AC650:AD650 Z650:AA650 W650:X650 T650:U650 Q650:R650 N650:O650 AO635:AP636 AL635:AM636 AI635:AJ636 AF635:AG636 AC635:AD636 Z635:AA636 W635:X636 T635:U636 Q635:R636 N635:O636 O245:AL245 O336:AL338 O312:AL316 O301:AL305 O295:AL299 O352:AL353 O283:AL287 O277:AL281 O271:AL275 O265:AL269 O259:AL263 O667:O676 O238:AL238 O92:R92 O225:AL225 M684:Q693 Y106:AP113 S106:U113 O106:Q113 Y103:AP104 S103:U104 O103:Q104 O289:AL293 Y98:AP100 O205:AL206 O212:AL212 N624:O625 V419 O161:AL164 O364:AL371 O344:AL345 O340:AL341 AI609:AJ610 AF609:AG610 AC609:AD610 Z609:AA610 W609:X610 T609:U610 Q609:R610 Q624:R625 N609:O610 Q615:R616 AL609:AM610 AI615:AJ616 AF615:AG616 AC615:AD616 Z615:AA616 W615:X616 T615:U616 AL618:AM619 N615:O616 AL615:AM616 AI618:AJ619 AF618:AG619 AC618:AD619 Z618:AA619 W618:X619 T618:U619 N618:O619 Q606:R607 AO618:AP619 N606:O607 AL606:AM607 AI606:AJ607 AF606:AG607 AC606:AD607 Z606:AA607 W606:X607 T606:U607 N627:O628 AL627:AM628 AI627:AJ628 AF627:AG628 AC627:AD628 Z627:AA628 W627:X628 T627:U628 AO627:AP628 AI612:AJ613 AF612:AG613 AC612:AD613 Z612:AA613 W612:X613 T612:U613 Q612:R613 N612:O613 AO612:AP613 N621:O622 AL621:AM622 AI621:AJ622 AF621:AG622 AC621:AD622 Z621:AA622 W621:X622 T621:U622 Q621:R622 T624:U625 W624:X625 Z624:AA625 AC624:AD625 AF624:AG625 AI624:AJ625 AL624:AM625 AO624:AP625 Q618:R619 AO609:AP610 AO615:AP616 AL612:AM613 AO606:AP607 O356:AL357 O208:AL210 AO621:AP622 M681:Q681 O86:R86 O250:AL251 O119:AL120 O122:AL124 O126:AL129 O131:AL134 O138:AL140 O142:AL143 O146:AL147 O149:AL150 O158:AL159 O655:O664 O167:AL168 O170:AL172 O176:AL177 O182:AL183 O185:AL186 O188:AL189 O152:AL154 O191:AL196 O198:AL201 O214:AL216 R420:V420 P419:R419 AO643:AP645 O348:AL349 O98:Q100 S98:U100 O236:AL236 O243:AL243 Q627:R628 N640:O640 N647:O648 N643:O645 Q640:R640 Q647:R648 Q643:R645 T640:U640 T647:U648 T643:U645 W640:X640 W647:X648 W643:X645 Z640:AA640 Z647:AA648 Z643:AA645 AC640:AD640 AC647:AD648 AC643:AD645 AF640:AG640 AF647:AG648 AF643:AG645 AI640:AJ640 AI647:AJ648 AI643:AJ645 AL640:AM640 AL647:AM648 AL643:AM645 AO640:AP640 AO647:AP648 O253:AL253 O248:AL248 O179:AL179">
      <formula1>0</formula1>
      <formula2>9.99999999999999E+23</formula2>
    </dataValidation>
    <dataValidation type="decimal" allowBlank="1" showErrorMessage="1" errorTitle="Ошибка" error="Допускается ввод только действительных чисел!" sqref="S553:AM558 O553:Q558 O532:Q532 S561:AM568 O561:Q568 P431:Q440 O409:AH411 S543:AM545 O543:Q545 O535:Q535 O537:Q541 S537:AM541 O419:O420 S519:AM520 O519:Q520 P454:Q457 O586:Q586 P428:Q428 P426:Q426 O383:AN386 O401:AN403 O396:AN399 O392:AN394 O388:AN390 S535:AM535 S532:AM532 S573:AM578 AD509:AE509 O570:Q571 O482:Q485 O489:Q495 O499:Q508 S482:AM486 O472:Q472 O474:Q480 S489:AM495 S470:AM472 O463:Q463 S466:AM468 O466:Q468 O470:Q470 O497:Q497 S586:AN586 O573:Q578 S570:AM571 S581:AM584 S509:T509 O581:Q584 P442:Q451 S497:AM508 S474:AM480">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21 AM225 AM230:AM234 AM243:AM245 AX586:AZ586 AM258:AM305 AM310:AM316 AM321 AM324 AM327 AM330 AM336:AM338 AM340:AM342 AM344:AM346 AM348:AM350 AM363:AM372 X98:X100 AM376 AO381:AO403 AI408:AI414 R106:R113 X106:X113 R103:R104 X103:X104 AM356:AM358 R98:R100 AM236:AM238 AM333 AM352:AM354 AM247:AM253 AX512:AZ584 AX462:AZ510">
      <formula1>900</formula1>
    </dataValidation>
    <dataValidation type="list" allowBlank="1" showInputMessage="1" showErrorMessage="1" errorTitle="Ошибка" error="Выберите значение из списка" prompt="Выберите значение из списка" sqref="M247">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90:Q90">
      <formula1>support_docs_list</formula1>
    </dataValidation>
    <dataValidation type="list" operator="lessThanOrEqual" showDropDown="1" showInputMessage="1" showErrorMessage="1" sqref="C37 C4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2 H49 H56">
      <formula1>DOCUMENT_TYPES</formula1>
    </dataValidation>
  </dataValidations>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6"/>
  <sheetViews>
    <sheetView showGridLines="0" view="pageBreakPreview" topLeftCell="A11" zoomScale="60" zoomScaleNormal="100" workbookViewId="0">
      <pane ySplit="4" topLeftCell="A15" activePane="bottomLeft" state="frozen"/>
      <selection activeCell="E105" sqref="E105:H105"/>
      <selection pane="bottomLeft" activeCell="M16" sqref="M16"/>
    </sheetView>
  </sheetViews>
  <sheetFormatPr defaultRowHeight="11.25"/>
  <cols>
    <col min="1" max="1" width="3.5703125" style="60" hidden="1" customWidth="1"/>
    <col min="2" max="2" width="3.5703125" style="57" hidden="1" customWidth="1"/>
    <col min="3" max="3" width="3.7109375" style="57" hidden="1" customWidth="1"/>
    <col min="4" max="4" width="3.7109375" style="58" hidden="1" customWidth="1"/>
    <col min="5" max="11" width="3.7109375" style="57" hidden="1" customWidth="1"/>
    <col min="12" max="12" width="6.28515625" style="57" customWidth="1"/>
    <col min="13" max="14" width="28.7109375" style="57" customWidth="1"/>
    <col min="15" max="15" width="15.42578125" style="66" customWidth="1"/>
    <col min="16" max="16" width="32.140625" style="57" customWidth="1"/>
    <col min="17" max="16384" width="9.140625" style="57"/>
  </cols>
  <sheetData>
    <row r="1" spans="1:16" ht="12" hidden="1" customHeight="1">
      <c r="A1" s="742"/>
      <c r="B1" s="743"/>
      <c r="C1" s="743"/>
      <c r="D1" s="744"/>
      <c r="E1" s="743"/>
      <c r="F1" s="743"/>
      <c r="G1" s="743"/>
      <c r="H1" s="743"/>
      <c r="I1" s="743"/>
      <c r="J1" s="743"/>
      <c r="K1" s="743"/>
      <c r="L1" s="743"/>
      <c r="M1" s="743" t="s">
        <v>1037</v>
      </c>
      <c r="N1" s="743" t="s">
        <v>1038</v>
      </c>
      <c r="O1" s="743" t="s">
        <v>1039</v>
      </c>
      <c r="P1" s="743"/>
    </row>
    <row r="2" spans="1:16" ht="12" hidden="1" customHeight="1">
      <c r="A2" s="742"/>
      <c r="B2" s="743"/>
      <c r="C2" s="743"/>
      <c r="D2" s="744"/>
      <c r="E2" s="743"/>
      <c r="F2" s="743"/>
      <c r="G2" s="743"/>
      <c r="H2" s="743"/>
      <c r="I2" s="743"/>
      <c r="J2" s="743"/>
      <c r="K2" s="743"/>
      <c r="L2" s="743"/>
      <c r="M2" s="743"/>
      <c r="N2" s="743"/>
      <c r="O2" s="743"/>
      <c r="P2" s="743"/>
    </row>
    <row r="3" spans="1:16" ht="12" hidden="1" customHeight="1">
      <c r="A3" s="742"/>
      <c r="B3" s="743"/>
      <c r="C3" s="743"/>
      <c r="D3" s="744"/>
      <c r="E3" s="743"/>
      <c r="F3" s="743"/>
      <c r="G3" s="743"/>
      <c r="H3" s="743"/>
      <c r="I3" s="743"/>
      <c r="J3" s="743"/>
      <c r="K3" s="743"/>
      <c r="L3" s="743"/>
      <c r="M3" s="743"/>
      <c r="N3" s="743"/>
      <c r="O3" s="743"/>
      <c r="P3" s="743"/>
    </row>
    <row r="4" spans="1:16" ht="12" hidden="1" customHeight="1">
      <c r="A4" s="742"/>
      <c r="B4" s="743"/>
      <c r="C4" s="743"/>
      <c r="D4" s="744"/>
      <c r="E4" s="743"/>
      <c r="F4" s="743"/>
      <c r="G4" s="743"/>
      <c r="H4" s="743"/>
      <c r="I4" s="743"/>
      <c r="J4" s="743"/>
      <c r="K4" s="743"/>
      <c r="L4" s="743"/>
      <c r="M4" s="743"/>
      <c r="N4" s="743"/>
      <c r="O4" s="743"/>
      <c r="P4" s="743"/>
    </row>
    <row r="5" spans="1:16" ht="12" hidden="1" customHeight="1">
      <c r="A5" s="742"/>
      <c r="B5" s="743"/>
      <c r="C5" s="743"/>
      <c r="D5" s="744"/>
      <c r="E5" s="743"/>
      <c r="F5" s="743"/>
      <c r="G5" s="743"/>
      <c r="H5" s="743"/>
      <c r="I5" s="743"/>
      <c r="J5" s="743"/>
      <c r="K5" s="743"/>
      <c r="L5" s="743"/>
      <c r="M5" s="743"/>
      <c r="N5" s="743"/>
      <c r="O5" s="743"/>
      <c r="P5" s="743"/>
    </row>
    <row r="6" spans="1:16" ht="12" hidden="1" customHeight="1">
      <c r="A6" s="742"/>
      <c r="B6" s="743"/>
      <c r="C6" s="743"/>
      <c r="D6" s="744"/>
      <c r="E6" s="743"/>
      <c r="F6" s="743"/>
      <c r="G6" s="743"/>
      <c r="H6" s="743"/>
      <c r="I6" s="743"/>
      <c r="J6" s="743"/>
      <c r="K6" s="743"/>
      <c r="L6" s="743"/>
      <c r="M6" s="743"/>
      <c r="N6" s="743"/>
      <c r="O6" s="743"/>
      <c r="P6" s="743"/>
    </row>
    <row r="7" spans="1:16" ht="12" hidden="1" customHeight="1">
      <c r="A7" s="742"/>
      <c r="B7" s="743"/>
      <c r="C7" s="743"/>
      <c r="D7" s="744"/>
      <c r="E7" s="743"/>
      <c r="F7" s="743"/>
      <c r="G7" s="743"/>
      <c r="H7" s="743"/>
      <c r="I7" s="743"/>
      <c r="J7" s="743"/>
      <c r="K7" s="743"/>
      <c r="L7" s="743"/>
      <c r="M7" s="743"/>
      <c r="N7" s="743"/>
      <c r="O7" s="743"/>
      <c r="P7" s="743"/>
    </row>
    <row r="8" spans="1:16" ht="12" hidden="1" customHeight="1">
      <c r="A8" s="742"/>
      <c r="B8" s="743"/>
      <c r="C8" s="743"/>
      <c r="D8" s="744"/>
      <c r="E8" s="743"/>
      <c r="F8" s="743"/>
      <c r="G8" s="743"/>
      <c r="H8" s="743"/>
      <c r="I8" s="743"/>
      <c r="J8" s="743"/>
      <c r="K8" s="743"/>
      <c r="L8" s="743"/>
      <c r="M8" s="743"/>
      <c r="N8" s="743"/>
      <c r="O8" s="743"/>
      <c r="P8" s="743"/>
    </row>
    <row r="9" spans="1:16" ht="12" hidden="1" customHeight="1">
      <c r="A9" s="742"/>
      <c r="B9" s="743"/>
      <c r="C9" s="743"/>
      <c r="D9" s="744"/>
      <c r="E9" s="743"/>
      <c r="F9" s="743"/>
      <c r="G9" s="743"/>
      <c r="H9" s="743"/>
      <c r="I9" s="743"/>
      <c r="J9" s="743"/>
      <c r="K9" s="743"/>
      <c r="L9" s="743"/>
      <c r="M9" s="743"/>
      <c r="N9" s="743"/>
      <c r="O9" s="743"/>
      <c r="P9" s="743"/>
    </row>
    <row r="10" spans="1:16" ht="12" hidden="1" customHeight="1">
      <c r="A10" s="742"/>
      <c r="B10" s="743"/>
      <c r="C10" s="743"/>
      <c r="D10" s="744"/>
      <c r="E10" s="743"/>
      <c r="F10" s="743"/>
      <c r="G10" s="743"/>
      <c r="H10" s="743"/>
      <c r="I10" s="743"/>
      <c r="J10" s="743"/>
      <c r="K10" s="743"/>
      <c r="L10" s="743"/>
      <c r="M10" s="743"/>
      <c r="N10" s="743"/>
      <c r="O10" s="743"/>
      <c r="P10" s="743"/>
    </row>
    <row r="11" spans="1:16" ht="15" hidden="1" customHeight="1">
      <c r="A11" s="742"/>
      <c r="B11" s="743"/>
      <c r="C11" s="743"/>
      <c r="D11" s="744"/>
      <c r="E11" s="744"/>
      <c r="F11" s="744"/>
      <c r="G11" s="744"/>
      <c r="H11" s="744"/>
      <c r="I11" s="744"/>
      <c r="J11" s="744"/>
      <c r="K11" s="744"/>
      <c r="L11" s="745"/>
      <c r="M11" s="746"/>
      <c r="N11" s="745"/>
      <c r="O11" s="745"/>
      <c r="P11" s="743"/>
    </row>
    <row r="12" spans="1:16" ht="30" customHeight="1">
      <c r="A12" s="742"/>
      <c r="B12" s="743"/>
      <c r="C12" s="744"/>
      <c r="D12" s="744"/>
      <c r="E12" s="744"/>
      <c r="F12" s="744"/>
      <c r="G12" s="744"/>
      <c r="H12" s="744"/>
      <c r="I12" s="744"/>
      <c r="J12" s="744"/>
      <c r="K12" s="744"/>
      <c r="L12" s="650" t="s">
        <v>1274</v>
      </c>
      <c r="M12" s="651"/>
      <c r="N12" s="651"/>
      <c r="O12" s="651"/>
      <c r="P12" s="651"/>
    </row>
    <row r="13" spans="1:16">
      <c r="A13" s="742"/>
      <c r="B13" s="743"/>
      <c r="C13" s="743"/>
      <c r="D13" s="744"/>
      <c r="E13" s="747"/>
      <c r="F13" s="747"/>
      <c r="G13" s="747"/>
      <c r="H13" s="747"/>
      <c r="I13" s="747"/>
      <c r="J13" s="747"/>
      <c r="K13" s="747"/>
      <c r="L13" s="747"/>
      <c r="M13" s="747"/>
      <c r="N13" s="747"/>
      <c r="O13" s="748"/>
      <c r="P13" s="748"/>
    </row>
    <row r="14" spans="1:16" ht="28.5" customHeight="1">
      <c r="A14" s="749"/>
      <c r="B14" s="743"/>
      <c r="C14" s="743"/>
      <c r="D14" s="744"/>
      <c r="E14" s="747"/>
      <c r="F14" s="747"/>
      <c r="G14" s="747"/>
      <c r="H14" s="747"/>
      <c r="I14" s="747"/>
      <c r="J14" s="747"/>
      <c r="K14" s="747"/>
      <c r="L14" s="750" t="s">
        <v>16</v>
      </c>
      <c r="M14" s="751" t="s">
        <v>279</v>
      </c>
      <c r="N14" s="751" t="s">
        <v>280</v>
      </c>
      <c r="O14" s="751" t="s">
        <v>281</v>
      </c>
      <c r="P14" s="752" t="s">
        <v>1033</v>
      </c>
    </row>
    <row r="15" spans="1:16">
      <c r="A15" s="753" t="s">
        <v>18</v>
      </c>
      <c r="B15" s="743"/>
      <c r="C15" s="743"/>
      <c r="D15" s="744"/>
      <c r="E15" s="754"/>
      <c r="F15" s="754"/>
      <c r="G15" s="754"/>
      <c r="H15" s="754"/>
      <c r="I15" s="754"/>
      <c r="J15" s="754"/>
      <c r="K15" s="754"/>
      <c r="L15" s="755" t="s">
        <v>2545</v>
      </c>
      <c r="M15" s="756"/>
      <c r="N15" s="756"/>
      <c r="O15" s="756"/>
      <c r="P15" s="756"/>
    </row>
    <row r="16" spans="1:16" ht="12.75">
      <c r="A16" s="757">
        <v>1</v>
      </c>
      <c r="B16" s="743"/>
      <c r="C16" s="743"/>
      <c r="D16" s="758"/>
      <c r="E16" s="759"/>
      <c r="F16" s="759"/>
      <c r="G16" s="759"/>
      <c r="H16" s="759"/>
      <c r="I16" s="759"/>
      <c r="J16" s="759"/>
      <c r="K16" s="759"/>
      <c r="L16" s="760" t="s">
        <v>18</v>
      </c>
      <c r="M16" s="761" t="s">
        <v>2463</v>
      </c>
      <c r="N16" s="761" t="s">
        <v>2463</v>
      </c>
      <c r="O16" s="762" t="s">
        <v>2464</v>
      </c>
      <c r="P16" s="763"/>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WQE16">
      <formula1>MO_LIST_12</formula1>
    </dataValidation>
    <dataValidation type="list" showInputMessage="1" showErrorMessage="1" errorTitle="Внимание" error="Пожалуйста, выберите значение из списка" sqref="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WUB16">
      <formula1>DOCUMENT_TYPES</formula1>
    </dataValidation>
    <dataValidation type="list" allowBlank="1" showInputMessage="1" showErrorMessage="1" errorTitle="Внимание" error="Пожалуйста, выберите МР из списка!" sqref="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WQD16">
      <formula1>MR_LIST</formula1>
    </dataValidation>
    <dataValidation type="list" showInputMessage="1" showErrorMessage="1" errorTitle="Внимание" error="Пожалуйста, выберите значение из списка" sqref="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WSZ16">
      <formula1>MONTH_LIST</formula1>
    </dataValidation>
    <dataValidation type="whole" allowBlank="1" showInputMessage="1" showErrorMessage="1" errorTitle="Внимание" error="Пожалуйста, укажите число!" sqref="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WTA16">
      <formula1>1</formula1>
      <formula2>31</formula2>
    </dataValidation>
    <dataValidation type="list" showInputMessage="1" showErrorMessage="1" errorTitle="Внимание" error="Пожалуйста, выберите значение из списка" sqref="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WSQ16">
      <formula1>YES_NO</formula1>
    </dataValidation>
    <dataValidation type="list" allowBlank="1" showInputMessage="1" showErrorMessage="1" errorTitle="Внимание" error="Пожалуйста, выберите значение из списка!" sqref="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WTZ16">
      <formula1>YES_NO</formula1>
    </dataValidation>
    <dataValidation type="list" showInputMessage="1" showErrorMessage="1" errorTitle="Внимание" error="Пожалуйста, выберите значение из списка" sqref="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B16">
      <formula1>TF_END_YEAR_LIST</formula1>
    </dataValidation>
    <dataValidation type="list" showInputMessage="1" showErrorMessage="1" errorTitle="Внимание" error="Пожалуйста, выберите значение из списка" sqref="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WSY16">
      <formula1>TF_START_YEAR_LIST</formula1>
    </dataValidation>
    <dataValidation type="whole" allowBlank="1" showInputMessage="1" showErrorMessage="1" errorTitle="Внимание" error="Необходимо указать целое положительное значение!" sqref="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WQX16">
      <formula1>0</formula1>
      <formula2>10000000</formula2>
    </dataValidation>
    <dataValidation type="list" showInputMessage="1" showErrorMessage="1" errorTitle="Внимание" error="Пожалуйста, выберите МО из списка!" sqref="N16">
      <formula1>MO_LIST_22</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T27"/>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S28" sqref="S28"/>
    </sheetView>
  </sheetViews>
  <sheetFormatPr defaultColWidth="8.7109375" defaultRowHeight="11.25"/>
  <cols>
    <col min="1" max="1" width="8.7109375" style="57" hidden="1" customWidth="1"/>
    <col min="2" max="2" width="3.7109375" style="57" hidden="1" customWidth="1"/>
    <col min="3" max="10" width="9.7109375" style="58" hidden="1" customWidth="1"/>
    <col min="11" max="11" width="3.7109375" style="57" hidden="1" customWidth="1"/>
    <col min="12" max="12" width="6.7109375" style="57" customWidth="1"/>
    <col min="13" max="13" width="70.7109375" style="57" customWidth="1"/>
    <col min="14" max="14" width="15.7109375" style="57" customWidth="1"/>
    <col min="15" max="15" width="20.7109375" style="57" customWidth="1"/>
    <col min="16" max="16" width="20.7109375" style="66" customWidth="1"/>
    <col min="17" max="18" width="20.7109375" style="57" customWidth="1"/>
    <col min="19" max="19" width="20.7109375" style="66" customWidth="1"/>
    <col min="20" max="16384" width="8.7109375" style="57"/>
  </cols>
  <sheetData>
    <row r="1" spans="1:20" ht="12" hidden="1" customHeight="1">
      <c r="A1" s="743"/>
      <c r="B1" s="743"/>
      <c r="C1" s="744"/>
      <c r="D1" s="744"/>
      <c r="E1" s="744"/>
      <c r="F1" s="744"/>
      <c r="G1" s="744"/>
      <c r="H1" s="744"/>
      <c r="I1" s="744"/>
      <c r="J1" s="744"/>
      <c r="K1" s="743"/>
      <c r="L1" s="743"/>
      <c r="M1" s="743"/>
      <c r="N1" s="743"/>
      <c r="O1" s="743"/>
      <c r="P1" s="743"/>
      <c r="Q1" s="743"/>
      <c r="R1" s="743"/>
      <c r="S1" s="743"/>
      <c r="T1" s="743"/>
    </row>
    <row r="2" spans="1:20" ht="12" hidden="1" customHeight="1">
      <c r="A2" s="743"/>
      <c r="B2" s="743"/>
      <c r="C2" s="744"/>
      <c r="D2" s="744"/>
      <c r="E2" s="744"/>
      <c r="F2" s="744"/>
      <c r="G2" s="744"/>
      <c r="H2" s="744"/>
      <c r="I2" s="744"/>
      <c r="J2" s="744"/>
      <c r="K2" s="744"/>
      <c r="L2" s="744"/>
      <c r="M2" s="764"/>
      <c r="N2" s="764"/>
      <c r="O2" s="764"/>
      <c r="P2" s="764"/>
      <c r="Q2" s="743"/>
      <c r="R2" s="743"/>
      <c r="S2" s="764"/>
      <c r="T2" s="743"/>
    </row>
    <row r="3" spans="1:20" ht="12" hidden="1" customHeight="1">
      <c r="A3" s="743"/>
      <c r="B3" s="743"/>
      <c r="C3" s="744"/>
      <c r="D3" s="744"/>
      <c r="E3" s="744"/>
      <c r="F3" s="744"/>
      <c r="G3" s="744"/>
      <c r="H3" s="744"/>
      <c r="I3" s="744"/>
      <c r="J3" s="744"/>
      <c r="K3" s="744"/>
      <c r="L3" s="744"/>
      <c r="M3" s="764"/>
      <c r="N3" s="764"/>
      <c r="O3" s="764"/>
      <c r="P3" s="764"/>
      <c r="Q3" s="743"/>
      <c r="R3" s="743"/>
      <c r="S3" s="764"/>
      <c r="T3" s="743"/>
    </row>
    <row r="4" spans="1:20" ht="12" hidden="1" customHeight="1">
      <c r="A4" s="743"/>
      <c r="B4" s="743"/>
      <c r="C4" s="744"/>
      <c r="D4" s="744"/>
      <c r="E4" s="744"/>
      <c r="F4" s="744"/>
      <c r="G4" s="744"/>
      <c r="H4" s="744"/>
      <c r="I4" s="744"/>
      <c r="J4" s="744"/>
      <c r="K4" s="744"/>
      <c r="L4" s="744"/>
      <c r="M4" s="764"/>
      <c r="N4" s="764"/>
      <c r="O4" s="764"/>
      <c r="P4" s="764"/>
      <c r="Q4" s="743"/>
      <c r="R4" s="743"/>
      <c r="S4" s="764"/>
      <c r="T4" s="743"/>
    </row>
    <row r="5" spans="1:20" ht="12" hidden="1" customHeight="1">
      <c r="A5" s="743"/>
      <c r="B5" s="743"/>
      <c r="C5" s="744"/>
      <c r="D5" s="744"/>
      <c r="E5" s="744"/>
      <c r="F5" s="744"/>
      <c r="G5" s="744"/>
      <c r="H5" s="744"/>
      <c r="I5" s="744"/>
      <c r="J5" s="744"/>
      <c r="K5" s="744"/>
      <c r="L5" s="744"/>
      <c r="M5" s="764"/>
      <c r="N5" s="764"/>
      <c r="O5" s="764"/>
      <c r="P5" s="764"/>
      <c r="Q5" s="743"/>
      <c r="R5" s="743"/>
      <c r="S5" s="764"/>
      <c r="T5" s="743"/>
    </row>
    <row r="6" spans="1:20" ht="12" hidden="1" customHeight="1">
      <c r="A6" s="743"/>
      <c r="B6" s="743"/>
      <c r="C6" s="744"/>
      <c r="D6" s="744"/>
      <c r="E6" s="744"/>
      <c r="F6" s="744"/>
      <c r="G6" s="744"/>
      <c r="H6" s="744"/>
      <c r="I6" s="744"/>
      <c r="J6" s="744"/>
      <c r="K6" s="744"/>
      <c r="L6" s="744"/>
      <c r="M6" s="764"/>
      <c r="N6" s="764"/>
      <c r="O6" s="764"/>
      <c r="P6" s="764"/>
      <c r="Q6" s="743"/>
      <c r="R6" s="743"/>
      <c r="S6" s="764"/>
      <c r="T6" s="743"/>
    </row>
    <row r="7" spans="1:20" ht="12" hidden="1" customHeight="1">
      <c r="A7" s="743"/>
      <c r="B7" s="743"/>
      <c r="C7" s="744"/>
      <c r="D7" s="744"/>
      <c r="E7" s="744"/>
      <c r="F7" s="744"/>
      <c r="G7" s="744"/>
      <c r="H7" s="744"/>
      <c r="I7" s="744"/>
      <c r="J7" s="744"/>
      <c r="K7" s="744"/>
      <c r="L7" s="744"/>
      <c r="M7" s="764"/>
      <c r="N7" s="764"/>
      <c r="O7" s="764"/>
      <c r="P7" s="764"/>
      <c r="Q7" s="743"/>
      <c r="R7" s="743"/>
      <c r="S7" s="764"/>
      <c r="T7" s="743"/>
    </row>
    <row r="8" spans="1:20" ht="12" hidden="1" customHeight="1">
      <c r="A8" s="743"/>
      <c r="B8" s="743"/>
      <c r="C8" s="744"/>
      <c r="D8" s="744"/>
      <c r="E8" s="744"/>
      <c r="F8" s="744"/>
      <c r="G8" s="744"/>
      <c r="H8" s="744"/>
      <c r="I8" s="744"/>
      <c r="J8" s="744"/>
      <c r="K8" s="744"/>
      <c r="L8" s="744"/>
      <c r="M8" s="764"/>
      <c r="N8" s="764"/>
      <c r="O8" s="764"/>
      <c r="P8" s="764"/>
      <c r="Q8" s="743"/>
      <c r="R8" s="743"/>
      <c r="S8" s="764"/>
      <c r="T8" s="743"/>
    </row>
    <row r="9" spans="1:20" ht="12" hidden="1" customHeight="1">
      <c r="A9" s="743"/>
      <c r="B9" s="743"/>
      <c r="C9" s="744"/>
      <c r="D9" s="744"/>
      <c r="E9" s="744"/>
      <c r="F9" s="744"/>
      <c r="G9" s="744"/>
      <c r="H9" s="744"/>
      <c r="I9" s="744"/>
      <c r="J9" s="744"/>
      <c r="K9" s="744"/>
      <c r="L9" s="744"/>
      <c r="M9" s="764"/>
      <c r="N9" s="764"/>
      <c r="O9" s="764"/>
      <c r="P9" s="764"/>
      <c r="Q9" s="743"/>
      <c r="R9" s="743"/>
      <c r="S9" s="764"/>
      <c r="T9" s="743"/>
    </row>
    <row r="10" spans="1:20" ht="12" hidden="1" customHeight="1">
      <c r="A10" s="743"/>
      <c r="B10" s="743"/>
      <c r="C10" s="744"/>
      <c r="D10" s="744"/>
      <c r="E10" s="744"/>
      <c r="F10" s="744"/>
      <c r="G10" s="744"/>
      <c r="H10" s="744"/>
      <c r="I10" s="744"/>
      <c r="J10" s="744"/>
      <c r="K10" s="744"/>
      <c r="L10" s="744"/>
      <c r="M10" s="764"/>
      <c r="N10" s="764"/>
      <c r="O10" s="764"/>
      <c r="P10" s="764"/>
      <c r="Q10" s="743"/>
      <c r="R10" s="743"/>
      <c r="S10" s="764"/>
      <c r="T10" s="743"/>
    </row>
    <row r="11" spans="1:20" ht="15" hidden="1" customHeight="1">
      <c r="A11" s="743"/>
      <c r="B11" s="743"/>
      <c r="C11" s="744"/>
      <c r="D11" s="744"/>
      <c r="E11" s="744"/>
      <c r="F11" s="744"/>
      <c r="G11" s="744"/>
      <c r="H11" s="744"/>
      <c r="I11" s="744"/>
      <c r="J11" s="744"/>
      <c r="K11" s="765"/>
      <c r="L11" s="765"/>
      <c r="M11" s="746"/>
      <c r="N11" s="765"/>
      <c r="O11" s="765"/>
      <c r="P11" s="765"/>
      <c r="Q11" s="743"/>
      <c r="R11" s="743"/>
      <c r="S11" s="765"/>
      <c r="T11" s="743"/>
    </row>
    <row r="12" spans="1:20" ht="21" customHeight="1">
      <c r="A12" s="743"/>
      <c r="B12" s="744"/>
      <c r="C12" s="744"/>
      <c r="D12" s="744"/>
      <c r="E12" s="744"/>
      <c r="F12" s="744"/>
      <c r="G12" s="744"/>
      <c r="H12" s="744"/>
      <c r="I12" s="744"/>
      <c r="J12" s="744"/>
      <c r="K12" s="744"/>
      <c r="L12" s="652" t="s">
        <v>1275</v>
      </c>
      <c r="M12" s="653"/>
      <c r="N12" s="653"/>
      <c r="O12" s="653"/>
      <c r="P12" s="653"/>
      <c r="Q12" s="653"/>
      <c r="R12" s="653"/>
      <c r="S12" s="653"/>
      <c r="T12" s="743"/>
    </row>
    <row r="13" spans="1:20" ht="9" customHeight="1">
      <c r="A13" s="743"/>
      <c r="B13" s="743"/>
      <c r="C13" s="744"/>
      <c r="D13" s="744"/>
      <c r="E13" s="744"/>
      <c r="F13" s="744"/>
      <c r="G13" s="744"/>
      <c r="H13" s="744"/>
      <c r="I13" s="744"/>
      <c r="J13" s="744"/>
      <c r="K13" s="747"/>
      <c r="L13" s="747"/>
      <c r="M13" s="747"/>
      <c r="N13" s="747"/>
      <c r="O13" s="747"/>
      <c r="P13" s="766"/>
      <c r="Q13" s="766"/>
      <c r="R13" s="767"/>
      <c r="S13" s="767"/>
      <c r="T13" s="743"/>
    </row>
    <row r="14" spans="1:20" ht="21" customHeight="1">
      <c r="A14" s="743"/>
      <c r="B14" s="743"/>
      <c r="C14" s="744"/>
      <c r="D14" s="744"/>
      <c r="E14" s="744"/>
      <c r="F14" s="744"/>
      <c r="G14" s="744"/>
      <c r="H14" s="744"/>
      <c r="I14" s="744"/>
      <c r="J14" s="744"/>
      <c r="K14" s="747"/>
      <c r="L14" s="768" t="s">
        <v>16</v>
      </c>
      <c r="M14" s="768" t="s">
        <v>121</v>
      </c>
      <c r="N14" s="768" t="s">
        <v>143</v>
      </c>
      <c r="O14" s="769" t="s">
        <v>2567</v>
      </c>
      <c r="P14" s="770" t="s">
        <v>2568</v>
      </c>
      <c r="Q14" s="770" t="s">
        <v>2569</v>
      </c>
      <c r="R14" s="770" t="s">
        <v>2569</v>
      </c>
      <c r="S14" s="654" t="s">
        <v>109</v>
      </c>
      <c r="T14" s="743"/>
    </row>
    <row r="15" spans="1:20" s="67" customFormat="1" ht="36" customHeight="1">
      <c r="A15" s="771" t="s">
        <v>1155</v>
      </c>
      <c r="B15" s="771"/>
      <c r="C15" s="771"/>
      <c r="D15" s="771"/>
      <c r="E15" s="771"/>
      <c r="F15" s="771"/>
      <c r="G15" s="771"/>
      <c r="H15" s="771"/>
      <c r="I15" s="771"/>
      <c r="J15" s="771"/>
      <c r="K15" s="771"/>
      <c r="L15" s="768"/>
      <c r="M15" s="768"/>
      <c r="N15" s="768"/>
      <c r="O15" s="770" t="s">
        <v>286</v>
      </c>
      <c r="P15" s="770" t="s">
        <v>286</v>
      </c>
      <c r="Q15" s="770" t="s">
        <v>287</v>
      </c>
      <c r="R15" s="770" t="s">
        <v>286</v>
      </c>
      <c r="S15" s="655"/>
      <c r="T15" s="771"/>
    </row>
    <row r="16" spans="1:20" s="67" customFormat="1">
      <c r="A16" s="772" t="s">
        <v>18</v>
      </c>
      <c r="B16" s="771"/>
      <c r="C16" s="771"/>
      <c r="D16" s="771"/>
      <c r="E16" s="771"/>
      <c r="F16" s="771"/>
      <c r="G16" s="771"/>
      <c r="H16" s="771"/>
      <c r="I16" s="771"/>
      <c r="J16" s="771"/>
      <c r="K16" s="771"/>
      <c r="L16" s="773" t="s">
        <v>2545</v>
      </c>
      <c r="M16" s="755"/>
      <c r="N16" s="756"/>
      <c r="O16" s="756"/>
      <c r="P16" s="756"/>
      <c r="Q16" s="756"/>
      <c r="R16" s="756"/>
      <c r="S16" s="756"/>
      <c r="T16" s="771"/>
    </row>
    <row r="17" spans="1:20" s="67" customFormat="1">
      <c r="A17" s="772" t="s">
        <v>18</v>
      </c>
      <c r="B17" s="771"/>
      <c r="C17" s="771"/>
      <c r="D17" s="771"/>
      <c r="E17" s="771"/>
      <c r="F17" s="771"/>
      <c r="G17" s="771"/>
      <c r="H17" s="771"/>
      <c r="I17" s="771"/>
      <c r="J17" s="771"/>
      <c r="K17" s="771"/>
      <c r="L17" s="774">
        <v>1</v>
      </c>
      <c r="M17" s="775" t="s">
        <v>288</v>
      </c>
      <c r="N17" s="776" t="s">
        <v>289</v>
      </c>
      <c r="O17" s="777">
        <v>1</v>
      </c>
      <c r="P17" s="778">
        <v>1</v>
      </c>
      <c r="Q17" s="778">
        <v>1</v>
      </c>
      <c r="R17" s="778">
        <v>1</v>
      </c>
      <c r="S17" s="779"/>
      <c r="T17" s="771"/>
    </row>
    <row r="18" spans="1:20" s="67" customFormat="1">
      <c r="A18" s="772" t="s">
        <v>18</v>
      </c>
      <c r="B18" s="771"/>
      <c r="C18" s="771"/>
      <c r="D18" s="771"/>
      <c r="E18" s="771"/>
      <c r="F18" s="771"/>
      <c r="G18" s="771"/>
      <c r="H18" s="771"/>
      <c r="I18" s="771"/>
      <c r="J18" s="771"/>
      <c r="K18" s="771"/>
      <c r="L18" s="774">
        <v>2</v>
      </c>
      <c r="M18" s="775" t="s">
        <v>290</v>
      </c>
      <c r="N18" s="776" t="s">
        <v>289</v>
      </c>
      <c r="O18" s="777"/>
      <c r="P18" s="778"/>
      <c r="Q18" s="778"/>
      <c r="R18" s="778"/>
      <c r="S18" s="779"/>
      <c r="T18" s="771"/>
    </row>
    <row r="19" spans="1:20" s="67" customFormat="1">
      <c r="A19" s="772" t="s">
        <v>18</v>
      </c>
      <c r="B19" s="771"/>
      <c r="C19" s="771"/>
      <c r="D19" s="771"/>
      <c r="E19" s="771"/>
      <c r="F19" s="771"/>
      <c r="G19" s="771"/>
      <c r="H19" s="771"/>
      <c r="I19" s="771"/>
      <c r="J19" s="771"/>
      <c r="K19" s="771"/>
      <c r="L19" s="774">
        <v>3</v>
      </c>
      <c r="M19" s="775" t="s">
        <v>291</v>
      </c>
      <c r="N19" s="776" t="s">
        <v>289</v>
      </c>
      <c r="O19" s="777"/>
      <c r="P19" s="778"/>
      <c r="Q19" s="778"/>
      <c r="R19" s="778"/>
      <c r="S19" s="779"/>
      <c r="T19" s="771"/>
    </row>
    <row r="20" spans="1:20" s="67" customFormat="1">
      <c r="A20" s="772" t="s">
        <v>18</v>
      </c>
      <c r="B20" s="771"/>
      <c r="C20" s="771"/>
      <c r="D20" s="771"/>
      <c r="E20" s="771"/>
      <c r="F20" s="771"/>
      <c r="G20" s="771"/>
      <c r="H20" s="771"/>
      <c r="I20" s="771"/>
      <c r="J20" s="771"/>
      <c r="K20" s="771"/>
      <c r="L20" s="774">
        <v>4</v>
      </c>
      <c r="M20" s="775" t="s">
        <v>292</v>
      </c>
      <c r="N20" s="776" t="s">
        <v>289</v>
      </c>
      <c r="O20" s="777"/>
      <c r="P20" s="778"/>
      <c r="Q20" s="778"/>
      <c r="R20" s="778"/>
      <c r="S20" s="779"/>
      <c r="T20" s="771"/>
    </row>
    <row r="21" spans="1:20" s="67" customFormat="1">
      <c r="A21" s="772" t="s">
        <v>18</v>
      </c>
      <c r="B21" s="771"/>
      <c r="C21" s="771"/>
      <c r="D21" s="771"/>
      <c r="E21" s="771"/>
      <c r="F21" s="771"/>
      <c r="G21" s="771"/>
      <c r="H21" s="771"/>
      <c r="I21" s="771"/>
      <c r="J21" s="771"/>
      <c r="K21" s="771"/>
      <c r="L21" s="774">
        <v>5</v>
      </c>
      <c r="M21" s="775" t="s">
        <v>293</v>
      </c>
      <c r="N21" s="776" t="s">
        <v>294</v>
      </c>
      <c r="O21" s="780"/>
      <c r="P21" s="781"/>
      <c r="Q21" s="781"/>
      <c r="R21" s="781"/>
      <c r="S21" s="779"/>
      <c r="T21" s="771"/>
    </row>
    <row r="22" spans="1:20" s="67" customFormat="1">
      <c r="A22" s="772" t="s">
        <v>18</v>
      </c>
      <c r="B22" s="771"/>
      <c r="C22" s="771"/>
      <c r="D22" s="771"/>
      <c r="E22" s="771"/>
      <c r="F22" s="771"/>
      <c r="G22" s="771"/>
      <c r="H22" s="771"/>
      <c r="I22" s="771"/>
      <c r="J22" s="771"/>
      <c r="K22" s="771"/>
      <c r="L22" s="774"/>
      <c r="M22" s="775" t="s">
        <v>1233</v>
      </c>
      <c r="N22" s="776"/>
      <c r="O22" s="782"/>
      <c r="P22" s="783"/>
      <c r="Q22" s="783"/>
      <c r="R22" s="783"/>
      <c r="S22" s="784"/>
      <c r="T22" s="771"/>
    </row>
    <row r="23" spans="1:20" s="67" customFormat="1">
      <c r="A23" s="771"/>
      <c r="B23" s="771"/>
      <c r="C23" s="771"/>
      <c r="D23" s="771"/>
      <c r="E23" s="771"/>
      <c r="F23" s="771"/>
      <c r="G23" s="771"/>
      <c r="H23" s="771"/>
      <c r="I23" s="771"/>
      <c r="J23" s="771"/>
      <c r="K23" s="771"/>
      <c r="L23" s="771"/>
      <c r="M23" s="771"/>
      <c r="N23" s="771"/>
      <c r="O23" s="771"/>
      <c r="P23" s="771"/>
      <c r="Q23" s="771"/>
      <c r="R23" s="771"/>
      <c r="S23" s="771"/>
      <c r="T23" s="771"/>
    </row>
    <row r="24" spans="1:20" s="67" customFormat="1" ht="24" customHeight="1">
      <c r="A24" s="771"/>
      <c r="B24" s="771"/>
      <c r="C24" s="771"/>
      <c r="D24" s="771"/>
      <c r="E24" s="771"/>
      <c r="F24" s="771"/>
      <c r="G24" s="771"/>
      <c r="H24" s="771"/>
      <c r="I24" s="771"/>
      <c r="J24" s="771"/>
      <c r="K24" s="771"/>
      <c r="L24" s="785" t="s">
        <v>1276</v>
      </c>
      <c r="M24" s="786"/>
      <c r="N24" s="786"/>
      <c r="O24" s="786"/>
      <c r="P24" s="786"/>
      <c r="Q24" s="786"/>
      <c r="R24" s="786"/>
      <c r="S24" s="786"/>
      <c r="T24" s="771"/>
    </row>
    <row r="25" spans="1:20" s="67" customFormat="1">
      <c r="A25" s="771"/>
      <c r="B25" s="771"/>
      <c r="C25" s="771"/>
      <c r="D25" s="771"/>
      <c r="E25" s="771"/>
      <c r="F25" s="771"/>
      <c r="G25" s="771"/>
      <c r="H25" s="771"/>
      <c r="I25" s="771"/>
      <c r="J25" s="771"/>
      <c r="K25" s="771"/>
      <c r="L25" s="787"/>
      <c r="M25" s="788"/>
      <c r="N25" s="788"/>
      <c r="O25" s="788"/>
      <c r="P25" s="788"/>
      <c r="Q25" s="788"/>
      <c r="R25" s="788"/>
      <c r="S25" s="788"/>
      <c r="T25" s="771"/>
    </row>
    <row r="26" spans="1:20" s="67" customFormat="1" ht="45.75" customHeight="1">
      <c r="A26" s="771" t="s">
        <v>1155</v>
      </c>
      <c r="B26" s="771"/>
      <c r="C26" s="771"/>
      <c r="D26" s="771"/>
      <c r="E26" s="771"/>
      <c r="F26" s="771"/>
      <c r="G26" s="771"/>
      <c r="H26" s="771"/>
      <c r="I26" s="771"/>
      <c r="J26" s="771"/>
      <c r="K26" s="771"/>
      <c r="L26" s="789" t="s">
        <v>16</v>
      </c>
      <c r="M26" s="790" t="s">
        <v>298</v>
      </c>
      <c r="N26" s="790" t="s">
        <v>299</v>
      </c>
      <c r="O26" s="791" t="s">
        <v>1206</v>
      </c>
      <c r="P26" s="791"/>
      <c r="Q26" s="791"/>
      <c r="R26" s="790" t="s">
        <v>1207</v>
      </c>
      <c r="S26" s="790" t="s">
        <v>300</v>
      </c>
      <c r="T26" s="771"/>
    </row>
    <row r="27" spans="1:20" s="70" customFormat="1" ht="22.5">
      <c r="A27" s="792"/>
      <c r="B27" s="793"/>
      <c r="C27" s="793"/>
      <c r="D27" s="793"/>
      <c r="E27" s="793"/>
      <c r="F27" s="793"/>
      <c r="G27" s="793"/>
      <c r="H27" s="793"/>
      <c r="I27" s="793"/>
      <c r="J27" s="793"/>
      <c r="K27" s="724"/>
      <c r="L27" s="794">
        <v>1</v>
      </c>
      <c r="M27" s="795" t="s">
        <v>2520</v>
      </c>
      <c r="N27" s="796" t="s">
        <v>1407</v>
      </c>
      <c r="O27" s="797" t="s">
        <v>1417</v>
      </c>
      <c r="P27" s="797"/>
      <c r="Q27" s="797"/>
      <c r="R27" s="798" t="s">
        <v>2521</v>
      </c>
      <c r="S27" s="795" t="s">
        <v>2522</v>
      </c>
      <c r="T27" s="799"/>
    </row>
  </sheetData>
  <sheetProtection formatColumns="0" formatRows="0" autoFilter="0"/>
  <mergeCells count="10">
    <mergeCell ref="O27:Q27"/>
    <mergeCell ref="O22:S22"/>
    <mergeCell ref="L12:S12"/>
    <mergeCell ref="L14:L15"/>
    <mergeCell ref="L24:S24"/>
    <mergeCell ref="O26:Q26"/>
    <mergeCell ref="P13:Q13"/>
    <mergeCell ref="M14:M15"/>
    <mergeCell ref="N14:N15"/>
    <mergeCell ref="S14:S15"/>
  </mergeCells>
  <dataValidations count="4">
    <dataValidation type="list" allowBlank="1" showInputMessage="1" errorTitle="Ошибка" error="Выберите значение из списка" prompt="Выберите значение из списка или укажите свой вариант" sqref="O27:Q27">
      <formula1>support_docs_list</formula1>
    </dataValidation>
    <dataValidation type="list" allowBlank="1" showInputMessage="1" showErrorMessage="1" errorTitle="Ошибка" error="Выберите значение из списка" prompt="Выберите значение из списка" sqref="N27">
      <formula1>osn_expl_list</formula1>
    </dataValidation>
    <dataValidation type="decimal" allowBlank="1" showErrorMessage="1" errorTitle="Ошибка" error="Допускается ввод только неотрицательных чисел!" sqref="O21:R21">
      <formula1>0</formula1>
      <formula2>9.99999999999999E+23</formula2>
    </dataValidation>
    <dataValidation type="whole" allowBlank="1" showErrorMessage="1" errorTitle="Ошибка" error="Допускается ввод только неотрицательных целых чисел!" sqref="O17:R20">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56</vt:i4>
      </vt:variant>
      <vt:variant>
        <vt:lpstr>Именованные диапазоны</vt:lpstr>
      </vt:variant>
      <vt:variant>
        <vt:i4>253</vt:i4>
      </vt:variant>
    </vt:vector>
  </HeadingPairs>
  <TitlesOfParts>
    <vt:vector size="309" baseType="lpstr">
      <vt:lpstr>modProv</vt:lpstr>
      <vt:lpstr>Инструкция</vt:lpstr>
      <vt:lpstr>Лог обновления</vt:lpstr>
      <vt:lpstr>Пояснения</vt:lpstr>
      <vt:lpstr>Список листов</vt:lpstr>
      <vt:lpstr>Общие сведения</vt:lpstr>
      <vt:lpstr>et_union</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Налоги</vt:lpstr>
      <vt:lpstr>ИП + источники</vt:lpstr>
      <vt:lpstr>Экономия_корр</vt:lpstr>
      <vt:lpstr>Корректировка НВВ</vt:lpstr>
      <vt:lpstr>Калькуляция</vt:lpstr>
      <vt:lpstr>ТМ</vt:lpstr>
      <vt:lpstr>ДПР</vt:lpstr>
      <vt:lpstr>ДПР (концессии)</vt:lpstr>
      <vt:lpstr>TEHSHEET</vt:lpstr>
      <vt:lpstr>Комментарии</vt:lpstr>
      <vt:lpstr>Проверка</vt:lpstr>
      <vt:lpstr>modProvGeneralProc</vt:lpstr>
      <vt:lpstr>REESTR_MO</vt:lpstr>
      <vt:lpstr>REESTR_ORG</vt:lpstr>
      <vt:lpstr>REESTR_TARIFF</vt:lpstr>
      <vt:lpstr>OKOPF</vt:lpstr>
      <vt:lpstr>modfrmRegion</vt:lpstr>
      <vt:lpstr>modfrmSelectTariff</vt:lpstr>
      <vt:lpstr>modHTTP</vt:lpstr>
      <vt:lpstr>modCheckCyan</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modList11</vt:lpstr>
      <vt:lpstr>modList16</vt:lpstr>
      <vt:lpstr>modList18</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List00_tariff_start</vt:lpstr>
      <vt:lpstr>List00_vis_flags</vt:lpstr>
      <vt:lpstr>List01_mo_column</vt:lpstr>
      <vt:lpstr>List01_mr_column</vt:lpstr>
      <vt:lpstr>List02_osn_ekpl_range</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List15_vis_flags</vt:lpstr>
      <vt:lpstr>List15_vis_flags2</vt:lpstr>
      <vt:lpstr>List16_vis_flags</vt:lpstr>
      <vt:lpstr>List16_vis_flags2</vt:lpstr>
      <vt:lpstr>List17_check_range1</vt:lpstr>
      <vt:lpstr>List17_vis_flags</vt:lpstr>
      <vt:lpstr>List18_vis_flags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onlyOneYear</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plat_nds</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Экономия_корр!Заголовки_для_печати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(корректировка)</dc:title>
  <dc:subject>Экспертное заключение об установлении тарифов в сфере холодного водоснабжения/водоотведения методом индексации (корректировка)</dc:subject>
  <dc:creator>user</dc:creator>
  <cp:lastModifiedBy>Башаева Марина Юрьевна</cp:lastModifiedBy>
  <cp:lastPrinted>2010-03-18T14:38:46Z</cp:lastPrinted>
  <dcterms:created xsi:type="dcterms:W3CDTF">2004-05-21T07:18:45Z</dcterms:created>
  <dcterms:modified xsi:type="dcterms:W3CDTF">2023-12-14T12:49:05Z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EXPERT.VSVO.INDEX.CORR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