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150" yWindow="-210" windowWidth="18615" windowHeight="12285" tabRatio="886" firstSheet="12" activeTab="12"/>
  </bookViews>
  <sheets>
    <sheet name="modList00" sheetId="542" state="hidden" r:id="rId1"/>
    <sheet name="modHTTP" sheetId="545" state="hidden" r:id="rId2"/>
    <sheet name="modPreload" sheetId="546" state="hidden" r:id="rId3"/>
    <sheet name="modProvGeneralProc" sheetId="547" state="hidden" r:id="rId4"/>
    <sheet name="modReestr" sheetId="548" state="hidden" r:id="rId5"/>
    <sheet name="modList02" sheetId="549" state="hidden" r:id="rId6"/>
    <sheet name="modfrmReestrSource" sheetId="550" state="hidden" r:id="rId7"/>
    <sheet name="modProv" sheetId="551"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ФОТ" sheetId="526" r:id="rId23"/>
    <sheet name="Административные" sheetId="527" r:id="rId24"/>
    <sheet name="Сбытовые расходы ГО" sheetId="528" r:id="rId25"/>
    <sheet name="Налоги" sheetId="498" r:id="rId26"/>
    <sheet name="ИП + источники" sheetId="499" r:id="rId27"/>
    <sheet name="Экономия_корр" sheetId="500" r:id="rId28"/>
    <sheet name="Плата за негативное возд" sheetId="501" state="veryHidden" r:id="rId29"/>
    <sheet name="Корректировка НВВ" sheetId="502" r:id="rId30"/>
    <sheet name="Калькуляция" sheetId="503" r:id="rId31"/>
    <sheet name="ТМ" sheetId="504" r:id="rId32"/>
    <sheet name="ДПР" sheetId="519" r:id="rId33"/>
    <sheet name="ДПР (концессии)" sheetId="522" r:id="rId34"/>
    <sheet name="Комментарии" sheetId="449" r:id="rId35"/>
    <sheet name="Проверка" sheetId="450" state="hidden" r:id="rId36"/>
    <sheet name="et_union" sheetId="225" state="hidden" r:id="rId37"/>
    <sheet name="TEHSHEET" sheetId="507" state="hidden" r:id="rId38"/>
    <sheet name="REESTR_TARIFF" sheetId="533" state="hidden" r:id="rId39"/>
    <sheet name="REESTR_OBJECT" sheetId="540" state="hidden" r:id="rId40"/>
    <sheet name="modList11" sheetId="525" state="hidden" r:id="rId41"/>
    <sheet name="REESTR_MO" sheetId="509" state="hidden" r:id="rId42"/>
    <sheet name="REESTR_ORG" sheetId="390" state="hidden" r:id="rId43"/>
    <sheet name="DICTIONARIES" sheetId="511" state="hidden" r:id="rId44"/>
    <sheet name="modfrmRegion" sheetId="485" state="hidden" r:id="rId45"/>
    <sheet name="modfrmSelectTariff" sheetId="532" state="hidden" r:id="rId46"/>
    <sheet name="modCheckCyan" sheetId="517" state="hidden" r:id="rId47"/>
    <sheet name="modfrmActivity" sheetId="510" state="hidden" r:id="rId48"/>
    <sheet name="modfrmCheckUpdates" sheetId="472" state="hidden" r:id="rId49"/>
    <sheet name="modUpdTemplMain" sheetId="473" state="hidden" r:id="rId50"/>
    <sheet name="modThisWorkbook" sheetId="474" state="hidden" r:id="rId51"/>
    <sheet name="modInstruction" sheetId="467" state="hidden" r:id="rId52"/>
    <sheet name="AllSheetsInThisWorkbook" sheetId="389" state="hidden" r:id="rId53"/>
    <sheet name="modHyp" sheetId="398" state="hidden" r:id="rId54"/>
    <sheet name="modfrmReestr" sheetId="451" state="hidden" r:id="rId55"/>
    <sheet name="modfrmDPR" sheetId="541" state="hidden" r:id="rId56"/>
    <sheet name="modfrmSelectTemplate" sheetId="537" state="hidden" r:id="rId57"/>
    <sheet name="modList01" sheetId="512" state="hidden" r:id="rId58"/>
    <sheet name="modList05" sheetId="514" state="hidden" r:id="rId59"/>
    <sheet name="modList06" sheetId="515" state="hidden" r:id="rId60"/>
    <sheet name="modList09" sheetId="516" state="hidden" r:id="rId61"/>
    <sheet name="modList10" sheetId="518" state="hidden" r:id="rId62"/>
    <sheet name="modList16" sheetId="520" state="hidden" r:id="rId63"/>
    <sheet name="modList18" sheetId="523" state="hidden" r:id="rId64"/>
    <sheet name="modList19" sheetId="529" state="hidden" r:id="rId65"/>
    <sheet name="modList20" sheetId="530" state="hidden" r:id="rId66"/>
    <sheet name="modList21" sheetId="531" state="hidden" r:id="rId67"/>
    <sheet name="modList15" sheetId="534" state="hidden" r:id="rId68"/>
    <sheet name="modList17" sheetId="538" state="hidden" r:id="rId69"/>
  </sheets>
  <definedNames>
    <definedName name="_xlnm._FilterDatabase" localSheetId="35"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et_List19_dolj">et_union!$827:$829</definedName>
    <definedName name="et_List19_tariff">et_union!$809:$825</definedName>
    <definedName name="et_List20_1">et_union!$853:$853</definedName>
    <definedName name="et_List20_tariff">et_union!$833:$851</definedName>
    <definedName name="et_List21_1">et_union!$870:$870</definedName>
    <definedName name="et_List21_tariff">et_union!$857:$868</definedName>
    <definedName name="FIRST_TIME_REG">'Общие сведения'!$H$110</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сведения'!$H$7:$H$138</definedName>
    <definedName name="List00_del_tariff_range">'Общие сведения'!$I$114:$I$127</definedName>
    <definedName name="List00_LOAD_1">'Общие сведения'!$H$28:$H$136</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сведения'!$B$113:$B$127</definedName>
    <definedName name="List01_mo_column">'Список территорий'!$N$14:$N$17</definedName>
    <definedName name="List01_mr_column">'Список территорий'!$M$14:$M$17</definedName>
    <definedName name="List02_indicators2">'Список объектов'!$M$25:$R$25</definedName>
    <definedName name="List02_LOAD_1">'Список объектов'!$O$15:$R$23</definedName>
    <definedName name="List02_LOAD_2">'Список объектов'!$S$14:$S$23</definedName>
    <definedName name="List02_LOAD_3">'Список объектов'!$M$26:$R$30</definedName>
    <definedName name="List02_object_range">'Список объектов'!$M$26:$M$30</definedName>
    <definedName name="List02_osn_ekpl_range">'Список объектов'!$N$26:$N$30</definedName>
    <definedName name="List03_LOAD">Сценарии!$Y$15:$AP$35,Сценарии!$S$15:$U$35,Сценарии!$O$15:$Q$35</definedName>
    <definedName name="List03_LOAD_COM">Сценарии!$R$15:$R$35,Сценарии!$X$15:$X$35</definedName>
    <definedName name="List03_vis_flags">Сценарии!$Y$7:$AP$7</definedName>
    <definedName name="List03_vis_flags2">Сценарии!$G$15:$G$35</definedName>
    <definedName name="List04_check_range1">Баланс!$O$16:$AL$67</definedName>
    <definedName name="List04_LOAD_VO">Баланс!$O$62:$AL$63</definedName>
    <definedName name="List04_LOAD_VO_COM">Баланс!$AM$61:$AM$63</definedName>
    <definedName name="List04_LOAD_VOTR">Баланс!$O$66:$AL$67</definedName>
    <definedName name="List04_LOAD_VOTR_COM">Баланс!$AM$65:$AM$67</definedName>
    <definedName name="List04_LOAD_VS">Баланс!$O$16:$AL$55</definedName>
    <definedName name="List04_LOAD_VS_COM">Баланс!$AM$15:$AM$55</definedName>
    <definedName name="List04_LOAD_VSTR">Баланс!$O$58:$AL$59</definedName>
    <definedName name="List04_LOAD_VSTR_COM">Баланс!$AM$57:$AM$59</definedName>
    <definedName name="List04_pIns_comm">Баланс!#REF!</definedName>
    <definedName name="List04_vis_flags">Баланс!$S$7:$AL$7</definedName>
    <definedName name="List04_vis_flags2">Баланс!$G$14:$G$69</definedName>
    <definedName name="List05_LOAD_1">Реагенты!$O$15:$AL$19</definedName>
    <definedName name="List05_LOAD_2">Реагенты!$AM$14:$AM$19</definedName>
    <definedName name="List05_pIns_comm">Реагенты!#REF!</definedName>
    <definedName name="List05_vis_flags">Реагенты!$S$7:$AL$7</definedName>
    <definedName name="List06_LOAD_1">ЭЭ!$O$15:$AL$27</definedName>
    <definedName name="List06_LOAD_2">ЭЭ!$AM$14:$AM$27</definedName>
    <definedName name="List06_pIns_comm">ЭЭ!#REF!</definedName>
    <definedName name="List06_vis_flags">ЭЭ!$S$7:$AL$7</definedName>
    <definedName name="List07_LOAD_1">Амортизация!$O$15:$AL$65</definedName>
    <definedName name="List07_LOAD_2">Амортизация!$AM$14:$AM$65</definedName>
    <definedName name="List07_pIns_comm">Амортизация!#REF!</definedName>
    <definedName name="List07_vis_flags">Амортизация!$S$7:$AL$7</definedName>
    <definedName name="List08_LOAD_1">Аренда!$O$15:$AL$24</definedName>
    <definedName name="List08_LOAD_2">Аренда!$AM$14:$AM$24</definedName>
    <definedName name="List08_pIns_comm">Аренда!#REF!</definedName>
    <definedName name="List08_vis_flags">Аренда!$S$7:$AL$7</definedName>
    <definedName name="List09_LOAD_1">Покупка!$O$15:$AL$30</definedName>
    <definedName name="List09_LOAD_2">Покупка!$AM$14:$AM$30</definedName>
    <definedName name="List09_pIns_comm">Покупка!#REF!</definedName>
    <definedName name="List09_vis_flags">Покупка!$S$7:$AL$7</definedName>
    <definedName name="List10_LOAD_1">Налоги!$O$15:$AL$28</definedName>
    <definedName name="List10_LOAD_2">Налоги!$AM$14:$AM$28</definedName>
    <definedName name="List10_pIns_comm">Налоги!#REF!</definedName>
    <definedName name="List10_vis_flags">Налоги!$S$7:$AL$7</definedName>
    <definedName name="List11_is_one_block">'ИП + источники'!$N$14</definedName>
    <definedName name="List11_LOAD_1">'ИП + источники'!$O$17:$AN$65</definedName>
    <definedName name="List11_LOAD_2">'ИП + источники'!$AO$16:$AO$65</definedName>
    <definedName name="List11_pIns_comm">'ИП + источники'!#REF!</definedName>
    <definedName name="List11_vis_flags">'ИП + источники'!$U$7:$AN$7</definedName>
    <definedName name="List11_vis_flags2">'ИП + источники'!$B$17:$B$65</definedName>
    <definedName name="List12_LOAD_1">Экономия_корр!$O$15:$AH$24</definedName>
    <definedName name="List12_LOAD_2">Экономия_корр!$AI$14:$AI$24</definedName>
    <definedName name="List12_pIns_comm">Экономия_корр!#REF!</definedName>
    <definedName name="List12_vis_flags">Экономия_корр!$O$7:$AH$7</definedName>
    <definedName name="List13_LOAD_1">'Плата за негативное возд'!$O$14:$V$15</definedName>
    <definedName name="List13_pIns_comm">'Плата за негативное возд'!#REF!</definedName>
    <definedName name="List14_LOAD_1">'Корректировка НВВ'!$P$15:$Q$60</definedName>
    <definedName name="List14_LOAD_2">'Корректировка НВВ'!$R$14:$R$60</definedName>
    <definedName name="List14_pIns_comm">'Корректировка НВВ'!#REF!</definedName>
    <definedName name="List14_vis_flags">'Корректировка НВВ'!$C$15:$C$60</definedName>
    <definedName name="List15_LOAD_1">Калькуляция!$O$15:$AM$141</definedName>
    <definedName name="List15_LOAD_2">Калькуляция!$AX$14:$AZ$141</definedName>
    <definedName name="List15_pIns_comm">Калькуляция!#REF!</definedName>
    <definedName name="List15_vis_flags">Калькуляция!$T$7:$AW$7</definedName>
    <definedName name="List15_vis_flags2">Калькуляция!$C$15:$C$141</definedName>
    <definedName name="List16_LOAD_1">ТМ!$N$16:$DW$59</definedName>
    <definedName name="List16_pIns_comm">ТМ!#REF!</definedName>
    <definedName name="List16_vis_flags">ТМ!$Q$7:$FG$7</definedName>
    <definedName name="List16_vis_flags2">ТМ!$G$14:$G$59</definedName>
    <definedName name="List17_check_range1">ДПР!$Q$18:$Q$70</definedName>
    <definedName name="List17_ee_divide">ДПР!$P$14</definedName>
    <definedName name="List17_LOAD_1">ДПР!$M$18:$U$70</definedName>
    <definedName name="List17_pIns_comm">ДПР!#REF!</definedName>
    <definedName name="List17_vis_flags">ДПР!$G$18:$G$70</definedName>
    <definedName name="List17_vis_flags2">ДПР!$Q$7:$U$7</definedName>
    <definedName name="List18_LOAD_1">'ДПР (концессии)'!$M$16:$U$18</definedName>
    <definedName name="List18_pIns_comm">'ДПР (концессии)'!#REF!</definedName>
    <definedName name="List18_vis_flags">'ДПР (концессии)'!$G$16:$G$18</definedName>
    <definedName name="List18_vis_flags2">'ДПР (концессии)'!$Q$7:$U$7</definedName>
    <definedName name="List19_LOAD_1">ФОТ!$O$15:$T$35</definedName>
    <definedName name="List19_LOAD_2">ФОТ!$U$14:$U$35</definedName>
    <definedName name="List19_vis_flags">ФОТ!$O$7:$T$7</definedName>
    <definedName name="List20_LOAD_1">Административные!$O$15:$T$35</definedName>
    <definedName name="List20_LOAD_2">Административные!$U$14:$U$35</definedName>
    <definedName name="List20_pIns_comm">Административные!#REF!</definedName>
    <definedName name="List20_vis_flags">Административные!$O$7:$T$7</definedName>
    <definedName name="List21_LOAD_1">'Сбытовые расходы ГО'!$O$15:$T$27</definedName>
    <definedName name="List21_LOAD_2">'Сбытовые расходы ГО'!$U$14:$U$27</definedName>
    <definedName name="List21_pIns_comm">'Сбытовые расходы ГО'!#REF!</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НВВ'!$L$60</definedName>
    <definedName name="pIns_List15_tariff">Калькуляция!$L$141</definedName>
    <definedName name="pIns_List16_tariff">ТМ!$L$55</definedName>
    <definedName name="pIns_List16_tariff_transp">ТМ!$L$59</definedName>
    <definedName name="pins_List17_tariff">ДПР!$L$70</definedName>
    <definedName name="pins_List18_tariff">'ДПР (концессии)'!$L$18</definedName>
    <definedName name="pIns_List19_dolj">ФОТ!$M:$M</definedName>
    <definedName name="pIns_List19_tariff">ФОТ!$L$35</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BJECT_LIST">REESTR_OBJECT!$A$2:$I$5</definedName>
    <definedName name="REESTR_ORG_RANGE">REESTR_ORG!$A$2:$J$285</definedName>
    <definedName name="REESTR_TARIFF_LIST">REESTR_TARIFF!$A$2:$K$2</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3">Административные!$L:$N,Административные!$14:$15</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2">ДПР!$L:$L,ДПР!$14:$16</definedName>
    <definedName name="_xlnm.Print_Titles" localSheetId="33">'ДПР (концессии)'!$L:$L,'ДПР (концессии)'!$14:$16</definedName>
    <definedName name="_xlnm.Print_Titles" localSheetId="26">'ИП + источники'!$L:$N,'ИП + источники'!$16:$17</definedName>
    <definedName name="_xlnm.Print_Titles" localSheetId="30">Калькуляция!$L:$N,Калькуляция!$14:$15</definedName>
    <definedName name="_xlnm.Print_Titles" localSheetId="29">'Корректировка НВВ'!$L:$N,'Корректировка НВВ'!$14:$15</definedName>
    <definedName name="_xlnm.Print_Titles" localSheetId="25">Налоги!$L:$N,Налоги!$14:$15</definedName>
    <definedName name="_xlnm.Print_Titles" localSheetId="28">'Плата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24">'Сбытовые расходы ГО'!$L:$N,'Сбытовые расходы ГО'!$14:$15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31">ТМ!$L:$M,ТМ!$15:$16</definedName>
    <definedName name="_xlnm.Print_Titles" localSheetId="22">ФОТ!$L:$N,ФОТ!$14:$15</definedName>
    <definedName name="_xlnm.Print_Titles" localSheetId="27">Экономия_корр!$L:$N,Экономия_корр!$14:$15</definedName>
    <definedName name="_xlnm.Print_Titles" localSheetId="18">ЭЭ!$L:$N,ЭЭ!$14:$15</definedName>
    <definedName name="_xlnm.Print_Area" localSheetId="12">'Общие сведения'!$E$7:$H$142</definedName>
  </definedNames>
  <calcPr calcId="145621" calcMode="manual"/>
</workbook>
</file>

<file path=xl/calcChain.xml><?xml version="1.0" encoding="utf-8"?>
<calcChain xmlns="http://schemas.openxmlformats.org/spreadsheetml/2006/main">
  <c r="E140" i="488" l="1"/>
  <c r="G140" i="488"/>
  <c r="A36" i="517" l="1"/>
  <c r="A35" i="517"/>
  <c r="A34" i="517" l="1"/>
  <c r="A32" i="517"/>
  <c r="A33" i="517"/>
  <c r="A29" i="517"/>
  <c r="A30" i="517"/>
  <c r="A31" i="517"/>
  <c r="A27" i="517"/>
  <c r="A28"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M70" i="225" l="1"/>
  <c r="B3" i="465"/>
  <c r="B159" i="225" l="1"/>
  <c r="B404" i="225" l="1"/>
  <c r="A72" i="225" l="1"/>
  <c r="D61" i="225" l="1"/>
  <c r="D68" i="225"/>
  <c r="B755" i="225" l="1"/>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D642" i="225" l="1"/>
  <c r="D636" i="225"/>
  <c r="D637" i="225" s="1"/>
  <c r="D638" i="225" s="1"/>
  <c r="D639" i="225" s="1"/>
  <c r="D640" i="225" s="1"/>
  <c r="D632" i="225"/>
  <c r="D633" i="225" s="1"/>
  <c r="AM569" i="225" l="1"/>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AW544" i="225"/>
  <c r="AV544" i="225"/>
  <c r="AU544" i="225"/>
  <c r="AT544" i="225"/>
  <c r="AS544" i="225"/>
  <c r="AR544" i="225"/>
  <c r="AQ544" i="225"/>
  <c r="AP544" i="225"/>
  <c r="AO544" i="225"/>
  <c r="AN544" i="225"/>
  <c r="R544" i="225"/>
  <c r="AW543" i="225"/>
  <c r="AV543" i="225"/>
  <c r="AU543" i="225"/>
  <c r="AT543" i="225"/>
  <c r="AS543" i="225"/>
  <c r="AR543" i="225"/>
  <c r="AQ543" i="225"/>
  <c r="AP543" i="225"/>
  <c r="AO543" i="225"/>
  <c r="AN543" i="225"/>
  <c r="R543" i="225"/>
  <c r="AW535" i="225"/>
  <c r="AV535" i="225"/>
  <c r="AU535" i="225"/>
  <c r="AT535" i="225"/>
  <c r="AS535" i="225"/>
  <c r="AR535" i="225"/>
  <c r="AQ535" i="225"/>
  <c r="AP535" i="225"/>
  <c r="AO535" i="225"/>
  <c r="AN535" i="225"/>
  <c r="R535" i="225"/>
  <c r="AW534" i="225"/>
  <c r="AV534" i="225"/>
  <c r="AU534" i="225"/>
  <c r="AT534" i="225"/>
  <c r="AS534" i="225"/>
  <c r="AR534" i="225"/>
  <c r="AQ534" i="225"/>
  <c r="AP534" i="225"/>
  <c r="AO534" i="225"/>
  <c r="AN534" i="225"/>
  <c r="R534" i="225"/>
  <c r="AW533" i="225"/>
  <c r="AV533" i="225"/>
  <c r="AU533" i="225"/>
  <c r="AT533" i="225"/>
  <c r="AS533" i="225"/>
  <c r="AR533" i="225"/>
  <c r="AQ533" i="225"/>
  <c r="AP533" i="225"/>
  <c r="AO533" i="225"/>
  <c r="AN533"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AW531" i="225"/>
  <c r="AV531" i="225"/>
  <c r="AU531" i="225"/>
  <c r="AT531" i="225"/>
  <c r="AS531" i="225"/>
  <c r="AR531" i="225"/>
  <c r="AQ531" i="225"/>
  <c r="AP531" i="225"/>
  <c r="AO531" i="225"/>
  <c r="AN531" i="225"/>
  <c r="R531" i="225"/>
  <c r="AW530" i="225"/>
  <c r="AV530" i="225"/>
  <c r="AU530" i="225"/>
  <c r="AT530" i="225"/>
  <c r="AS530" i="225"/>
  <c r="AR530" i="225"/>
  <c r="AQ530" i="225"/>
  <c r="AP530" i="225"/>
  <c r="AO530" i="225"/>
  <c r="AN530" i="225"/>
  <c r="R530" i="225"/>
  <c r="AN529" i="225"/>
  <c r="R529" i="225"/>
  <c r="AW528" i="225"/>
  <c r="AV528" i="225"/>
  <c r="AU528" i="225"/>
  <c r="AT528" i="225"/>
  <c r="AS528" i="225"/>
  <c r="AR528" i="225"/>
  <c r="AQ528" i="225"/>
  <c r="AP528" i="225"/>
  <c r="AM527" i="225"/>
  <c r="AL527" i="225"/>
  <c r="AW527" i="225" s="1"/>
  <c r="AK527" i="225"/>
  <c r="AV527" i="225" s="1"/>
  <c r="AJ527" i="225"/>
  <c r="AU527" i="225" s="1"/>
  <c r="AI527" i="225"/>
  <c r="AT527" i="225" s="1"/>
  <c r="AH527" i="225"/>
  <c r="AS527" i="225" s="1"/>
  <c r="AG527" i="225"/>
  <c r="AR527" i="225" s="1"/>
  <c r="AF527" i="225"/>
  <c r="AQ527" i="225" s="1"/>
  <c r="AE527" i="225"/>
  <c r="AP527" i="225" s="1"/>
  <c r="AC527" i="225"/>
  <c r="AB527" i="225"/>
  <c r="AA527" i="225"/>
  <c r="Z527" i="225"/>
  <c r="Y527" i="225"/>
  <c r="X527" i="225"/>
  <c r="W527" i="225"/>
  <c r="V527" i="225"/>
  <c r="U527" i="225"/>
  <c r="AW525" i="225"/>
  <c r="AV525" i="225"/>
  <c r="AU525" i="225"/>
  <c r="AT525" i="225"/>
  <c r="AS525" i="225"/>
  <c r="AR525" i="225"/>
  <c r="AQ525" i="225"/>
  <c r="AP525" i="225"/>
  <c r="AO525" i="225"/>
  <c r="AN525" i="225"/>
  <c r="R525" i="225"/>
  <c r="AW510" i="225"/>
  <c r="AV510" i="225"/>
  <c r="AU510" i="225"/>
  <c r="AT510" i="225"/>
  <c r="AS510" i="225"/>
  <c r="AR510" i="225"/>
  <c r="AQ510" i="225"/>
  <c r="AP510" i="225"/>
  <c r="AO510" i="225"/>
  <c r="AN510" i="225"/>
  <c r="R510" i="225"/>
  <c r="AW509" i="225"/>
  <c r="AV509" i="225"/>
  <c r="AU509" i="225"/>
  <c r="AT509" i="225"/>
  <c r="AS509" i="225"/>
  <c r="AR509" i="225"/>
  <c r="AQ509" i="225"/>
  <c r="AP509" i="225"/>
  <c r="AO509" i="225"/>
  <c r="AN509" i="225"/>
  <c r="R509" i="225"/>
  <c r="AD499" i="225"/>
  <c r="T499" i="225"/>
  <c r="S499" i="225"/>
  <c r="AN499" i="225" s="1"/>
  <c r="Q499" i="225"/>
  <c r="P499" i="225"/>
  <c r="O499" i="225"/>
  <c r="AN498" i="225"/>
  <c r="R498" i="225"/>
  <c r="AN473" i="225"/>
  <c r="R473" i="225"/>
  <c r="AN472" i="225"/>
  <c r="R472" i="225"/>
  <c r="AN470" i="225"/>
  <c r="R470" i="225"/>
  <c r="AN469" i="225"/>
  <c r="R469" i="225"/>
  <c r="AN468" i="225"/>
  <c r="R468" i="225"/>
  <c r="AN467" i="225"/>
  <c r="R467" i="225"/>
  <c r="AN466" i="225"/>
  <c r="R466" i="225"/>
  <c r="AN465" i="225"/>
  <c r="R465" i="225"/>
  <c r="AN464" i="225"/>
  <c r="R464" i="225"/>
  <c r="AD463" i="225"/>
  <c r="T463" i="225"/>
  <c r="S463" i="225"/>
  <c r="AN463" i="225" s="1"/>
  <c r="Q463" i="225"/>
  <c r="P463" i="225"/>
  <c r="O463" i="225"/>
  <c r="AN462" i="225"/>
  <c r="R462" i="225"/>
  <c r="AN458" i="225"/>
  <c r="R458" i="225"/>
  <c r="AN457" i="225"/>
  <c r="R457" i="225"/>
  <c r="AN456" i="225"/>
  <c r="R456" i="225"/>
  <c r="AD455" i="225"/>
  <c r="T455" i="225"/>
  <c r="S455" i="225"/>
  <c r="AN455" i="225" s="1"/>
  <c r="Q455" i="225"/>
  <c r="P455" i="225"/>
  <c r="O455" i="225"/>
  <c r="AN453" i="225"/>
  <c r="R453" i="225"/>
  <c r="A452" i="225"/>
  <c r="A453" i="225" s="1"/>
  <c r="Q442" i="225"/>
  <c r="P442" i="225"/>
  <c r="Q434" i="225"/>
  <c r="Q433" i="225" s="1"/>
  <c r="P434" i="225"/>
  <c r="P433" i="225" s="1"/>
  <c r="P421" i="225"/>
  <c r="A405" i="225"/>
  <c r="A406" i="225" s="1"/>
  <c r="A407" i="225" s="1"/>
  <c r="A408" i="225" s="1"/>
  <c r="A409" i="225" s="1"/>
  <c r="A410" i="225" s="1"/>
  <c r="A411" i="225" s="1"/>
  <c r="A412" i="225" s="1"/>
  <c r="A413" i="225" s="1"/>
  <c r="A414" i="225" s="1"/>
  <c r="A415" i="225" s="1"/>
  <c r="A416" i="225" s="1"/>
  <c r="A417" i="225" s="1"/>
  <c r="A418" i="225" s="1"/>
  <c r="A419" i="225" s="1"/>
  <c r="A420" i="225" s="1"/>
  <c r="A421" i="225" s="1"/>
  <c r="A422" i="225" s="1"/>
  <c r="A423" i="225" s="1"/>
  <c r="A424" i="225" s="1"/>
  <c r="A425" i="225" s="1"/>
  <c r="A426" i="225" s="1"/>
  <c r="A427" i="225" s="1"/>
  <c r="A428" i="225" s="1"/>
  <c r="A429" i="225" s="1"/>
  <c r="A430" i="225" s="1"/>
  <c r="A431" i="225" s="1"/>
  <c r="A432" i="225" s="1"/>
  <c r="A433" i="225" s="1"/>
  <c r="A434" i="225" s="1"/>
  <c r="A435" i="225" s="1"/>
  <c r="A436" i="225" s="1"/>
  <c r="A437" i="225" s="1"/>
  <c r="A438" i="225" s="1"/>
  <c r="A439" i="225" s="1"/>
  <c r="A440" i="225" s="1"/>
  <c r="A441" i="225" s="1"/>
  <c r="A442" i="225" s="1"/>
  <c r="A443" i="225" s="1"/>
  <c r="A444" i="225" s="1"/>
  <c r="A445" i="225" s="1"/>
  <c r="A446" i="225" s="1"/>
  <c r="A447" i="225" s="1"/>
  <c r="E578" i="225"/>
  <c r="R463" i="225" l="1"/>
  <c r="R532" i="225"/>
  <c r="R455" i="225"/>
  <c r="R499" i="225"/>
  <c r="R553" i="225"/>
  <c r="D451" i="225"/>
  <c r="C551" i="225" s="1"/>
  <c r="A454" i="225"/>
  <c r="A455" i="225" s="1"/>
  <c r="A456" i="225" s="1"/>
  <c r="A457" i="225" s="1"/>
  <c r="A458" i="225" s="1"/>
  <c r="A459" i="225" s="1"/>
  <c r="A460" i="225" s="1"/>
  <c r="C550" i="225" l="1"/>
  <c r="A461" i="225"/>
  <c r="A462" i="225" l="1"/>
  <c r="A463" i="225" s="1"/>
  <c r="A464" i="225" s="1"/>
  <c r="A465" i="225" s="1"/>
  <c r="A466" i="225" s="1"/>
  <c r="A467" i="225" s="1"/>
  <c r="A468" i="225" s="1"/>
  <c r="A469" i="225" s="1"/>
  <c r="A470" i="225" s="1"/>
  <c r="A471" i="225" s="1"/>
  <c r="A472" i="225" s="1"/>
  <c r="A473" i="225" s="1"/>
  <c r="A474" i="225" s="1"/>
  <c r="A475" i="225" s="1"/>
  <c r="A476" i="225" l="1"/>
  <c r="A477" i="225" l="1"/>
  <c r="A478" i="225" s="1"/>
  <c r="A479" i="225" l="1"/>
  <c r="A480" i="225" l="1"/>
  <c r="A481" i="225" l="1"/>
  <c r="C870" i="225"/>
  <c r="A482" i="225" l="1"/>
  <c r="C356" i="225"/>
  <c r="A483" i="225" l="1"/>
  <c r="C336" i="225"/>
  <c r="C337" i="225" s="1"/>
  <c r="C338" i="225" s="1"/>
  <c r="C332" i="225"/>
  <c r="C333" i="225" s="1"/>
  <c r="C334" i="225" s="1"/>
  <c r="C328" i="225"/>
  <c r="C329" i="225" s="1"/>
  <c r="C330" i="225" s="1"/>
  <c r="C324" i="225"/>
  <c r="C325" i="225" s="1"/>
  <c r="C326" i="225" s="1"/>
  <c r="C320" i="225"/>
  <c r="C321" i="225" s="1"/>
  <c r="C322" i="225" s="1"/>
  <c r="A484" i="225" l="1"/>
  <c r="A485" i="225" l="1"/>
  <c r="A486" i="225" l="1"/>
  <c r="A487" i="225" s="1"/>
  <c r="A488" i="225" l="1"/>
  <c r="D827" i="225"/>
  <c r="D828" i="225" s="1"/>
  <c r="D829" i="225" s="1"/>
  <c r="C829" i="225"/>
  <c r="C828" i="225"/>
  <c r="A489" i="225" l="1"/>
  <c r="C227" i="225"/>
  <c r="C228" i="225" s="1"/>
  <c r="C229" i="225" s="1"/>
  <c r="C230" i="225" s="1"/>
  <c r="C231" i="225" s="1"/>
  <c r="C232" i="225" s="1"/>
  <c r="C233" i="225" s="1"/>
  <c r="C223" i="225"/>
  <c r="C224" i="225" s="1"/>
  <c r="C225" i="225" s="1"/>
  <c r="A490" i="225" l="1"/>
  <c r="A491" i="225" l="1"/>
  <c r="A492" i="225" l="1"/>
  <c r="Q439" i="225"/>
  <c r="A493" i="225" l="1"/>
  <c r="Q440" i="225"/>
  <c r="D72" i="225"/>
  <c r="D66" i="225"/>
  <c r="D65" i="225"/>
  <c r="D64" i="225"/>
  <c r="D59" i="225"/>
  <c r="D58" i="225"/>
  <c r="D57" i="225"/>
  <c r="D56" i="225"/>
  <c r="D55" i="225"/>
  <c r="A494" i="225" l="1"/>
  <c r="A495" i="225" l="1"/>
  <c r="L451" i="225" l="1"/>
  <c r="L404" i="225"/>
  <c r="B451" i="225"/>
  <c r="Q411" i="225"/>
  <c r="A496" i="225"/>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C440" i="225" l="1"/>
  <c r="C439" i="225"/>
  <c r="C562" i="225"/>
  <c r="C563" i="225"/>
  <c r="A497" i="225"/>
  <c r="Q412" i="225" l="1"/>
  <c r="T482" i="225"/>
  <c r="S481" i="225"/>
  <c r="AN481" i="225" s="1"/>
  <c r="Q485" i="225"/>
  <c r="O489" i="225"/>
  <c r="P495" i="225"/>
  <c r="P479" i="225"/>
  <c r="O492" i="225"/>
  <c r="P478" i="225"/>
  <c r="O490" i="225"/>
  <c r="T493" i="225"/>
  <c r="T483" i="225"/>
  <c r="P496" i="225"/>
  <c r="S480" i="225"/>
  <c r="AN480" i="225" s="1"/>
  <c r="O493" i="225"/>
  <c r="S485" i="225"/>
  <c r="AN485" i="225" s="1"/>
  <c r="O481" i="225"/>
  <c r="AD478" i="225"/>
  <c r="O491" i="225"/>
  <c r="O480" i="225"/>
  <c r="AD494" i="225"/>
  <c r="P489" i="225"/>
  <c r="P484" i="225"/>
  <c r="Q496" i="225"/>
  <c r="AD481" i="225"/>
  <c r="O495" i="225"/>
  <c r="Q490" i="225"/>
  <c r="P483" i="225"/>
  <c r="T479" i="225"/>
  <c r="P493" i="225"/>
  <c r="O482" i="225"/>
  <c r="Q495" i="225"/>
  <c r="AD490" i="225"/>
  <c r="AD485" i="225"/>
  <c r="S496" i="225"/>
  <c r="AN496" i="225" s="1"/>
  <c r="AD482" i="225"/>
  <c r="T494" i="225"/>
  <c r="AD491" i="225"/>
  <c r="AD484" i="225"/>
  <c r="P480" i="225"/>
  <c r="Q494" i="225"/>
  <c r="O483" i="225"/>
  <c r="Q478" i="225"/>
  <c r="Q492" i="225"/>
  <c r="AD489" i="225"/>
  <c r="T484" i="225"/>
  <c r="O479" i="225"/>
  <c r="S492" i="225"/>
  <c r="AN492" i="225" s="1"/>
  <c r="P485" i="225"/>
  <c r="Q482" i="225"/>
  <c r="T495" i="225"/>
  <c r="S484" i="225"/>
  <c r="AN484" i="225" s="1"/>
  <c r="Q479" i="225"/>
  <c r="AD493" i="225"/>
  <c r="Q491" i="225"/>
  <c r="AD496" i="225"/>
  <c r="T485" i="225"/>
  <c r="Q480" i="225"/>
  <c r="O494" i="225"/>
  <c r="S490" i="225"/>
  <c r="AN490" i="225" s="1"/>
  <c r="S483" i="225"/>
  <c r="AN483" i="225" s="1"/>
  <c r="S489" i="225"/>
  <c r="AN489" i="225" s="1"/>
  <c r="Q481" i="225"/>
  <c r="O478" i="225"/>
  <c r="P492" i="225"/>
  <c r="O496" i="225"/>
  <c r="Q489" i="225"/>
  <c r="T481" i="225"/>
  <c r="AD495" i="225"/>
  <c r="S491" i="225"/>
  <c r="AN491" i="225" s="1"/>
  <c r="Q484" i="225"/>
  <c r="T490" i="225"/>
  <c r="P482" i="225"/>
  <c r="T480" i="225"/>
  <c r="S493" i="225"/>
  <c r="AN493" i="225" s="1"/>
  <c r="T496" i="225"/>
  <c r="P491" i="225"/>
  <c r="Q483" i="225"/>
  <c r="AD479" i="225"/>
  <c r="T492" i="225"/>
  <c r="T489" i="225"/>
  <c r="S478" i="225"/>
  <c r="AN478" i="225" s="1"/>
  <c r="T491" i="225"/>
  <c r="AD483" i="225"/>
  <c r="P481" i="225"/>
  <c r="S495" i="225"/>
  <c r="AN495" i="225" s="1"/>
  <c r="T478" i="225"/>
  <c r="AD492" i="225"/>
  <c r="O484" i="225"/>
  <c r="AD480" i="225"/>
  <c r="P494" i="225"/>
  <c r="P490" i="225"/>
  <c r="S479" i="225"/>
  <c r="AN479" i="225" s="1"/>
  <c r="Q493" i="225"/>
  <c r="R493" i="225" s="1"/>
  <c r="O485" i="225"/>
  <c r="S482" i="225"/>
  <c r="AN482" i="225" s="1"/>
  <c r="S494" i="225"/>
  <c r="AN494" i="225" s="1"/>
  <c r="P412" i="225"/>
  <c r="A498" i="225"/>
  <c r="A499" i="225" s="1"/>
  <c r="A500" i="225" s="1"/>
  <c r="A501" i="225" s="1"/>
  <c r="Q423" i="225"/>
  <c r="R484" i="225" l="1"/>
  <c r="R478" i="225"/>
  <c r="R483" i="225"/>
  <c r="R496" i="225"/>
  <c r="Q424" i="225"/>
  <c r="Q422" i="225"/>
  <c r="R480" i="225"/>
  <c r="R489" i="225"/>
  <c r="R495" i="225"/>
  <c r="R479" i="225"/>
  <c r="R481" i="225"/>
  <c r="R491" i="225"/>
  <c r="A502" i="225"/>
  <c r="A503" i="225" s="1"/>
  <c r="A504" i="225" s="1"/>
  <c r="A505" i="225" s="1"/>
  <c r="D501" i="225"/>
  <c r="R492" i="225"/>
  <c r="R485" i="225"/>
  <c r="R490" i="225"/>
  <c r="R482" i="225"/>
  <c r="R494" i="225"/>
  <c r="B117" i="225"/>
  <c r="Q421" i="225" l="1"/>
  <c r="A506" i="225"/>
  <c r="A507" i="225" l="1"/>
  <c r="U229" i="225"/>
  <c r="V229" i="225"/>
  <c r="W229" i="225"/>
  <c r="X229" i="225"/>
  <c r="Y229" i="225"/>
  <c r="Z229" i="225"/>
  <c r="AA229" i="225"/>
  <c r="AB229" i="225"/>
  <c r="AC229" i="225"/>
  <c r="AD229" i="225"/>
  <c r="AE229" i="225"/>
  <c r="AF229" i="225"/>
  <c r="AG229" i="225"/>
  <c r="AH229" i="225"/>
  <c r="AI229" i="225"/>
  <c r="AJ229" i="225"/>
  <c r="AK229" i="225"/>
  <c r="AL229" i="225"/>
  <c r="U232" i="225"/>
  <c r="V232" i="225"/>
  <c r="W232" i="225"/>
  <c r="X232" i="225"/>
  <c r="Y232" i="225"/>
  <c r="Z232" i="225"/>
  <c r="AA232" i="225"/>
  <c r="AB232" i="225"/>
  <c r="AC232" i="225"/>
  <c r="AD232" i="225"/>
  <c r="AE232" i="225"/>
  <c r="AF232" i="225"/>
  <c r="AG232" i="225"/>
  <c r="AH232" i="225"/>
  <c r="AI232" i="225"/>
  <c r="AJ232" i="225"/>
  <c r="AK232" i="225"/>
  <c r="AL232" i="225"/>
  <c r="T232" i="225"/>
  <c r="S232" i="225"/>
  <c r="R232" i="225"/>
  <c r="Q232" i="225"/>
  <c r="P232" i="225"/>
  <c r="O232"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A508" i="225" l="1"/>
  <c r="AA227" i="225"/>
  <c r="L230" i="225"/>
  <c r="L229" i="225"/>
  <c r="L231" i="225"/>
  <c r="AL227" i="225"/>
  <c r="AD227" i="225"/>
  <c r="V227" i="225"/>
  <c r="AG227" i="225"/>
  <c r="Y227" i="225"/>
  <c r="AJ227" i="225"/>
  <c r="AB227" i="225"/>
  <c r="AI227" i="225"/>
  <c r="AK227" i="225"/>
  <c r="AC227" i="225"/>
  <c r="U227" i="225"/>
  <c r="AH227" i="225"/>
  <c r="Z227" i="225"/>
  <c r="T227" i="225"/>
  <c r="AF227" i="225"/>
  <c r="X227" i="225"/>
  <c r="AE227" i="225"/>
  <c r="W227" i="225"/>
  <c r="L228" i="225"/>
  <c r="L232" i="225"/>
  <c r="A509" i="225" l="1"/>
  <c r="A510" i="225" s="1"/>
  <c r="A511" i="225" s="1"/>
  <c r="AG505" i="225"/>
  <c r="AR505" i="225" s="1"/>
  <c r="AQ640" i="225"/>
  <c r="AQ639" i="225"/>
  <c r="AQ638" i="225"/>
  <c r="AQ637" i="225"/>
  <c r="AP636" i="225"/>
  <c r="AO636" i="225"/>
  <c r="AQ636" i="225" s="1"/>
  <c r="AQ633" i="225"/>
  <c r="AQ632" i="225"/>
  <c r="AN640" i="225"/>
  <c r="AN639" i="225"/>
  <c r="AN638" i="225"/>
  <c r="AN637" i="225"/>
  <c r="AM636" i="225"/>
  <c r="AL636" i="225"/>
  <c r="AN636" i="225" s="1"/>
  <c r="AN633" i="225"/>
  <c r="AN632" i="225"/>
  <c r="AK640" i="225"/>
  <c r="AK639" i="225"/>
  <c r="AK638" i="225"/>
  <c r="AK637" i="225"/>
  <c r="AJ636" i="225"/>
  <c r="AI636" i="225"/>
  <c r="AK636" i="225" s="1"/>
  <c r="AK633" i="225"/>
  <c r="AK632" i="225"/>
  <c r="AH640" i="225"/>
  <c r="AH639" i="225"/>
  <c r="AH638" i="225"/>
  <c r="AH637" i="225"/>
  <c r="AG636" i="225"/>
  <c r="AF636" i="225"/>
  <c r="AH636" i="225" s="1"/>
  <c r="AH633" i="225"/>
  <c r="AH632" i="225"/>
  <c r="AE640" i="225"/>
  <c r="AE639" i="225"/>
  <c r="AE638" i="225"/>
  <c r="AE637" i="225"/>
  <c r="AD636" i="225"/>
  <c r="AC636" i="225"/>
  <c r="AE636" i="225" s="1"/>
  <c r="AE633" i="225"/>
  <c r="AE632" i="225"/>
  <c r="AB640" i="225"/>
  <c r="AB639" i="225"/>
  <c r="AB638" i="225"/>
  <c r="AB637" i="225"/>
  <c r="AA636" i="225"/>
  <c r="Z636" i="225"/>
  <c r="AB636" i="225" s="1"/>
  <c r="AB633" i="225"/>
  <c r="AB632" i="225"/>
  <c r="Y640" i="225"/>
  <c r="Y639" i="225"/>
  <c r="Y638" i="225"/>
  <c r="Y637" i="225"/>
  <c r="X636" i="225"/>
  <c r="W636" i="225"/>
  <c r="Y636" i="225" s="1"/>
  <c r="Y633" i="225"/>
  <c r="Y632" i="225"/>
  <c r="V640" i="225"/>
  <c r="V639" i="225"/>
  <c r="V638" i="225"/>
  <c r="V637" i="225"/>
  <c r="U636" i="225"/>
  <c r="T636" i="225"/>
  <c r="V636" i="225" s="1"/>
  <c r="V633" i="225"/>
  <c r="V632" i="225"/>
  <c r="S640" i="225"/>
  <c r="S639" i="225"/>
  <c r="S638" i="225"/>
  <c r="S637" i="225"/>
  <c r="R636" i="225"/>
  <c r="Q636" i="225"/>
  <c r="S636" i="225" s="1"/>
  <c r="S633" i="225"/>
  <c r="S632" i="225"/>
  <c r="P640" i="225"/>
  <c r="P639" i="225"/>
  <c r="P638" i="225"/>
  <c r="P637" i="225"/>
  <c r="O636" i="225"/>
  <c r="N636" i="225"/>
  <c r="P636" i="225" s="1"/>
  <c r="G635" i="225"/>
  <c r="G636" i="225" s="1"/>
  <c r="G637" i="225" s="1"/>
  <c r="G638" i="225" s="1"/>
  <c r="G639" i="225" s="1"/>
  <c r="G640" i="225" s="1"/>
  <c r="A635" i="225"/>
  <c r="P633" i="225"/>
  <c r="P632" i="225"/>
  <c r="G632" i="225"/>
  <c r="G633" i="225" s="1"/>
  <c r="A632" i="225"/>
  <c r="A184" i="225"/>
  <c r="A185" i="225" s="1"/>
  <c r="A186" i="225" s="1"/>
  <c r="A187" i="225" s="1"/>
  <c r="A155" i="225"/>
  <c r="A156" i="225" s="1"/>
  <c r="A157" i="225" s="1"/>
  <c r="A158" i="225" s="1"/>
  <c r="A137" i="225"/>
  <c r="A138" i="225" s="1"/>
  <c r="A139" i="225" s="1"/>
  <c r="A140" i="225" s="1"/>
  <c r="A98" i="225"/>
  <c r="A99" i="225" s="1"/>
  <c r="A100" i="225" s="1"/>
  <c r="A101" i="225" s="1"/>
  <c r="A578" i="225"/>
  <c r="AN578" i="225"/>
  <c r="R578"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P322" i="225"/>
  <c r="Q322" i="225"/>
  <c r="R322" i="225"/>
  <c r="S322" i="225"/>
  <c r="T322" i="225"/>
  <c r="U322" i="225"/>
  <c r="V322" i="225"/>
  <c r="W322" i="225"/>
  <c r="X322" i="225"/>
  <c r="Y322" i="225"/>
  <c r="Z322" i="225"/>
  <c r="AA322" i="225"/>
  <c r="AB322" i="225"/>
  <c r="AC322" i="225"/>
  <c r="AD322" i="225"/>
  <c r="AE322" i="225"/>
  <c r="AF322" i="225"/>
  <c r="AG322" i="225"/>
  <c r="AH322" i="225"/>
  <c r="AI322" i="225"/>
  <c r="AJ322" i="225"/>
  <c r="AK322" i="225"/>
  <c r="AL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P217" i="225"/>
  <c r="Q217" i="225"/>
  <c r="R217" i="225"/>
  <c r="S217" i="225"/>
  <c r="T217" i="225"/>
  <c r="U217" i="225"/>
  <c r="V217" i="225"/>
  <c r="W217" i="225"/>
  <c r="X217" i="225"/>
  <c r="Y217" i="225"/>
  <c r="Z217" i="225"/>
  <c r="AA217" i="225"/>
  <c r="AB217" i="225"/>
  <c r="AC217" i="225"/>
  <c r="AD217" i="225"/>
  <c r="AE217" i="225"/>
  <c r="AF217" i="225"/>
  <c r="AG217" i="225"/>
  <c r="AH217" i="225"/>
  <c r="AI217" i="225"/>
  <c r="AJ217" i="225"/>
  <c r="AK217" i="225"/>
  <c r="AL217" i="225"/>
  <c r="O217" i="225"/>
  <c r="O475" i="225" l="1"/>
  <c r="Q487" i="225"/>
  <c r="AD475" i="225"/>
  <c r="Q475" i="225"/>
  <c r="Q460" i="225"/>
  <c r="P475" i="225"/>
  <c r="O487" i="225"/>
  <c r="T460" i="225"/>
  <c r="P487" i="225"/>
  <c r="O460" i="225"/>
  <c r="S475" i="225"/>
  <c r="AD487" i="225"/>
  <c r="T487" i="225"/>
  <c r="T475" i="225"/>
  <c r="AD460" i="225"/>
  <c r="S487" i="225"/>
  <c r="S460" i="225"/>
  <c r="P460" i="225"/>
  <c r="AH507" i="225"/>
  <c r="AS507" i="225" s="1"/>
  <c r="Z507" i="225"/>
  <c r="AH504" i="225"/>
  <c r="AS504" i="225" s="1"/>
  <c r="AG506" i="225"/>
  <c r="AR506" i="225" s="1"/>
  <c r="T508" i="225"/>
  <c r="T504" i="225"/>
  <c r="AB508" i="225"/>
  <c r="Y506" i="225"/>
  <c r="AG508" i="225"/>
  <c r="AR508" i="225" s="1"/>
  <c r="O508" i="225"/>
  <c r="W507" i="225"/>
  <c r="Z505" i="225"/>
  <c r="O506" i="225"/>
  <c r="AK508" i="225"/>
  <c r="AV508" i="225" s="1"/>
  <c r="AL507" i="225"/>
  <c r="AW507" i="225" s="1"/>
  <c r="P505" i="225"/>
  <c r="X508" i="225"/>
  <c r="AE504" i="225"/>
  <c r="AP504" i="225" s="1"/>
  <c r="AD504" i="225"/>
  <c r="AO504" i="225" s="1"/>
  <c r="AJ504" i="225"/>
  <c r="AU504" i="225" s="1"/>
  <c r="AF505" i="225"/>
  <c r="AQ505" i="225" s="1"/>
  <c r="AC508" i="225"/>
  <c r="V506" i="225"/>
  <c r="AJ505" i="225"/>
  <c r="AU505" i="225" s="1"/>
  <c r="W504" i="225"/>
  <c r="AI504" i="225"/>
  <c r="AT504" i="225" s="1"/>
  <c r="AI505" i="225"/>
  <c r="AT505" i="225" s="1"/>
  <c r="AI507" i="225"/>
  <c r="AT507" i="225" s="1"/>
  <c r="AC504" i="225"/>
  <c r="AG507" i="225"/>
  <c r="AR507" i="225" s="1"/>
  <c r="O505" i="225"/>
  <c r="AK505" i="225"/>
  <c r="AV505" i="225" s="1"/>
  <c r="Z506" i="225"/>
  <c r="AK507" i="225"/>
  <c r="AV507" i="225" s="1"/>
  <c r="Q505" i="225"/>
  <c r="AB506" i="225"/>
  <c r="U507" i="225"/>
  <c r="P504" i="225"/>
  <c r="AE508" i="225"/>
  <c r="AP508" i="225" s="1"/>
  <c r="Z508" i="225"/>
  <c r="AJ508" i="225"/>
  <c r="AU508" i="225" s="1"/>
  <c r="Q507" i="225"/>
  <c r="AF507" i="225"/>
  <c r="AQ507" i="225" s="1"/>
  <c r="AL504" i="225"/>
  <c r="AC506" i="225"/>
  <c r="V505" i="225"/>
  <c r="AL505" i="225"/>
  <c r="AW505" i="225" s="1"/>
  <c r="U506" i="225"/>
  <c r="P507" i="225"/>
  <c r="AE507" i="225"/>
  <c r="AP507" i="225" s="1"/>
  <c r="O504" i="225"/>
  <c r="AF508" i="225"/>
  <c r="AQ508" i="225" s="1"/>
  <c r="AH508" i="225"/>
  <c r="AS508" i="225" s="1"/>
  <c r="V508" i="225"/>
  <c r="AH505" i="225"/>
  <c r="AS505" i="225" s="1"/>
  <c r="AD507" i="225"/>
  <c r="AO507" i="225" s="1"/>
  <c r="AC507" i="225"/>
  <c r="AD506" i="225"/>
  <c r="AO506" i="225" s="1"/>
  <c r="V507" i="225"/>
  <c r="S507" i="225"/>
  <c r="AN507" i="225" s="1"/>
  <c r="Y505" i="225"/>
  <c r="AJ506" i="225"/>
  <c r="AU506" i="225" s="1"/>
  <c r="Y507" i="225"/>
  <c r="AA507" i="225"/>
  <c r="AM507" i="225"/>
  <c r="AE506" i="225"/>
  <c r="AP506" i="225" s="1"/>
  <c r="U504" i="225"/>
  <c r="Q506" i="225"/>
  <c r="AA505" i="225"/>
  <c r="T505" i="225"/>
  <c r="S504" i="225"/>
  <c r="T507" i="225"/>
  <c r="Y504" i="225"/>
  <c r="AJ507" i="225"/>
  <c r="AU507" i="225" s="1"/>
  <c r="AM504" i="225"/>
  <c r="P508" i="225"/>
  <c r="AK511" i="225"/>
  <c r="AV511" i="225" s="1"/>
  <c r="AC511" i="225"/>
  <c r="U511" i="225"/>
  <c r="A512" i="225"/>
  <c r="AH511" i="225"/>
  <c r="AS511" i="225" s="1"/>
  <c r="Z511" i="225"/>
  <c r="AF511" i="225"/>
  <c r="AQ511" i="225" s="1"/>
  <c r="X511" i="225"/>
  <c r="P511" i="225"/>
  <c r="AM511" i="225"/>
  <c r="AE511" i="225"/>
  <c r="AP511" i="225" s="1"/>
  <c r="W511" i="225"/>
  <c r="O511" i="225"/>
  <c r="AL511" i="225"/>
  <c r="AW511" i="225" s="1"/>
  <c r="AD511" i="225"/>
  <c r="AO511" i="225" s="1"/>
  <c r="V511" i="225"/>
  <c r="S511" i="225"/>
  <c r="AN511" i="225" s="1"/>
  <c r="AJ511" i="225"/>
  <c r="AU511" i="225" s="1"/>
  <c r="Q511" i="225"/>
  <c r="AI511" i="225"/>
  <c r="AT511" i="225" s="1"/>
  <c r="AG511" i="225"/>
  <c r="AR511" i="225" s="1"/>
  <c r="AB511" i="225"/>
  <c r="AA511" i="225"/>
  <c r="Y511" i="225"/>
  <c r="T511" i="225"/>
  <c r="AD508" i="225"/>
  <c r="AO508" i="225" s="1"/>
  <c r="O507" i="225"/>
  <c r="U505" i="225"/>
  <c r="S506" i="225"/>
  <c r="AN506" i="225" s="1"/>
  <c r="X506" i="225"/>
  <c r="X504" i="225"/>
  <c r="AB507" i="225"/>
  <c r="W506" i="225"/>
  <c r="Z504" i="225"/>
  <c r="W505" i="225"/>
  <c r="AM508" i="225"/>
  <c r="S508" i="225"/>
  <c r="AN508" i="225" s="1"/>
  <c r="AL508" i="225"/>
  <c r="AW508" i="225" s="1"/>
  <c r="AB504" i="225"/>
  <c r="AA506" i="225"/>
  <c r="AM506" i="225"/>
  <c r="X507" i="225"/>
  <c r="V504" i="225"/>
  <c r="AH506" i="225"/>
  <c r="AS506" i="225" s="1"/>
  <c r="AK506" i="225"/>
  <c r="AV506" i="225" s="1"/>
  <c r="AK504" i="225"/>
  <c r="AI506" i="225"/>
  <c r="AT506" i="225" s="1"/>
  <c r="AD505" i="225"/>
  <c r="AO505" i="225" s="1"/>
  <c r="U508" i="225"/>
  <c r="AA508" i="225"/>
  <c r="Q508" i="225"/>
  <c r="AF506" i="225"/>
  <c r="AQ506" i="225" s="1"/>
  <c r="AA504" i="225"/>
  <c r="X505" i="225"/>
  <c r="AB505" i="225"/>
  <c r="S505" i="225"/>
  <c r="AN505" i="225" s="1"/>
  <c r="Q504" i="225"/>
  <c r="AG504" i="225"/>
  <c r="AL506" i="225"/>
  <c r="AW506" i="225" s="1"/>
  <c r="AE505" i="225"/>
  <c r="AP505" i="225" s="1"/>
  <c r="AF504" i="225"/>
  <c r="AC505" i="225"/>
  <c r="T506" i="225"/>
  <c r="AM505" i="225"/>
  <c r="W508" i="225"/>
  <c r="AI508" i="225"/>
  <c r="AT508" i="225" s="1"/>
  <c r="Y508" i="225"/>
  <c r="P506" i="225"/>
  <c r="Q410" i="225"/>
  <c r="P410" i="225"/>
  <c r="P409" i="225" s="1"/>
  <c r="A633" i="225"/>
  <c r="A636" i="225"/>
  <c r="O184" i="225"/>
  <c r="O155" i="225"/>
  <c r="O137" i="225"/>
  <c r="O98" i="225"/>
  <c r="P407" i="225" l="1"/>
  <c r="P405" i="225" s="1"/>
  <c r="P447" i="225" s="1"/>
  <c r="AN487" i="225"/>
  <c r="AN475" i="225"/>
  <c r="R460" i="225"/>
  <c r="R475" i="225"/>
  <c r="R487" i="225"/>
  <c r="AN460" i="225"/>
  <c r="R508" i="225"/>
  <c r="R505" i="225"/>
  <c r="R511" i="225"/>
  <c r="AQ504" i="225"/>
  <c r="AG512" i="225"/>
  <c r="AR512" i="225" s="1"/>
  <c r="Y512" i="225"/>
  <c r="Q512" i="225"/>
  <c r="AL512" i="225"/>
  <c r="AW512" i="225" s="1"/>
  <c r="AD512" i="225"/>
  <c r="V512" i="225"/>
  <c r="AJ512" i="225"/>
  <c r="AU512" i="225" s="1"/>
  <c r="AB512" i="225"/>
  <c r="T512" i="225"/>
  <c r="AI512" i="225"/>
  <c r="AT512" i="225" s="1"/>
  <c r="AA512" i="225"/>
  <c r="S512" i="225"/>
  <c r="AN512" i="225" s="1"/>
  <c r="A513" i="225"/>
  <c r="AH512" i="225"/>
  <c r="AS512" i="225" s="1"/>
  <c r="Z512" i="225"/>
  <c r="X512" i="225"/>
  <c r="W512" i="225"/>
  <c r="U512" i="225"/>
  <c r="AM512" i="225"/>
  <c r="P512" i="225"/>
  <c r="AK512" i="225"/>
  <c r="AV512" i="225" s="1"/>
  <c r="O512" i="225"/>
  <c r="AF512" i="225"/>
  <c r="AQ512" i="225" s="1"/>
  <c r="AE512" i="225"/>
  <c r="AP512" i="225" s="1"/>
  <c r="AC512" i="225"/>
  <c r="AW504" i="225"/>
  <c r="AN504" i="225"/>
  <c r="AR504" i="225"/>
  <c r="R504" i="225"/>
  <c r="R506" i="225"/>
  <c r="R507" i="225"/>
  <c r="AV504" i="225"/>
  <c r="A637" i="225"/>
  <c r="L698" i="225"/>
  <c r="L336" i="225"/>
  <c r="L338" i="225" s="1"/>
  <c r="A336" i="225"/>
  <c r="A337" i="225" s="1"/>
  <c r="A338" i="225" s="1"/>
  <c r="G14" i="225"/>
  <c r="A699" i="225"/>
  <c r="AK513" i="225" l="1"/>
  <c r="AC513" i="225"/>
  <c r="AC503" i="225" s="1"/>
  <c r="U513" i="225"/>
  <c r="U503" i="225" s="1"/>
  <c r="A514" i="225"/>
  <c r="AH513" i="225"/>
  <c r="Z513" i="225"/>
  <c r="Z503" i="225" s="1"/>
  <c r="AF513" i="225"/>
  <c r="AQ513" i="225" s="1"/>
  <c r="X513" i="225"/>
  <c r="X503" i="225" s="1"/>
  <c r="P513" i="225"/>
  <c r="P503" i="225" s="1"/>
  <c r="AM513" i="225"/>
  <c r="AM503" i="225" s="1"/>
  <c r="AE513" i="225"/>
  <c r="AP513" i="225" s="1"/>
  <c r="W513" i="225"/>
  <c r="W503" i="225" s="1"/>
  <c r="O513" i="225"/>
  <c r="O503" i="225" s="1"/>
  <c r="AL513" i="225"/>
  <c r="AD513" i="225"/>
  <c r="AD503" i="225" s="1"/>
  <c r="V513" i="225"/>
  <c r="V503" i="225" s="1"/>
  <c r="AG513" i="225"/>
  <c r="AB513" i="225"/>
  <c r="AB503" i="225" s="1"/>
  <c r="AA513" i="225"/>
  <c r="AA503" i="225" s="1"/>
  <c r="Y513" i="225"/>
  <c r="Y503" i="225" s="1"/>
  <c r="T513" i="225"/>
  <c r="T503" i="225" s="1"/>
  <c r="S513" i="225"/>
  <c r="AJ513" i="225"/>
  <c r="Q513" i="225"/>
  <c r="AI513" i="225"/>
  <c r="AO512" i="225"/>
  <c r="R512" i="225"/>
  <c r="A638" i="225"/>
  <c r="B13" i="225"/>
  <c r="B15" i="225"/>
  <c r="L337" i="225"/>
  <c r="B10" i="225"/>
  <c r="B11" i="225"/>
  <c r="B12" i="225"/>
  <c r="B14" i="225"/>
  <c r="A700" i="225"/>
  <c r="AF503" i="225" l="1"/>
  <c r="AQ503" i="225" s="1"/>
  <c r="AE503" i="225"/>
  <c r="AP503" i="225" s="1"/>
  <c r="AS513" i="225"/>
  <c r="AH503" i="225"/>
  <c r="AW513" i="225"/>
  <c r="AL503" i="225"/>
  <c r="AG514" i="225"/>
  <c r="AR514" i="225" s="1"/>
  <c r="Y514" i="225"/>
  <c r="Q514" i="225"/>
  <c r="AL514" i="225"/>
  <c r="AW514" i="225" s="1"/>
  <c r="AD514" i="225"/>
  <c r="AO514" i="225" s="1"/>
  <c r="V514" i="225"/>
  <c r="AJ514" i="225"/>
  <c r="AU514" i="225" s="1"/>
  <c r="AB514" i="225"/>
  <c r="T514" i="225"/>
  <c r="AI514" i="225"/>
  <c r="AT514" i="225" s="1"/>
  <c r="AA514" i="225"/>
  <c r="S514" i="225"/>
  <c r="AN514" i="225" s="1"/>
  <c r="A515" i="225"/>
  <c r="A516" i="225" s="1"/>
  <c r="AH514" i="225"/>
  <c r="AS514" i="225" s="1"/>
  <c r="Z514" i="225"/>
  <c r="AM514" i="225"/>
  <c r="P514" i="225"/>
  <c r="AK514" i="225"/>
  <c r="AV514" i="225" s="1"/>
  <c r="O514" i="225"/>
  <c r="AF514" i="225"/>
  <c r="AQ514" i="225" s="1"/>
  <c r="AE514" i="225"/>
  <c r="AP514" i="225" s="1"/>
  <c r="AC514" i="225"/>
  <c r="X514" i="225"/>
  <c r="W514" i="225"/>
  <c r="U514" i="225"/>
  <c r="AN513" i="225"/>
  <c r="S503" i="225"/>
  <c r="AO503" i="225"/>
  <c r="AR513" i="225"/>
  <c r="AG503" i="225"/>
  <c r="AV513" i="225"/>
  <c r="AK503" i="225"/>
  <c r="R513" i="225"/>
  <c r="Q503" i="225"/>
  <c r="AT513" i="225"/>
  <c r="AI503" i="225"/>
  <c r="AU513" i="225"/>
  <c r="AJ503" i="225"/>
  <c r="AO513" i="225"/>
  <c r="A639" i="225"/>
  <c r="A701" i="225"/>
  <c r="AF516" i="225" l="1"/>
  <c r="X516" i="225"/>
  <c r="AM516" i="225"/>
  <c r="AE516" i="225"/>
  <c r="W516" i="225"/>
  <c r="A517" i="225"/>
  <c r="AH516" i="225"/>
  <c r="Z516" i="225"/>
  <c r="AB516" i="225"/>
  <c r="Q516" i="225"/>
  <c r="AJ516" i="225"/>
  <c r="V516" i="225"/>
  <c r="AG516" i="225"/>
  <c r="T516" i="225"/>
  <c r="AD516" i="225"/>
  <c r="S516" i="225"/>
  <c r="AC516" i="225"/>
  <c r="AK516" i="225"/>
  <c r="AI516" i="225"/>
  <c r="AA516" i="225"/>
  <c r="Y516" i="225"/>
  <c r="U516" i="225"/>
  <c r="P516" i="225"/>
  <c r="O516" i="225"/>
  <c r="AL516" i="225"/>
  <c r="AW503" i="225"/>
  <c r="R503" i="225"/>
  <c r="AV503" i="225"/>
  <c r="R514" i="225"/>
  <c r="AS503" i="225"/>
  <c r="AU503" i="225"/>
  <c r="AR503" i="225"/>
  <c r="AN503" i="225"/>
  <c r="AT503" i="225"/>
  <c r="A640" i="225"/>
  <c r="A702" i="225"/>
  <c r="AJ517" i="225" l="1"/>
  <c r="AU517" i="225" s="1"/>
  <c r="AB517" i="225"/>
  <c r="T517" i="225"/>
  <c r="AI517" i="225"/>
  <c r="AT517" i="225" s="1"/>
  <c r="AA517" i="225"/>
  <c r="S517" i="225"/>
  <c r="AN517" i="225" s="1"/>
  <c r="AL517" i="225"/>
  <c r="AW517" i="225" s="1"/>
  <c r="AD517" i="225"/>
  <c r="AO517" i="225" s="1"/>
  <c r="V517" i="225"/>
  <c r="AE517" i="225"/>
  <c r="AP517" i="225" s="1"/>
  <c r="Q517" i="225"/>
  <c r="AM517" i="225"/>
  <c r="Y517" i="225"/>
  <c r="A518" i="225"/>
  <c r="AH517" i="225"/>
  <c r="AS517" i="225" s="1"/>
  <c r="W517" i="225"/>
  <c r="AG517" i="225"/>
  <c r="AR517" i="225" s="1"/>
  <c r="U517" i="225"/>
  <c r="AF517" i="225"/>
  <c r="AQ517" i="225" s="1"/>
  <c r="AK517" i="225"/>
  <c r="AV517" i="225" s="1"/>
  <c r="AC517" i="225"/>
  <c r="Z517" i="225"/>
  <c r="X517" i="225"/>
  <c r="P517" i="225"/>
  <c r="O517" i="225"/>
  <c r="AR516" i="225"/>
  <c r="AP516" i="225"/>
  <c r="AT516" i="225"/>
  <c r="AU516" i="225"/>
  <c r="AV516" i="225"/>
  <c r="R516" i="225"/>
  <c r="AQ516" i="225"/>
  <c r="AW516" i="225"/>
  <c r="AN516" i="225"/>
  <c r="AO516" i="225"/>
  <c r="AS516" i="225"/>
  <c r="A703" i="225"/>
  <c r="A704" i="225" s="1"/>
  <c r="A705" i="225" s="1"/>
  <c r="A706" i="225" s="1"/>
  <c r="A707" i="225" s="1"/>
  <c r="A708" i="225" s="1"/>
  <c r="A709" i="225" s="1"/>
  <c r="A710" i="225" s="1"/>
  <c r="A711" i="225" s="1"/>
  <c r="A712" i="225" s="1"/>
  <c r="A713" i="225" s="1"/>
  <c r="A714" i="225" s="1"/>
  <c r="AF518" i="225" l="1"/>
  <c r="AQ518" i="225" s="1"/>
  <c r="X518" i="225"/>
  <c r="P518" i="225"/>
  <c r="AM518" i="225"/>
  <c r="AE518" i="225"/>
  <c r="W518" i="225"/>
  <c r="O518" i="225"/>
  <c r="AK518" i="225"/>
  <c r="AC518" i="225"/>
  <c r="U518" i="225"/>
  <c r="A519" i="225"/>
  <c r="AH518" i="225"/>
  <c r="Z518" i="225"/>
  <c r="Y518" i="225"/>
  <c r="AI518" i="225"/>
  <c r="S518" i="225"/>
  <c r="AD518" i="225"/>
  <c r="AO518" i="225" s="1"/>
  <c r="AB518" i="225"/>
  <c r="AA518" i="225"/>
  <c r="AL518" i="225"/>
  <c r="AJ518" i="225"/>
  <c r="AG518" i="225"/>
  <c r="V518" i="225"/>
  <c r="T518" i="225"/>
  <c r="Q518" i="225"/>
  <c r="R517" i="225"/>
  <c r="A715" i="225"/>
  <c r="AQ642" i="225"/>
  <c r="AN642" i="225"/>
  <c r="AK642" i="225"/>
  <c r="AH642" i="225"/>
  <c r="AE642" i="225"/>
  <c r="AB642" i="225"/>
  <c r="Y642" i="225"/>
  <c r="V642" i="225"/>
  <c r="S642" i="225"/>
  <c r="P642"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0" i="225"/>
  <c r="AN620" i="225"/>
  <c r="AK620" i="225"/>
  <c r="AH620" i="225"/>
  <c r="AE620" i="225"/>
  <c r="AB620" i="225"/>
  <c r="Y620" i="225"/>
  <c r="V620" i="225"/>
  <c r="S620" i="225"/>
  <c r="P620" i="225"/>
  <c r="AQ619" i="225"/>
  <c r="AN619" i="225"/>
  <c r="AK619" i="225"/>
  <c r="AH619" i="225"/>
  <c r="AE619" i="225"/>
  <c r="AB619" i="225"/>
  <c r="Y619" i="225"/>
  <c r="V619" i="225"/>
  <c r="S619" i="225"/>
  <c r="P619" i="225"/>
  <c r="AQ617" i="225"/>
  <c r="AN617" i="225"/>
  <c r="AK617" i="225"/>
  <c r="AH617" i="225"/>
  <c r="AE617" i="225"/>
  <c r="AB617" i="225"/>
  <c r="Y617" i="225"/>
  <c r="V617" i="225"/>
  <c r="S617" i="225"/>
  <c r="P617" i="225"/>
  <c r="AQ614" i="225"/>
  <c r="AN614" i="225"/>
  <c r="AK614" i="225"/>
  <c r="AH614" i="225"/>
  <c r="AE614" i="225"/>
  <c r="AB614" i="225"/>
  <c r="Y614" i="225"/>
  <c r="V614" i="225"/>
  <c r="S614" i="225"/>
  <c r="P614" i="225"/>
  <c r="AQ613" i="225"/>
  <c r="AN613" i="225"/>
  <c r="AK613" i="225"/>
  <c r="AH613" i="225"/>
  <c r="AE613" i="225"/>
  <c r="AB613" i="225"/>
  <c r="Y613" i="225"/>
  <c r="V613" i="225"/>
  <c r="S613" i="225"/>
  <c r="P613" i="225"/>
  <c r="AQ611" i="225"/>
  <c r="AN611" i="225"/>
  <c r="AK611" i="225"/>
  <c r="AH611" i="225"/>
  <c r="AE611" i="225"/>
  <c r="AB611" i="225"/>
  <c r="Y611" i="225"/>
  <c r="V611" i="225"/>
  <c r="S611" i="225"/>
  <c r="P611" i="225"/>
  <c r="AQ608" i="225"/>
  <c r="AN608" i="225"/>
  <c r="AK608" i="225"/>
  <c r="AH608" i="225"/>
  <c r="AE608" i="225"/>
  <c r="AB608" i="225"/>
  <c r="Y608" i="225"/>
  <c r="V608" i="225"/>
  <c r="S608" i="225"/>
  <c r="P608" i="225"/>
  <c r="AQ607" i="225"/>
  <c r="AN607" i="225"/>
  <c r="AK607" i="225"/>
  <c r="AH607" i="225"/>
  <c r="AE607" i="225"/>
  <c r="AB607" i="225"/>
  <c r="Y607" i="225"/>
  <c r="V607" i="225"/>
  <c r="S607" i="225"/>
  <c r="P607" i="225"/>
  <c r="AQ605" i="225"/>
  <c r="AN605" i="225"/>
  <c r="AK605" i="225"/>
  <c r="AH605" i="225"/>
  <c r="AE605" i="225"/>
  <c r="AB605" i="225"/>
  <c r="Y605" i="225"/>
  <c r="V605" i="225"/>
  <c r="S605" i="225"/>
  <c r="P605" i="225"/>
  <c r="AQ602" i="225"/>
  <c r="AN602" i="225"/>
  <c r="AK602" i="225"/>
  <c r="AH602" i="225"/>
  <c r="AE602" i="225"/>
  <c r="AB602" i="225"/>
  <c r="Y602" i="225"/>
  <c r="V602" i="225"/>
  <c r="S602" i="225"/>
  <c r="P602" i="225"/>
  <c r="AQ601" i="225"/>
  <c r="AN601" i="225"/>
  <c r="AK601" i="225"/>
  <c r="AH601" i="225"/>
  <c r="AE601" i="225"/>
  <c r="AB601" i="225"/>
  <c r="Y601" i="225"/>
  <c r="V601" i="225"/>
  <c r="S601" i="225"/>
  <c r="P601" i="225"/>
  <c r="AQ599" i="225"/>
  <c r="AN599" i="225"/>
  <c r="AK599" i="225"/>
  <c r="AH599" i="225"/>
  <c r="AE599" i="225"/>
  <c r="AB599" i="225"/>
  <c r="Y599" i="225"/>
  <c r="V599" i="225"/>
  <c r="S599" i="225"/>
  <c r="P599" i="225"/>
  <c r="AN518" i="225" l="1"/>
  <c r="AV518" i="225"/>
  <c r="AT518" i="225"/>
  <c r="AJ519" i="225"/>
  <c r="AU519" i="225" s="1"/>
  <c r="AB519" i="225"/>
  <c r="T519" i="225"/>
  <c r="AI519" i="225"/>
  <c r="AT519" i="225" s="1"/>
  <c r="AA519" i="225"/>
  <c r="S519" i="225"/>
  <c r="AG519" i="225"/>
  <c r="Y519" i="225"/>
  <c r="Q519" i="225"/>
  <c r="AM519" i="225"/>
  <c r="AE519" i="225"/>
  <c r="W519" i="225"/>
  <c r="O519" i="225"/>
  <c r="AL519" i="225"/>
  <c r="AW519" i="225" s="1"/>
  <c r="AD519" i="225"/>
  <c r="V519" i="225"/>
  <c r="Z519" i="225"/>
  <c r="AH519" i="225"/>
  <c r="AS519" i="225" s="1"/>
  <c r="AF519" i="225"/>
  <c r="AQ519" i="225" s="1"/>
  <c r="A520" i="225"/>
  <c r="AC519" i="225"/>
  <c r="AK519" i="225"/>
  <c r="AV519" i="225" s="1"/>
  <c r="X519" i="225"/>
  <c r="U519" i="225"/>
  <c r="P519" i="225"/>
  <c r="AU518" i="225"/>
  <c r="AP518" i="225"/>
  <c r="R518" i="225"/>
  <c r="AR518" i="225"/>
  <c r="AW518" i="225"/>
  <c r="AS518" i="225"/>
  <c r="A716" i="225"/>
  <c r="S818" i="225"/>
  <c r="T818" i="225"/>
  <c r="B2" i="465"/>
  <c r="AN519" i="225" l="1"/>
  <c r="AP519" i="225"/>
  <c r="AR519" i="225"/>
  <c r="AF520" i="225"/>
  <c r="AQ520" i="225" s="1"/>
  <c r="X520" i="225"/>
  <c r="P520" i="225"/>
  <c r="AM520" i="225"/>
  <c r="AE520" i="225"/>
  <c r="W520" i="225"/>
  <c r="O520" i="225"/>
  <c r="AK520" i="225"/>
  <c r="AV520" i="225" s="1"/>
  <c r="AC520" i="225"/>
  <c r="U520" i="225"/>
  <c r="AI520" i="225"/>
  <c r="AA520" i="225"/>
  <c r="S520" i="225"/>
  <c r="AN520" i="225" s="1"/>
  <c r="A521" i="225"/>
  <c r="AH520" i="225"/>
  <c r="Z520" i="225"/>
  <c r="AG520" i="225"/>
  <c r="AR520" i="225" s="1"/>
  <c r="Y520" i="225"/>
  <c r="T520" i="225"/>
  <c r="AL520" i="225"/>
  <c r="Q520" i="225"/>
  <c r="AJ520" i="225"/>
  <c r="AB520" i="225"/>
  <c r="V520" i="225"/>
  <c r="AD520" i="225"/>
  <c r="AO520" i="225" s="1"/>
  <c r="AO519" i="225"/>
  <c r="R519" i="225"/>
  <c r="A717" i="225"/>
  <c r="AU520" i="225" l="1"/>
  <c r="AJ521" i="225"/>
  <c r="AU521" i="225" s="1"/>
  <c r="AB521" i="225"/>
  <c r="T521" i="225"/>
  <c r="AI521" i="225"/>
  <c r="AT521" i="225" s="1"/>
  <c r="AA521" i="225"/>
  <c r="S521" i="225"/>
  <c r="AG521" i="225"/>
  <c r="AR521" i="225" s="1"/>
  <c r="Y521" i="225"/>
  <c r="Q521" i="225"/>
  <c r="AM521" i="225"/>
  <c r="AE521" i="225"/>
  <c r="AP521" i="225" s="1"/>
  <c r="W521" i="225"/>
  <c r="O521" i="225"/>
  <c r="AL521" i="225"/>
  <c r="AW521" i="225" s="1"/>
  <c r="AD521" i="225"/>
  <c r="AO521" i="225" s="1"/>
  <c r="V521" i="225"/>
  <c r="AK521" i="225"/>
  <c r="AV521" i="225" s="1"/>
  <c r="AC521" i="225"/>
  <c r="AH521" i="225"/>
  <c r="AS521" i="225" s="1"/>
  <c r="Z521" i="225"/>
  <c r="X521" i="225"/>
  <c r="A522" i="225"/>
  <c r="U521" i="225"/>
  <c r="AF521" i="225"/>
  <c r="AQ521" i="225" s="1"/>
  <c r="P521" i="225"/>
  <c r="R520" i="225"/>
  <c r="AP520" i="225"/>
  <c r="AW520" i="225"/>
  <c r="AS520" i="225"/>
  <c r="AT520" i="225"/>
  <c r="A718" i="225"/>
  <c r="AP77" i="225"/>
  <c r="Z77" i="225"/>
  <c r="AA77" i="225"/>
  <c r="AB77" i="225"/>
  <c r="AC77" i="225"/>
  <c r="AD77" i="225"/>
  <c r="AE77" i="225"/>
  <c r="AF77" i="225"/>
  <c r="AG77" i="225"/>
  <c r="AH77" i="225"/>
  <c r="AI77" i="225"/>
  <c r="AJ77" i="225"/>
  <c r="AK77" i="225"/>
  <c r="AL77" i="225"/>
  <c r="AM77" i="225"/>
  <c r="AN77" i="225"/>
  <c r="AO77" i="225"/>
  <c r="Y77" i="225"/>
  <c r="U77" i="225"/>
  <c r="T77" i="225"/>
  <c r="S77" i="225"/>
  <c r="AN521" i="225" l="1"/>
  <c r="R521" i="225"/>
  <c r="AF522" i="225"/>
  <c r="AQ522" i="225" s="1"/>
  <c r="X522" i="225"/>
  <c r="P522" i="225"/>
  <c r="AM522" i="225"/>
  <c r="AE522" i="225"/>
  <c r="W522" i="225"/>
  <c r="O522" i="225"/>
  <c r="AK522" i="225"/>
  <c r="AV522" i="225" s="1"/>
  <c r="AC522" i="225"/>
  <c r="U522" i="225"/>
  <c r="AI522" i="225"/>
  <c r="AA522" i="225"/>
  <c r="S522" i="225"/>
  <c r="AN522" i="225" s="1"/>
  <c r="A523" i="225"/>
  <c r="AH522" i="225"/>
  <c r="AS522" i="225" s="1"/>
  <c r="Z522" i="225"/>
  <c r="AG522" i="225"/>
  <c r="Y522" i="225"/>
  <c r="Q522" i="225"/>
  <c r="AJ522" i="225"/>
  <c r="AU522" i="225" s="1"/>
  <c r="AD522" i="225"/>
  <c r="V522" i="225"/>
  <c r="T522" i="225"/>
  <c r="AB522" i="225"/>
  <c r="AL522" i="225"/>
  <c r="AW522" i="225" s="1"/>
  <c r="A719" i="225"/>
  <c r="AP522" i="225" l="1"/>
  <c r="R522" i="225"/>
  <c r="AT522" i="225"/>
  <c r="AO522" i="225"/>
  <c r="AR522" i="225"/>
  <c r="AJ523" i="225"/>
  <c r="AU523" i="225" s="1"/>
  <c r="AB523" i="225"/>
  <c r="T523" i="225"/>
  <c r="AI523" i="225"/>
  <c r="AT523" i="225" s="1"/>
  <c r="AA523" i="225"/>
  <c r="S523" i="225"/>
  <c r="AN523" i="225" s="1"/>
  <c r="AG523" i="225"/>
  <c r="AR523" i="225" s="1"/>
  <c r="Y523" i="225"/>
  <c r="Q523" i="225"/>
  <c r="AM523" i="225"/>
  <c r="AE523" i="225"/>
  <c r="AP523" i="225" s="1"/>
  <c r="W523" i="225"/>
  <c r="O523" i="225"/>
  <c r="AL523" i="225"/>
  <c r="AW523" i="225" s="1"/>
  <c r="AD523" i="225"/>
  <c r="AO523" i="225" s="1"/>
  <c r="V523" i="225"/>
  <c r="AK523" i="225"/>
  <c r="AV523" i="225" s="1"/>
  <c r="AC523" i="225"/>
  <c r="U523" i="225"/>
  <c r="AF523" i="225"/>
  <c r="AQ523" i="225" s="1"/>
  <c r="Z523" i="225"/>
  <c r="A524" i="225"/>
  <c r="P523" i="225"/>
  <c r="AH523" i="225"/>
  <c r="X523" i="225"/>
  <c r="A720" i="225"/>
  <c r="R523" i="225" l="1"/>
  <c r="AS523" i="225"/>
  <c r="AF524" i="225"/>
  <c r="X524" i="225"/>
  <c r="X515" i="225" s="1"/>
  <c r="P524" i="225"/>
  <c r="P515" i="225" s="1"/>
  <c r="AM524" i="225"/>
  <c r="AM515" i="225" s="1"/>
  <c r="AE524" i="225"/>
  <c r="AP524" i="225" s="1"/>
  <c r="W524" i="225"/>
  <c r="W515" i="225" s="1"/>
  <c r="O524" i="225"/>
  <c r="O515" i="225" s="1"/>
  <c r="AK524" i="225"/>
  <c r="AC524" i="225"/>
  <c r="AC515" i="225" s="1"/>
  <c r="U524" i="225"/>
  <c r="U515" i="225" s="1"/>
  <c r="AI524" i="225"/>
  <c r="AT524" i="225" s="1"/>
  <c r="AA524" i="225"/>
  <c r="AA515" i="225" s="1"/>
  <c r="S524" i="225"/>
  <c r="A525" i="225"/>
  <c r="A526" i="225" s="1"/>
  <c r="AH524" i="225"/>
  <c r="AS524" i="225" s="1"/>
  <c r="Z524" i="225"/>
  <c r="Z515" i="225" s="1"/>
  <c r="AG524" i="225"/>
  <c r="Y524" i="225"/>
  <c r="Y515" i="225" s="1"/>
  <c r="Q524" i="225"/>
  <c r="AJ524" i="225"/>
  <c r="AB524" i="225"/>
  <c r="AB515" i="225" s="1"/>
  <c r="V524" i="225"/>
  <c r="V515" i="225" s="1"/>
  <c r="AL524" i="225"/>
  <c r="AD524" i="225"/>
  <c r="T524" i="225"/>
  <c r="T515" i="225" s="1"/>
  <c r="A721" i="225"/>
  <c r="T827" i="225"/>
  <c r="T866" i="225"/>
  <c r="S866" i="225"/>
  <c r="R866" i="225"/>
  <c r="Q866" i="225"/>
  <c r="P866" i="225"/>
  <c r="O866" i="225"/>
  <c r="A858" i="225"/>
  <c r="A859" i="225" s="1"/>
  <c r="A860" i="225" s="1"/>
  <c r="A861" i="225" s="1"/>
  <c r="A862" i="225" s="1"/>
  <c r="A863" i="225" s="1"/>
  <c r="A864" i="225" s="1"/>
  <c r="A865" i="225" s="1"/>
  <c r="A866" i="225" s="1"/>
  <c r="A867" i="225" s="1"/>
  <c r="A868" i="225" s="1"/>
  <c r="B868" i="225" s="1"/>
  <c r="T848" i="225"/>
  <c r="S848" i="225"/>
  <c r="R848" i="225"/>
  <c r="Q848" i="225"/>
  <c r="P848" i="225"/>
  <c r="O848" i="225"/>
  <c r="T836" i="225"/>
  <c r="S836" i="225"/>
  <c r="R836" i="225"/>
  <c r="Q836" i="225"/>
  <c r="P836" i="225"/>
  <c r="O836" i="225"/>
  <c r="A834" i="225"/>
  <c r="T822" i="225"/>
  <c r="S822" i="225"/>
  <c r="T814" i="225"/>
  <c r="S814" i="225"/>
  <c r="T810" i="225"/>
  <c r="S810" i="225"/>
  <c r="A810" i="225"/>
  <c r="A811" i="225" s="1"/>
  <c r="A812" i="225" s="1"/>
  <c r="A813" i="225" l="1"/>
  <c r="A814" i="225" s="1"/>
  <c r="A815" i="225" s="1"/>
  <c r="A816" i="225" s="1"/>
  <c r="C812" i="225"/>
  <c r="AE515" i="225"/>
  <c r="R524" i="225"/>
  <c r="AR524" i="225"/>
  <c r="AG515" i="225"/>
  <c r="AQ524" i="225"/>
  <c r="AF515" i="225"/>
  <c r="AV524" i="225"/>
  <c r="AK515" i="225"/>
  <c r="Q515" i="225"/>
  <c r="AO524" i="225"/>
  <c r="AD515" i="225"/>
  <c r="AH515" i="225"/>
  <c r="AF526" i="225"/>
  <c r="AQ526" i="225" s="1"/>
  <c r="X526" i="225"/>
  <c r="P526" i="225"/>
  <c r="AM526" i="225"/>
  <c r="AE526" i="225"/>
  <c r="AP526" i="225" s="1"/>
  <c r="W526" i="225"/>
  <c r="O526" i="225"/>
  <c r="AK526" i="225"/>
  <c r="AV526" i="225" s="1"/>
  <c r="AC526" i="225"/>
  <c r="U526" i="225"/>
  <c r="AI526" i="225"/>
  <c r="AT526" i="225" s="1"/>
  <c r="AA526" i="225"/>
  <c r="S526" i="225"/>
  <c r="AN526" i="225" s="1"/>
  <c r="A527" i="225"/>
  <c r="A528" i="225" s="1"/>
  <c r="AH526" i="225"/>
  <c r="AS526" i="225" s="1"/>
  <c r="Z526" i="225"/>
  <c r="AG526" i="225"/>
  <c r="AR526" i="225" s="1"/>
  <c r="Y526" i="225"/>
  <c r="Q526" i="225"/>
  <c r="T526" i="225"/>
  <c r="AL526" i="225"/>
  <c r="AW526" i="225" s="1"/>
  <c r="AD526" i="225"/>
  <c r="AO526" i="225" s="1"/>
  <c r="AB526" i="225"/>
  <c r="V526" i="225"/>
  <c r="AJ526" i="225"/>
  <c r="AU526" i="225" s="1"/>
  <c r="AN524" i="225"/>
  <c r="S515" i="225"/>
  <c r="AI515" i="225"/>
  <c r="AW524" i="225"/>
  <c r="AL515" i="225"/>
  <c r="AU524" i="225"/>
  <c r="AJ515" i="225"/>
  <c r="A722" i="225"/>
  <c r="L857" i="225"/>
  <c r="L833" i="225"/>
  <c r="L809" i="225"/>
  <c r="A835" i="225"/>
  <c r="A817" i="225" l="1"/>
  <c r="A818" i="225" s="1"/>
  <c r="A819" i="225" s="1"/>
  <c r="A820" i="225" s="1"/>
  <c r="C816" i="225"/>
  <c r="AP515" i="225"/>
  <c r="R526" i="225"/>
  <c r="AW515" i="225"/>
  <c r="AO515" i="225"/>
  <c r="AR515" i="225"/>
  <c r="AS515" i="225"/>
  <c r="R515" i="225"/>
  <c r="AV515" i="225"/>
  <c r="AU515" i="225"/>
  <c r="AN515" i="225"/>
  <c r="A529" i="225"/>
  <c r="P528" i="225"/>
  <c r="P527" i="225" s="1"/>
  <c r="P502" i="225" s="1"/>
  <c r="O528" i="225"/>
  <c r="O527" i="225" s="1"/>
  <c r="O502" i="225" s="1"/>
  <c r="AD528" i="225"/>
  <c r="S528" i="225"/>
  <c r="Q528" i="225"/>
  <c r="T528" i="225"/>
  <c r="T527" i="225" s="1"/>
  <c r="AT515" i="225"/>
  <c r="AQ515" i="225"/>
  <c r="A723" i="225"/>
  <c r="A836" i="225"/>
  <c r="A837" i="225" s="1"/>
  <c r="A838" i="225" s="1"/>
  <c r="A839" i="225" s="1"/>
  <c r="A840" i="225" s="1"/>
  <c r="A841" i="225" s="1"/>
  <c r="A842" i="225" s="1"/>
  <c r="A821" i="225" l="1"/>
  <c r="A822" i="225" s="1"/>
  <c r="A823" i="225" s="1"/>
  <c r="A824" i="225" s="1"/>
  <c r="C820" i="225"/>
  <c r="Q527" i="225"/>
  <c r="R528" i="225"/>
  <c r="S527" i="225"/>
  <c r="AN528" i="225"/>
  <c r="AO528" i="225"/>
  <c r="AD527" i="225"/>
  <c r="A530" i="225"/>
  <c r="A531" i="225" s="1"/>
  <c r="A532" i="225" s="1"/>
  <c r="A533" i="225" s="1"/>
  <c r="A534" i="225" s="1"/>
  <c r="A535" i="225" s="1"/>
  <c r="A536" i="225" s="1"/>
  <c r="AH529" i="225"/>
  <c r="Z529" i="225"/>
  <c r="Z502" i="225" s="1"/>
  <c r="AG529" i="225"/>
  <c r="Y529" i="225"/>
  <c r="Y502" i="225" s="1"/>
  <c r="AM529" i="225"/>
  <c r="AM502" i="225" s="1"/>
  <c r="AE529" i="225"/>
  <c r="W529" i="225"/>
  <c r="W502" i="225" s="1"/>
  <c r="AK529" i="225"/>
  <c r="AC529" i="225"/>
  <c r="AC502" i="225" s="1"/>
  <c r="U529" i="225"/>
  <c r="U502" i="225" s="1"/>
  <c r="AJ529" i="225"/>
  <c r="AB529" i="225"/>
  <c r="AB502" i="225" s="1"/>
  <c r="T529" i="225"/>
  <c r="T502" i="225" s="1"/>
  <c r="AI529" i="225"/>
  <c r="AA529" i="225"/>
  <c r="AA502" i="225" s="1"/>
  <c r="AF529" i="225"/>
  <c r="AD529" i="225"/>
  <c r="AO529" i="225" s="1"/>
  <c r="X529" i="225"/>
  <c r="X502" i="225" s="1"/>
  <c r="V529" i="225"/>
  <c r="V502" i="225" s="1"/>
  <c r="AL529" i="225"/>
  <c r="A724" i="225"/>
  <c r="A843" i="225"/>
  <c r="A844" i="225" s="1"/>
  <c r="A845" i="225" s="1"/>
  <c r="A846" i="225" s="1"/>
  <c r="A847" i="225" s="1"/>
  <c r="A848" i="225" s="1"/>
  <c r="A849" i="225" s="1"/>
  <c r="A850" i="225" s="1"/>
  <c r="A851" i="225" s="1"/>
  <c r="A825" i="225" l="1"/>
  <c r="C824" i="225"/>
  <c r="AO527" i="225"/>
  <c r="AD502" i="225"/>
  <c r="AT529" i="225"/>
  <c r="AI502" i="225"/>
  <c r="AT502" i="225" s="1"/>
  <c r="AP529" i="225"/>
  <c r="AE502" i="225"/>
  <c r="AW529" i="225"/>
  <c r="AL502" i="225"/>
  <c r="AW502" i="225" s="1"/>
  <c r="AN527" i="225"/>
  <c r="S502" i="225"/>
  <c r="AN502" i="225" s="1"/>
  <c r="AU529" i="225"/>
  <c r="AJ502" i="225"/>
  <c r="AU502" i="225" s="1"/>
  <c r="AR529" i="225"/>
  <c r="AG502" i="225"/>
  <c r="AV529" i="225"/>
  <c r="AK502" i="225"/>
  <c r="AV502" i="225" s="1"/>
  <c r="R527" i="225"/>
  <c r="Q502" i="225"/>
  <c r="R502" i="225" s="1"/>
  <c r="AQ529" i="225"/>
  <c r="AF502" i="225"/>
  <c r="AL536" i="225"/>
  <c r="AW536" i="225" s="1"/>
  <c r="AD536" i="225"/>
  <c r="V536" i="225"/>
  <c r="AK536" i="225"/>
  <c r="AV536" i="225" s="1"/>
  <c r="AC536" i="225"/>
  <c r="U536" i="225"/>
  <c r="AJ536" i="225"/>
  <c r="AU536" i="225" s="1"/>
  <c r="AB536" i="225"/>
  <c r="T536" i="225"/>
  <c r="AI536" i="225"/>
  <c r="AA536" i="225"/>
  <c r="S536" i="225"/>
  <c r="A537" i="225"/>
  <c r="AG536" i="225"/>
  <c r="Y536" i="225"/>
  <c r="Q536" i="225"/>
  <c r="AF536" i="225"/>
  <c r="X536" i="225"/>
  <c r="P536" i="225"/>
  <c r="AM536" i="225"/>
  <c r="AE536" i="225"/>
  <c r="W536" i="225"/>
  <c r="O536" i="225"/>
  <c r="Z536" i="225"/>
  <c r="AH536" i="225"/>
  <c r="AS529" i="225"/>
  <c r="AH502" i="225"/>
  <c r="AS502" i="225" s="1"/>
  <c r="A725" i="225"/>
  <c r="AR502" i="225" l="1"/>
  <c r="AT536" i="225"/>
  <c r="AN536" i="225"/>
  <c r="AS536" i="225"/>
  <c r="AQ536" i="225"/>
  <c r="AO536" i="225"/>
  <c r="AP502" i="225"/>
  <c r="R536" i="225"/>
  <c r="AQ502" i="225"/>
  <c r="AR536" i="225"/>
  <c r="AO502" i="225"/>
  <c r="AP536" i="225"/>
  <c r="AG537" i="225"/>
  <c r="AR537" i="225" s="1"/>
  <c r="Y537" i="225"/>
  <c r="Q537" i="225"/>
  <c r="AL537" i="225"/>
  <c r="AW537" i="225" s="1"/>
  <c r="AC537" i="225"/>
  <c r="T537" i="225"/>
  <c r="AK537" i="225"/>
  <c r="AV537" i="225" s="1"/>
  <c r="AB537" i="225"/>
  <c r="S537" i="225"/>
  <c r="AN537" i="225" s="1"/>
  <c r="AJ537" i="225"/>
  <c r="AU537" i="225" s="1"/>
  <c r="AA537" i="225"/>
  <c r="AI537" i="225"/>
  <c r="AT537" i="225" s="1"/>
  <c r="Z537" i="225"/>
  <c r="P537" i="225"/>
  <c r="AF537" i="225"/>
  <c r="AQ537" i="225" s="1"/>
  <c r="W537" i="225"/>
  <c r="A538" i="225"/>
  <c r="AE537" i="225"/>
  <c r="AP537" i="225" s="1"/>
  <c r="V537" i="225"/>
  <c r="AM537" i="225"/>
  <c r="AD537" i="225"/>
  <c r="AO537" i="225" s="1"/>
  <c r="U537" i="225"/>
  <c r="AH537" i="225"/>
  <c r="AS537" i="225" s="1"/>
  <c r="X537" i="225"/>
  <c r="O537" i="225"/>
  <c r="A726" i="225"/>
  <c r="A539" i="225" l="1"/>
  <c r="A540" i="225" s="1"/>
  <c r="AG538" i="225"/>
  <c r="AR538" i="225" s="1"/>
  <c r="Y538" i="225"/>
  <c r="AF538" i="225"/>
  <c r="AQ538" i="225" s="1"/>
  <c r="X538" i="225"/>
  <c r="AK538" i="225"/>
  <c r="AV538" i="225" s="1"/>
  <c r="AC538" i="225"/>
  <c r="U538" i="225"/>
  <c r="AH538" i="225"/>
  <c r="AS538" i="225" s="1"/>
  <c r="T538" i="225"/>
  <c r="AE538" i="225"/>
  <c r="AP538" i="225" s="1"/>
  <c r="S538" i="225"/>
  <c r="AN538" i="225" s="1"/>
  <c r="AD538" i="225"/>
  <c r="AO538" i="225" s="1"/>
  <c r="AB538" i="225"/>
  <c r="Q538" i="225"/>
  <c r="AL538" i="225"/>
  <c r="AW538" i="225" s="1"/>
  <c r="Z538" i="225"/>
  <c r="O538" i="225"/>
  <c r="AJ538" i="225"/>
  <c r="AU538" i="225" s="1"/>
  <c r="W538" i="225"/>
  <c r="AI538" i="225"/>
  <c r="AT538" i="225" s="1"/>
  <c r="V538" i="225"/>
  <c r="AM538" i="225"/>
  <c r="AA538" i="225"/>
  <c r="P538" i="225"/>
  <c r="R537" i="225"/>
  <c r="A727" i="225"/>
  <c r="R538" i="225" l="1"/>
  <c r="A541" i="225"/>
  <c r="AH540" i="225"/>
  <c r="Z540" i="225"/>
  <c r="AG540" i="225"/>
  <c r="Y540" i="225"/>
  <c r="Q540" i="225"/>
  <c r="AF540" i="225"/>
  <c r="X540" i="225"/>
  <c r="P540" i="225"/>
  <c r="AM540" i="225"/>
  <c r="AE540" i="225"/>
  <c r="W540" i="225"/>
  <c r="O540" i="225"/>
  <c r="AK540" i="225"/>
  <c r="AC540" i="225"/>
  <c r="U540" i="225"/>
  <c r="T540" i="225"/>
  <c r="AL540" i="225"/>
  <c r="S540" i="225"/>
  <c r="AJ540" i="225"/>
  <c r="AI540" i="225"/>
  <c r="AB540" i="225"/>
  <c r="AA540" i="225"/>
  <c r="V540" i="225"/>
  <c r="AD540" i="225"/>
  <c r="A728" i="225"/>
  <c r="AQ540" i="225" l="1"/>
  <c r="AV540" i="225"/>
  <c r="R540" i="225"/>
  <c r="AT540" i="225"/>
  <c r="AU540" i="225"/>
  <c r="AR540" i="225"/>
  <c r="AN540" i="225"/>
  <c r="AP540" i="225"/>
  <c r="AW540" i="225"/>
  <c r="AS540" i="225"/>
  <c r="AO540" i="225"/>
  <c r="AL541" i="225"/>
  <c r="AW541" i="225" s="1"/>
  <c r="AD541" i="225"/>
  <c r="AO541" i="225" s="1"/>
  <c r="V541" i="225"/>
  <c r="AK541" i="225"/>
  <c r="AV541" i="225" s="1"/>
  <c r="AC541" i="225"/>
  <c r="U541" i="225"/>
  <c r="AJ541" i="225"/>
  <c r="AU541" i="225" s="1"/>
  <c r="AB541" i="225"/>
  <c r="T541" i="225"/>
  <c r="AI541" i="225"/>
  <c r="AT541" i="225" s="1"/>
  <c r="AA541" i="225"/>
  <c r="S541" i="225"/>
  <c r="AN541" i="225" s="1"/>
  <c r="AG541" i="225"/>
  <c r="AR541" i="225" s="1"/>
  <c r="Y541" i="225"/>
  <c r="Q541" i="225"/>
  <c r="Z541" i="225"/>
  <c r="X541" i="225"/>
  <c r="W541" i="225"/>
  <c r="AM541" i="225"/>
  <c r="AH541" i="225"/>
  <c r="AS541" i="225" s="1"/>
  <c r="O541" i="225"/>
  <c r="AF541" i="225"/>
  <c r="AQ541" i="225" s="1"/>
  <c r="A542" i="225"/>
  <c r="AE541" i="225"/>
  <c r="AP541" i="225" s="1"/>
  <c r="P541" i="225"/>
  <c r="A729" i="225"/>
  <c r="A543" i="225" l="1"/>
  <c r="A544" i="225" s="1"/>
  <c r="A545" i="225" s="1"/>
  <c r="AH542" i="225"/>
  <c r="AS542" i="225" s="1"/>
  <c r="Z542" i="225"/>
  <c r="Z539" i="225" s="1"/>
  <c r="AG542" i="225"/>
  <c r="AR542" i="225" s="1"/>
  <c r="Y542" i="225"/>
  <c r="Y539" i="225" s="1"/>
  <c r="Q542" i="225"/>
  <c r="AF542" i="225"/>
  <c r="AQ542" i="225" s="1"/>
  <c r="X542" i="225"/>
  <c r="X539" i="225" s="1"/>
  <c r="P542" i="225"/>
  <c r="P539" i="225" s="1"/>
  <c r="AM542" i="225"/>
  <c r="AM539" i="225" s="1"/>
  <c r="AE542" i="225"/>
  <c r="W542" i="225"/>
  <c r="W539" i="225" s="1"/>
  <c r="O542" i="225"/>
  <c r="O539" i="225" s="1"/>
  <c r="AK542" i="225"/>
  <c r="AV542" i="225" s="1"/>
  <c r="AC542" i="225"/>
  <c r="AC539" i="225" s="1"/>
  <c r="U542" i="225"/>
  <c r="U539" i="225" s="1"/>
  <c r="AI542" i="225"/>
  <c r="AT542" i="225" s="1"/>
  <c r="AD542" i="225"/>
  <c r="AB542" i="225"/>
  <c r="AB539" i="225" s="1"/>
  <c r="AA542" i="225"/>
  <c r="AA539" i="225" s="1"/>
  <c r="V542" i="225"/>
  <c r="V539" i="225" s="1"/>
  <c r="T542" i="225"/>
  <c r="T539" i="225" s="1"/>
  <c r="AL542" i="225"/>
  <c r="AW542" i="225" s="1"/>
  <c r="S542" i="225"/>
  <c r="AN542" i="225" s="1"/>
  <c r="AJ542" i="225"/>
  <c r="AU542" i="225" s="1"/>
  <c r="R541" i="225"/>
  <c r="A730" i="225"/>
  <c r="AG539" i="225" l="1"/>
  <c r="AR539" i="225" s="1"/>
  <c r="R542" i="225"/>
  <c r="AI539" i="225"/>
  <c r="AT539" i="225" s="1"/>
  <c r="AK539" i="225"/>
  <c r="AV539" i="225" s="1"/>
  <c r="AJ539" i="225"/>
  <c r="AU539" i="225" s="1"/>
  <c r="S539" i="225"/>
  <c r="AF539" i="225"/>
  <c r="AQ539" i="225" s="1"/>
  <c r="AH539" i="225"/>
  <c r="AS539" i="225" s="1"/>
  <c r="AP542" i="225"/>
  <c r="AE539" i="225"/>
  <c r="Q539" i="225"/>
  <c r="AO542" i="225"/>
  <c r="AD539" i="225"/>
  <c r="A546" i="225"/>
  <c r="A547" i="225" s="1"/>
  <c r="T545" i="225"/>
  <c r="AL539" i="225"/>
  <c r="AW539" i="225" s="1"/>
  <c r="A731" i="225"/>
  <c r="R539" i="225" l="1"/>
  <c r="AN539" i="225"/>
  <c r="AP539" i="225"/>
  <c r="T547" i="225"/>
  <c r="A548" i="225"/>
  <c r="AD547" i="225"/>
  <c r="AO539" i="225"/>
  <c r="A732" i="225"/>
  <c r="A549" i="225" l="1"/>
  <c r="AD548" i="225"/>
  <c r="T548" i="225"/>
  <c r="A733" i="225"/>
  <c r="T549" i="225" l="1"/>
  <c r="A550" i="225"/>
  <c r="A734" i="225"/>
  <c r="A551" i="225" l="1"/>
  <c r="AD550" i="225"/>
  <c r="T550" i="225"/>
  <c r="A735" i="225"/>
  <c r="A552" i="225" l="1"/>
  <c r="T551" i="225"/>
  <c r="AD551" i="225"/>
  <c r="A736" i="225"/>
  <c r="A553" i="225" l="1"/>
  <c r="AD552" i="225"/>
  <c r="T552" i="225"/>
  <c r="A737" i="225"/>
  <c r="AD553" i="225" l="1"/>
  <c r="AO553" i="225" s="1"/>
  <c r="T553" i="225"/>
  <c r="A554" i="225"/>
  <c r="A738" i="225"/>
  <c r="A555" i="225" l="1"/>
  <c r="AD554" i="225"/>
  <c r="T554" i="225"/>
  <c r="A739" i="225"/>
  <c r="A556" i="225" l="1"/>
  <c r="T555" i="225"/>
  <c r="AD555" i="225"/>
  <c r="A740" i="225"/>
  <c r="A557" i="225" l="1"/>
  <c r="AD556" i="225"/>
  <c r="T556" i="225"/>
  <c r="A741" i="225"/>
  <c r="A558" i="225" l="1"/>
  <c r="A559" i="225" s="1"/>
  <c r="A560" i="225" s="1"/>
  <c r="A561" i="225" s="1"/>
  <c r="A562" i="225" s="1"/>
  <c r="A563" i="225" s="1"/>
  <c r="A564" i="225" s="1"/>
  <c r="T557" i="225"/>
  <c r="AD557" i="225"/>
  <c r="A742" i="225"/>
  <c r="A565" i="225" l="1"/>
  <c r="A566" i="225" s="1"/>
  <c r="A567" i="225" s="1"/>
  <c r="A568" i="225" s="1"/>
  <c r="A569" i="225" s="1"/>
  <c r="A570" i="225" s="1"/>
  <c r="A571" i="225" s="1"/>
  <c r="A572" i="225" s="1"/>
  <c r="AF564" i="225"/>
  <c r="X564" i="225"/>
  <c r="P564" i="225"/>
  <c r="AM564" i="225"/>
  <c r="AE564" i="225"/>
  <c r="W564" i="225"/>
  <c r="O564" i="225"/>
  <c r="AL564" i="225"/>
  <c r="AD564" i="225"/>
  <c r="V564" i="225"/>
  <c r="AK564" i="225"/>
  <c r="AC564" i="225"/>
  <c r="U564" i="225"/>
  <c r="AJ564" i="225"/>
  <c r="AB564" i="225"/>
  <c r="T564" i="225"/>
  <c r="AH564" i="225"/>
  <c r="Z564" i="225"/>
  <c r="Q564" i="225"/>
  <c r="AI564" i="225"/>
  <c r="AG564" i="225"/>
  <c r="AA564" i="225"/>
  <c r="Y564" i="225"/>
  <c r="S564" i="225"/>
  <c r="A743" i="225"/>
  <c r="AA565" i="225" l="1"/>
  <c r="AA567" i="225" s="1"/>
  <c r="AJ570" i="225"/>
  <c r="AJ565" i="225"/>
  <c r="AJ567" i="225" s="1"/>
  <c r="AJ568" i="225" s="1"/>
  <c r="AJ571" i="225"/>
  <c r="AU571" i="225" s="1"/>
  <c r="W565" i="225"/>
  <c r="W567" i="225" s="1"/>
  <c r="AB565" i="225"/>
  <c r="AB567" i="225" s="1"/>
  <c r="U565" i="225"/>
  <c r="U567" i="225" s="1"/>
  <c r="AE565" i="225"/>
  <c r="AE567" i="225" s="1"/>
  <c r="AI571" i="225"/>
  <c r="AT571" i="225" s="1"/>
  <c r="AI570" i="225"/>
  <c r="AI565" i="225"/>
  <c r="AI567" i="225" s="1"/>
  <c r="AI568" i="225" s="1"/>
  <c r="AC565" i="225"/>
  <c r="AC567" i="225" s="1"/>
  <c r="AM571" i="225"/>
  <c r="AM570" i="225"/>
  <c r="AM565" i="225"/>
  <c r="AM567" i="225" s="1"/>
  <c r="AM568" i="225" s="1"/>
  <c r="O565" i="225"/>
  <c r="O567" i="225" s="1"/>
  <c r="Q565" i="225"/>
  <c r="R564" i="225"/>
  <c r="AK570" i="225"/>
  <c r="AK565" i="225"/>
  <c r="AK567" i="225" s="1"/>
  <c r="AK568" i="225" s="1"/>
  <c r="AK571" i="225"/>
  <c r="AV571" i="225" s="1"/>
  <c r="P565" i="225"/>
  <c r="P567" i="225" s="1"/>
  <c r="AG565" i="225"/>
  <c r="AG567" i="225" s="1"/>
  <c r="Z565" i="225"/>
  <c r="Z567" i="225" s="1"/>
  <c r="V565" i="225"/>
  <c r="V567" i="225" s="1"/>
  <c r="X565" i="225"/>
  <c r="X567" i="225" s="1"/>
  <c r="AH565" i="225"/>
  <c r="AH567" i="225" s="1"/>
  <c r="AD565" i="225"/>
  <c r="AD567" i="225" s="1"/>
  <c r="AF565" i="225"/>
  <c r="AF567" i="225" s="1"/>
  <c r="Y565" i="225"/>
  <c r="Y567" i="225" s="1"/>
  <c r="S565" i="225"/>
  <c r="S567" i="225" s="1"/>
  <c r="T565" i="225"/>
  <c r="T567" i="225" s="1"/>
  <c r="AL565" i="225"/>
  <c r="AL567" i="225" s="1"/>
  <c r="AL568" i="225" s="1"/>
  <c r="AL571" i="225"/>
  <c r="AW571" i="225" s="1"/>
  <c r="AL570" i="225"/>
  <c r="AM572" i="225"/>
  <c r="AE572" i="225"/>
  <c r="W572" i="225"/>
  <c r="O572" i="225"/>
  <c r="AL572" i="225"/>
  <c r="AD572" i="225"/>
  <c r="V572" i="225"/>
  <c r="AK572" i="225"/>
  <c r="AC572" i="225"/>
  <c r="U572" i="225"/>
  <c r="AJ572" i="225"/>
  <c r="AB572" i="225"/>
  <c r="T572" i="225"/>
  <c r="AI572" i="225"/>
  <c r="AA572" i="225"/>
  <c r="S572" i="225"/>
  <c r="AH572" i="225"/>
  <c r="Z572" i="225"/>
  <c r="AG572" i="225"/>
  <c r="Y572" i="225"/>
  <c r="Q572" i="225"/>
  <c r="A573" i="225"/>
  <c r="A574" i="225" s="1"/>
  <c r="A575" i="225" s="1"/>
  <c r="A576" i="225" s="1"/>
  <c r="AF572" i="225"/>
  <c r="X572" i="225"/>
  <c r="P572" i="225"/>
  <c r="A744" i="225"/>
  <c r="AA574" i="225" l="1"/>
  <c r="AA573" i="225"/>
  <c r="AA575" i="225" s="1"/>
  <c r="AI574" i="225"/>
  <c r="AI573" i="225"/>
  <c r="AI575" i="225" s="1"/>
  <c r="AI576" i="225"/>
  <c r="AD574" i="225"/>
  <c r="AD573" i="225"/>
  <c r="AD575" i="225" s="1"/>
  <c r="T573" i="225"/>
  <c r="T575" i="225" s="1"/>
  <c r="T574" i="225"/>
  <c r="AL576" i="225"/>
  <c r="AL574" i="225"/>
  <c r="AL573" i="225"/>
  <c r="AL575" i="225" s="1"/>
  <c r="Y574" i="225"/>
  <c r="Y573" i="225"/>
  <c r="Y575" i="225" s="1"/>
  <c r="AB573" i="225"/>
  <c r="AB575" i="225" s="1"/>
  <c r="AB574" i="225"/>
  <c r="O574" i="225"/>
  <c r="O573" i="225"/>
  <c r="O575" i="225" s="1"/>
  <c r="V574" i="225"/>
  <c r="V573" i="225"/>
  <c r="V575" i="225" s="1"/>
  <c r="AG574" i="225"/>
  <c r="AG573" i="225"/>
  <c r="AG575" i="225" s="1"/>
  <c r="AJ573" i="225"/>
  <c r="AJ575" i="225" s="1"/>
  <c r="AJ576" i="225"/>
  <c r="AJ574" i="225"/>
  <c r="W574" i="225"/>
  <c r="W573" i="225"/>
  <c r="W575" i="225" s="1"/>
  <c r="R565" i="225"/>
  <c r="Q574" i="225"/>
  <c r="Q573" i="225"/>
  <c r="R572" i="225"/>
  <c r="Z574" i="225"/>
  <c r="Z573" i="225"/>
  <c r="Z575" i="225" s="1"/>
  <c r="U573" i="225"/>
  <c r="U575" i="225" s="1"/>
  <c r="U574" i="225"/>
  <c r="AE574" i="225"/>
  <c r="AE573" i="225"/>
  <c r="AE575" i="225" s="1"/>
  <c r="AF574" i="225"/>
  <c r="AF573" i="225"/>
  <c r="AF575" i="225" s="1"/>
  <c r="AH574" i="225"/>
  <c r="AH573" i="225"/>
  <c r="AH575" i="225" s="1"/>
  <c r="AC573" i="225"/>
  <c r="AC575" i="225" s="1"/>
  <c r="AC574" i="225"/>
  <c r="AM576" i="225"/>
  <c r="AM574" i="225"/>
  <c r="AM573" i="225"/>
  <c r="AM575" i="225" s="1"/>
  <c r="P574" i="225"/>
  <c r="P573" i="225"/>
  <c r="P575" i="225" s="1"/>
  <c r="X574" i="225"/>
  <c r="X573" i="225"/>
  <c r="X575" i="225" s="1"/>
  <c r="S574" i="225"/>
  <c r="S573" i="225"/>
  <c r="S575" i="225" s="1"/>
  <c r="AK573" i="225"/>
  <c r="AK575" i="225" s="1"/>
  <c r="AK576" i="225"/>
  <c r="AK574" i="225"/>
  <c r="Q567" i="225"/>
  <c r="A745" i="225"/>
  <c r="R574" i="225" l="1"/>
  <c r="R573" i="225"/>
  <c r="R567" i="225"/>
  <c r="Q575" i="225"/>
  <c r="R575" i="225" s="1"/>
  <c r="A746" i="225"/>
  <c r="A747" i="225" l="1"/>
  <c r="A748" i="225" l="1"/>
  <c r="A870" i="225" l="1"/>
  <c r="A853" i="225"/>
  <c r="S827" i="225"/>
  <c r="L827" i="225"/>
  <c r="L828" i="225" s="1"/>
  <c r="A827" i="225"/>
  <c r="A828" i="225" s="1"/>
  <c r="A829" i="225" s="1"/>
  <c r="L829" i="225" l="1"/>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F805" i="225" l="1"/>
  <c r="F797" i="225"/>
  <c r="F789" i="225"/>
  <c r="F781" i="225"/>
  <c r="F773" i="225"/>
  <c r="F804" i="225"/>
  <c r="F796" i="225"/>
  <c r="F788" i="225"/>
  <c r="F780" i="225"/>
  <c r="F772" i="225"/>
  <c r="F803" i="225"/>
  <c r="F795" i="225"/>
  <c r="F787" i="225"/>
  <c r="F779" i="225"/>
  <c r="F771" i="225"/>
  <c r="F766" i="225"/>
  <c r="F802" i="225"/>
  <c r="F794" i="225"/>
  <c r="F786" i="225"/>
  <c r="F778" i="225"/>
  <c r="F770" i="225"/>
  <c r="F774" i="225"/>
  <c r="F801" i="225"/>
  <c r="F793" i="225"/>
  <c r="F785" i="225"/>
  <c r="F777" i="225"/>
  <c r="F769" i="225"/>
  <c r="F782" i="225"/>
  <c r="F800" i="225"/>
  <c r="F792" i="225"/>
  <c r="F784" i="225"/>
  <c r="F776" i="225"/>
  <c r="F768" i="225"/>
  <c r="F798" i="225"/>
  <c r="F799" i="225"/>
  <c r="F791" i="225"/>
  <c r="F783" i="225"/>
  <c r="F775" i="225"/>
  <c r="F767" i="225"/>
  <c r="F765" i="225"/>
  <c r="F790" i="225"/>
  <c r="F748" i="225"/>
  <c r="F741" i="225"/>
  <c r="F733" i="225"/>
  <c r="F725" i="225"/>
  <c r="F717" i="225"/>
  <c r="F709" i="225"/>
  <c r="F690" i="225"/>
  <c r="F682" i="225"/>
  <c r="F674" i="225"/>
  <c r="F666" i="225"/>
  <c r="F658" i="225"/>
  <c r="F739" i="225"/>
  <c r="F738" i="225"/>
  <c r="F737" i="225"/>
  <c r="F742" i="225"/>
  <c r="F734" i="225"/>
  <c r="F726" i="225"/>
  <c r="F718" i="225"/>
  <c r="F710" i="225"/>
  <c r="F691" i="225"/>
  <c r="F683" i="225"/>
  <c r="F675" i="225"/>
  <c r="F667" i="225"/>
  <c r="F659" i="225"/>
  <c r="F740" i="225"/>
  <c r="F732" i="225"/>
  <c r="F724" i="225"/>
  <c r="F716" i="225"/>
  <c r="F708" i="225"/>
  <c r="F689" i="225"/>
  <c r="F681" i="225"/>
  <c r="F673" i="225"/>
  <c r="F665" i="225"/>
  <c r="F657" i="225"/>
  <c r="F656" i="225"/>
  <c r="F747" i="225"/>
  <c r="F731" i="225"/>
  <c r="F723" i="225"/>
  <c r="F715" i="225"/>
  <c r="F696" i="225"/>
  <c r="F688" i="225"/>
  <c r="F680" i="225"/>
  <c r="F672" i="225"/>
  <c r="F664" i="225"/>
  <c r="F746" i="225"/>
  <c r="F730" i="225"/>
  <c r="F722" i="225"/>
  <c r="F714" i="225"/>
  <c r="F695" i="225"/>
  <c r="F687" i="225"/>
  <c r="F679" i="225"/>
  <c r="F671" i="225"/>
  <c r="F663" i="225"/>
  <c r="F745" i="225"/>
  <c r="F729" i="225"/>
  <c r="F721" i="225"/>
  <c r="F713" i="225"/>
  <c r="F694" i="225"/>
  <c r="F686" i="225"/>
  <c r="F678" i="225"/>
  <c r="F670" i="225"/>
  <c r="F662" i="225"/>
  <c r="F744" i="225"/>
  <c r="F736" i="225"/>
  <c r="F728" i="225"/>
  <c r="F693" i="225"/>
  <c r="F661" i="225"/>
  <c r="F743" i="225"/>
  <c r="F692" i="225"/>
  <c r="F660" i="225"/>
  <c r="F735" i="225"/>
  <c r="F685" i="225"/>
  <c r="F727" i="225"/>
  <c r="F684" i="225"/>
  <c r="F720" i="225"/>
  <c r="F677" i="225"/>
  <c r="F719" i="225"/>
  <c r="F676" i="225"/>
  <c r="F712" i="225"/>
  <c r="F669" i="225"/>
  <c r="F711" i="225"/>
  <c r="F668" i="225"/>
  <c r="F700" i="225"/>
  <c r="F707" i="225"/>
  <c r="F699" i="225"/>
  <c r="F706" i="225"/>
  <c r="F705" i="225"/>
  <c r="F703" i="225"/>
  <c r="F704" i="225"/>
  <c r="F702" i="225"/>
  <c r="F701" i="225"/>
  <c r="R834" i="225"/>
  <c r="Q834" i="225"/>
  <c r="T834" i="225"/>
  <c r="P834" i="225"/>
  <c r="S834" i="225"/>
  <c r="O834" i="225"/>
  <c r="B370" i="225"/>
  <c r="B383" i="225"/>
  <c r="B378" i="225"/>
  <c r="B361" i="225"/>
  <c r="B382" i="225"/>
  <c r="B368" i="225"/>
  <c r="B380" i="225"/>
  <c r="B365" i="225"/>
  <c r="B379" i="225"/>
  <c r="B364" i="225"/>
  <c r="B374" i="225"/>
  <c r="B373" i="225"/>
  <c r="B371" i="225"/>
  <c r="B376" i="225"/>
  <c r="B367" i="225"/>
  <c r="B360" i="225"/>
  <c r="B375" i="225"/>
  <c r="B366" i="225"/>
  <c r="B381" i="225"/>
  <c r="B372" i="225"/>
  <c r="B362" i="225"/>
  <c r="B363" i="225"/>
  <c r="B377" i="225"/>
  <c r="B369" i="225"/>
  <c r="F647" i="225"/>
  <c r="G775" i="225" l="1"/>
  <c r="L775" i="225"/>
  <c r="G798" i="225"/>
  <c r="L798" i="225"/>
  <c r="G792" i="225"/>
  <c r="L792" i="225"/>
  <c r="G801" i="225"/>
  <c r="L801" i="225"/>
  <c r="G778" i="225"/>
  <c r="L778" i="225"/>
  <c r="L803" i="225"/>
  <c r="G803" i="225"/>
  <c r="G780" i="225"/>
  <c r="L780" i="225"/>
  <c r="L783" i="225"/>
  <c r="G783" i="225"/>
  <c r="G800" i="225"/>
  <c r="L800" i="225"/>
  <c r="G774" i="225"/>
  <c r="L774" i="225"/>
  <c r="L786" i="225"/>
  <c r="G786" i="225"/>
  <c r="G788" i="225"/>
  <c r="L788" i="225"/>
  <c r="L791" i="225"/>
  <c r="G791" i="225"/>
  <c r="G794" i="225"/>
  <c r="L794" i="225"/>
  <c r="G796" i="225"/>
  <c r="L796" i="225"/>
  <c r="G799" i="225"/>
  <c r="L799" i="225"/>
  <c r="G782" i="225"/>
  <c r="L782" i="225"/>
  <c r="G802" i="225"/>
  <c r="L802" i="225"/>
  <c r="L804" i="225"/>
  <c r="G804" i="225"/>
  <c r="L773" i="225"/>
  <c r="G773" i="225"/>
  <c r="L769" i="225"/>
  <c r="G769" i="225"/>
  <c r="G766" i="225"/>
  <c r="L766" i="225"/>
  <c r="L771" i="225"/>
  <c r="G771" i="225"/>
  <c r="G781" i="225"/>
  <c r="L781" i="225"/>
  <c r="G790" i="225"/>
  <c r="L790" i="225"/>
  <c r="G768" i="225"/>
  <c r="L768" i="225"/>
  <c r="L777" i="225"/>
  <c r="G777" i="225"/>
  <c r="L779" i="225"/>
  <c r="G779" i="225"/>
  <c r="G789" i="225"/>
  <c r="L789" i="225"/>
  <c r="L765" i="225"/>
  <c r="G765" i="225"/>
  <c r="G776" i="225"/>
  <c r="L776" i="225"/>
  <c r="G785" i="225"/>
  <c r="L785" i="225"/>
  <c r="L787" i="225"/>
  <c r="G787" i="225"/>
  <c r="L797" i="225"/>
  <c r="G797" i="225"/>
  <c r="L767" i="225"/>
  <c r="G767" i="225"/>
  <c r="G784" i="225"/>
  <c r="L784" i="225"/>
  <c r="L793" i="225"/>
  <c r="G793" i="225"/>
  <c r="G770" i="225"/>
  <c r="L770" i="225"/>
  <c r="L795" i="225"/>
  <c r="G795" i="225"/>
  <c r="L772" i="225"/>
  <c r="G772" i="225"/>
  <c r="L805" i="225"/>
  <c r="G805" i="225"/>
  <c r="G669" i="225"/>
  <c r="L669" i="225"/>
  <c r="G685" i="225"/>
  <c r="L685" i="225"/>
  <c r="L736" i="225"/>
  <c r="G736" i="225"/>
  <c r="L721" i="225"/>
  <c r="G721" i="225"/>
  <c r="L714" i="225"/>
  <c r="G714" i="225"/>
  <c r="L673" i="225"/>
  <c r="G673" i="225"/>
  <c r="G659" i="225"/>
  <c r="L659" i="225"/>
  <c r="L734" i="225"/>
  <c r="G734" i="225"/>
  <c r="L682" i="225"/>
  <c r="G682" i="225"/>
  <c r="L712" i="225"/>
  <c r="G712" i="225"/>
  <c r="L735" i="225"/>
  <c r="G735" i="225"/>
  <c r="L744" i="225"/>
  <c r="G744" i="225"/>
  <c r="L729" i="225"/>
  <c r="G729" i="225"/>
  <c r="L722" i="225"/>
  <c r="G722" i="225"/>
  <c r="L715" i="225"/>
  <c r="G715" i="225"/>
  <c r="G681" i="225"/>
  <c r="L681" i="225"/>
  <c r="G667" i="225"/>
  <c r="L667" i="225"/>
  <c r="L742" i="225"/>
  <c r="G742" i="225"/>
  <c r="L690" i="225"/>
  <c r="G690" i="225"/>
  <c r="L676" i="225"/>
  <c r="G676" i="225"/>
  <c r="L660" i="225"/>
  <c r="G660" i="225"/>
  <c r="L662" i="225"/>
  <c r="G662" i="225"/>
  <c r="L745" i="225"/>
  <c r="G745" i="225"/>
  <c r="L730" i="225"/>
  <c r="G730" i="225"/>
  <c r="L723" i="225"/>
  <c r="G723" i="225"/>
  <c r="G689" i="225"/>
  <c r="L689" i="225"/>
  <c r="L675" i="225"/>
  <c r="G675" i="225"/>
  <c r="L737" i="225"/>
  <c r="G737" i="225"/>
  <c r="L709" i="225"/>
  <c r="G709" i="225"/>
  <c r="L719" i="225"/>
  <c r="G719" i="225"/>
  <c r="L692" i="225"/>
  <c r="G692" i="225"/>
  <c r="L670" i="225"/>
  <c r="G670" i="225"/>
  <c r="G663" i="225"/>
  <c r="L663" i="225"/>
  <c r="L746" i="225"/>
  <c r="G746" i="225"/>
  <c r="L731" i="225"/>
  <c r="G731" i="225"/>
  <c r="G708" i="225"/>
  <c r="L708" i="225"/>
  <c r="L683" i="225"/>
  <c r="G683" i="225"/>
  <c r="L738" i="225"/>
  <c r="G738" i="225"/>
  <c r="L717" i="225"/>
  <c r="G717" i="225"/>
  <c r="G677" i="225"/>
  <c r="L677" i="225"/>
  <c r="L743" i="225"/>
  <c r="G743" i="225"/>
  <c r="L678" i="225"/>
  <c r="G678" i="225"/>
  <c r="G671" i="225"/>
  <c r="L671" i="225"/>
  <c r="L664" i="225"/>
  <c r="G664" i="225"/>
  <c r="L747" i="225"/>
  <c r="G747" i="225"/>
  <c r="L716" i="225"/>
  <c r="G716" i="225"/>
  <c r="L691" i="225"/>
  <c r="G691" i="225"/>
  <c r="L739" i="225"/>
  <c r="G739" i="225"/>
  <c r="L725" i="225"/>
  <c r="G725" i="225"/>
  <c r="L720" i="225"/>
  <c r="G720" i="225"/>
  <c r="L661" i="225"/>
  <c r="G661" i="225"/>
  <c r="L686" i="225"/>
  <c r="G686" i="225"/>
  <c r="L679" i="225"/>
  <c r="G679" i="225"/>
  <c r="L672" i="225"/>
  <c r="G672" i="225"/>
  <c r="G656" i="225"/>
  <c r="L656" i="225"/>
  <c r="L724" i="225"/>
  <c r="G724" i="225"/>
  <c r="L710" i="225"/>
  <c r="G710" i="225"/>
  <c r="L658" i="225"/>
  <c r="G658" i="225"/>
  <c r="L733" i="225"/>
  <c r="G733" i="225"/>
  <c r="L668" i="225"/>
  <c r="G668" i="225"/>
  <c r="L684" i="225"/>
  <c r="G684" i="225"/>
  <c r="G693" i="225"/>
  <c r="L693" i="225"/>
  <c r="L694" i="225"/>
  <c r="G694" i="225"/>
  <c r="G687" i="225"/>
  <c r="L687" i="225"/>
  <c r="L680" i="225"/>
  <c r="G680" i="225"/>
  <c r="G657" i="225"/>
  <c r="L657" i="225"/>
  <c r="L732" i="225"/>
  <c r="G732" i="225"/>
  <c r="L718" i="225"/>
  <c r="G718" i="225"/>
  <c r="L666" i="225"/>
  <c r="G666" i="225"/>
  <c r="L741" i="225"/>
  <c r="G741" i="225"/>
  <c r="L711" i="225"/>
  <c r="G711" i="225"/>
  <c r="L727" i="225"/>
  <c r="G727" i="225"/>
  <c r="L728" i="225"/>
  <c r="G728" i="225"/>
  <c r="L713" i="225"/>
  <c r="G713" i="225"/>
  <c r="G695" i="225"/>
  <c r="L695" i="225"/>
  <c r="L688" i="225"/>
  <c r="G688" i="225"/>
  <c r="L665" i="225"/>
  <c r="G665" i="225"/>
  <c r="L740" i="225"/>
  <c r="G740" i="225"/>
  <c r="L726" i="225"/>
  <c r="G726" i="225"/>
  <c r="L674" i="225"/>
  <c r="G674" i="225"/>
  <c r="G703" i="225"/>
  <c r="L703" i="225"/>
  <c r="G705" i="225"/>
  <c r="L705" i="225"/>
  <c r="L706" i="225"/>
  <c r="G706" i="225"/>
  <c r="L699" i="225"/>
  <c r="G699" i="225"/>
  <c r="L707" i="225"/>
  <c r="G707" i="225"/>
  <c r="G701" i="225"/>
  <c r="L701" i="225"/>
  <c r="G700" i="225"/>
  <c r="L700" i="225"/>
  <c r="G704" i="225"/>
  <c r="L704" i="225"/>
  <c r="G702" i="225"/>
  <c r="L702" i="225"/>
  <c r="G748" i="225"/>
  <c r="L748" i="225"/>
  <c r="L752"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F764" i="225"/>
  <c r="L764" i="225" s="1"/>
  <c r="F763" i="225"/>
  <c r="L763" i="225" s="1"/>
  <c r="F762" i="225"/>
  <c r="L762" i="225" s="1"/>
  <c r="F761" i="225"/>
  <c r="L761" i="225" s="1"/>
  <c r="F760" i="225"/>
  <c r="L760" i="225" s="1"/>
  <c r="F759" i="225"/>
  <c r="L759" i="225" s="1"/>
  <c r="F758" i="225"/>
  <c r="L758" i="225" s="1"/>
  <c r="F757" i="225"/>
  <c r="L757" i="225" s="1"/>
  <c r="F756" i="225"/>
  <c r="L756" i="225" s="1"/>
  <c r="A753" i="225"/>
  <c r="B753" i="225" s="1"/>
  <c r="F655" i="225"/>
  <c r="F654" i="225"/>
  <c r="F653" i="225"/>
  <c r="F652" i="225"/>
  <c r="F651" i="225"/>
  <c r="F650" i="225"/>
  <c r="F649" i="225"/>
  <c r="F648" i="225"/>
  <c r="G647" i="225"/>
  <c r="A583"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Q419" i="225" l="1"/>
  <c r="Q413" i="225"/>
  <c r="Q417" i="225"/>
  <c r="Q418" i="225"/>
  <c r="Q416" i="225"/>
  <c r="Q427" i="225"/>
  <c r="Q415" i="225"/>
  <c r="Q425" i="225"/>
  <c r="Q420" i="225"/>
  <c r="G651" i="225"/>
  <c r="L650" i="225"/>
  <c r="G653" i="225"/>
  <c r="L654" i="225"/>
  <c r="G652" i="225"/>
  <c r="L655" i="225"/>
  <c r="L649" i="225"/>
  <c r="G648" i="225"/>
  <c r="G696" i="225"/>
  <c r="L217" i="225"/>
  <c r="L696" i="225"/>
  <c r="G655" i="225"/>
  <c r="L653" i="225"/>
  <c r="G654" i="225"/>
  <c r="G756" i="225"/>
  <c r="G758" i="225"/>
  <c r="G760" i="225"/>
  <c r="G762" i="225"/>
  <c r="G764" i="225"/>
  <c r="G757" i="225"/>
  <c r="G759" i="225"/>
  <c r="G761" i="225"/>
  <c r="G763" i="225"/>
  <c r="L652" i="225"/>
  <c r="L648" i="225"/>
  <c r="L651" i="225"/>
  <c r="L647" i="225"/>
  <c r="G650" i="225"/>
  <c r="G649" i="225"/>
  <c r="N583" i="225"/>
  <c r="A584" i="225"/>
  <c r="F582" i="225"/>
  <c r="N582" i="225"/>
  <c r="N699" i="225" l="1"/>
  <c r="N647" i="225"/>
  <c r="Q414" i="225"/>
  <c r="Q409" i="225" s="1"/>
  <c r="Q426" i="225"/>
  <c r="P476" i="225"/>
  <c r="P474" i="225" s="1"/>
  <c r="P471" i="225" s="1"/>
  <c r="O476" i="225"/>
  <c r="O474" i="225" s="1"/>
  <c r="O471" i="225" s="1"/>
  <c r="G621" i="225"/>
  <c r="G595" i="225"/>
  <c r="G619" i="225"/>
  <c r="G611" i="225"/>
  <c r="G617" i="225"/>
  <c r="G609" i="225"/>
  <c r="G616" i="225"/>
  <c r="G615" i="225"/>
  <c r="G613" i="225"/>
  <c r="G620" i="225"/>
  <c r="G612" i="225"/>
  <c r="G618" i="225"/>
  <c r="G610" i="225"/>
  <c r="G614" i="225"/>
  <c r="G602" i="225"/>
  <c r="G599" i="225"/>
  <c r="G598" i="225"/>
  <c r="G589" i="225"/>
  <c r="G588" i="225"/>
  <c r="G587" i="225"/>
  <c r="G608" i="225"/>
  <c r="G607" i="225"/>
  <c r="G606" i="225"/>
  <c r="G604" i="225"/>
  <c r="G597" i="225"/>
  <c r="G593" i="225"/>
  <c r="G592" i="225"/>
  <c r="G591" i="225"/>
  <c r="G590" i="225"/>
  <c r="G586" i="225"/>
  <c r="G603" i="225"/>
  <c r="G601" i="225"/>
  <c r="G600" i="225"/>
  <c r="G596" i="225"/>
  <c r="G594" i="225"/>
  <c r="G605" i="225"/>
  <c r="N584" i="225"/>
  <c r="A585" i="225"/>
  <c r="Q407" i="225" l="1"/>
  <c r="Q405" i="225" s="1"/>
  <c r="Q447" i="225" s="1"/>
  <c r="Q476" i="225"/>
  <c r="Q474" i="225" s="1"/>
  <c r="S476" i="225"/>
  <c r="AN476" i="225" s="1"/>
  <c r="T476" i="225"/>
  <c r="T474" i="225" s="1"/>
  <c r="T471" i="225" s="1"/>
  <c r="AD476" i="225"/>
  <c r="AD474" i="225" s="1"/>
  <c r="AD471" i="225" s="1"/>
  <c r="T488" i="225"/>
  <c r="T486" i="225" s="1"/>
  <c r="T477" i="225" s="1"/>
  <c r="Q488" i="225"/>
  <c r="O488" i="225"/>
  <c r="O486" i="225" s="1"/>
  <c r="O477" i="225" s="1"/>
  <c r="P488" i="225"/>
  <c r="P486" i="225" s="1"/>
  <c r="P477" i="225" s="1"/>
  <c r="S488" i="225"/>
  <c r="T461" i="225"/>
  <c r="T459" i="225" s="1"/>
  <c r="T454" i="225" s="1"/>
  <c r="AD461" i="225"/>
  <c r="AD459" i="225" s="1"/>
  <c r="AD454" i="225" s="1"/>
  <c r="P461" i="225"/>
  <c r="P459" i="225" s="1"/>
  <c r="P454" i="225" s="1"/>
  <c r="S461" i="225"/>
  <c r="O461" i="225"/>
  <c r="O459" i="225" s="1"/>
  <c r="O454" i="225" s="1"/>
  <c r="Q461" i="225"/>
  <c r="AD488" i="225"/>
  <c r="AD486" i="225" s="1"/>
  <c r="AD477" i="225" s="1"/>
  <c r="O861" i="225"/>
  <c r="O857" i="225" s="1"/>
  <c r="Q861" i="225"/>
  <c r="Q857" i="225" s="1"/>
  <c r="P861" i="225"/>
  <c r="P857" i="225" s="1"/>
  <c r="R861" i="225"/>
  <c r="R857" i="225" s="1"/>
  <c r="S861" i="225"/>
  <c r="S857" i="225" s="1"/>
  <c r="T861" i="225"/>
  <c r="T857" i="225" s="1"/>
  <c r="P835" i="225"/>
  <c r="P833" i="225" s="1"/>
  <c r="O835" i="225"/>
  <c r="O833" i="225" s="1"/>
  <c r="S835" i="225"/>
  <c r="S833" i="225" s="1"/>
  <c r="Q835" i="225"/>
  <c r="Q833" i="225" s="1"/>
  <c r="R835" i="225"/>
  <c r="R833" i="225" s="1"/>
  <c r="T835" i="225"/>
  <c r="T833" i="225" s="1"/>
  <c r="A586" i="225"/>
  <c r="A587" i="225" s="1"/>
  <c r="N585" i="225"/>
  <c r="R476" i="225" l="1"/>
  <c r="S474" i="225"/>
  <c r="AN474" i="225" s="1"/>
  <c r="Q497" i="225"/>
  <c r="AD497" i="225"/>
  <c r="AD452" i="225" s="1"/>
  <c r="AD560" i="225" s="1"/>
  <c r="S497" i="225"/>
  <c r="AN497" i="225" s="1"/>
  <c r="P497" i="225"/>
  <c r="P452" i="225" s="1"/>
  <c r="T497" i="225"/>
  <c r="T452" i="225" s="1"/>
  <c r="T560" i="225" s="1"/>
  <c r="T561" i="225" s="1"/>
  <c r="O497" i="225"/>
  <c r="O452" i="225" s="1"/>
  <c r="R488" i="225"/>
  <c r="Q486" i="225"/>
  <c r="AN488" i="225"/>
  <c r="S486" i="225"/>
  <c r="Q459" i="225"/>
  <c r="R461" i="225"/>
  <c r="AN461" i="225"/>
  <c r="S459" i="225"/>
  <c r="R474" i="225"/>
  <c r="Q471" i="225"/>
  <c r="R471" i="225" s="1"/>
  <c r="A588" i="225"/>
  <c r="O560" i="225" l="1"/>
  <c r="O561" i="225" s="1"/>
  <c r="P560" i="225"/>
  <c r="P561" i="225" s="1"/>
  <c r="S471" i="225"/>
  <c r="AN471" i="225" s="1"/>
  <c r="R497" i="225"/>
  <c r="R459" i="225"/>
  <c r="Q454" i="225"/>
  <c r="S477" i="225"/>
  <c r="AN477" i="225" s="1"/>
  <c r="AN486" i="225"/>
  <c r="R486" i="225"/>
  <c r="Q477" i="225"/>
  <c r="R477" i="225" s="1"/>
  <c r="AN459" i="225"/>
  <c r="S454" i="225"/>
  <c r="T559" i="225"/>
  <c r="A589" i="225"/>
  <c r="A590" i="225" s="1"/>
  <c r="G8" i="225"/>
  <c r="N3" i="225"/>
  <c r="M3" i="225"/>
  <c r="L3" i="225"/>
  <c r="K3" i="225"/>
  <c r="G3" i="225"/>
  <c r="J3" i="225" s="1"/>
  <c r="P570" i="225" l="1"/>
  <c r="P571" i="225"/>
  <c r="P568" i="225"/>
  <c r="P576" i="225" s="1"/>
  <c r="O570" i="225"/>
  <c r="O571" i="225"/>
  <c r="O568" i="225"/>
  <c r="O576" i="225" s="1"/>
  <c r="P559" i="225"/>
  <c r="O559" i="225"/>
  <c r="AN454" i="225"/>
  <c r="S452" i="225"/>
  <c r="S560" i="225" s="1"/>
  <c r="S561" i="225" s="1"/>
  <c r="R454" i="225"/>
  <c r="Q452" i="225"/>
  <c r="Q560" i="225" s="1"/>
  <c r="Q561" i="225" s="1"/>
  <c r="T570" i="225"/>
  <c r="T571" i="225"/>
  <c r="T568" i="225"/>
  <c r="T576" i="225" s="1"/>
  <c r="A591" i="225"/>
  <c r="L387" i="225"/>
  <c r="L76" i="225"/>
  <c r="L360" i="225"/>
  <c r="L183" i="225"/>
  <c r="L63" i="225"/>
  <c r="L289" i="225"/>
  <c r="L398" i="225"/>
  <c r="L97" i="225"/>
  <c r="L342" i="225"/>
  <c r="L54" i="225"/>
  <c r="L300" i="225"/>
  <c r="L154" i="225"/>
  <c r="L46" i="225"/>
  <c r="L237" i="225"/>
  <c r="L136" i="225"/>
  <c r="L209" i="225"/>
  <c r="L200" i="225"/>
  <c r="L646" i="225"/>
  <c r="A399" i="225"/>
  <c r="Q571" i="225" l="1"/>
  <c r="Q570" i="225"/>
  <c r="R570" i="225" s="1"/>
  <c r="Q568" i="225"/>
  <c r="S571" i="225"/>
  <c r="S570" i="225"/>
  <c r="S568" i="225"/>
  <c r="S576" i="225" s="1"/>
  <c r="R452" i="225"/>
  <c r="AN452" i="225"/>
  <c r="V399" i="225"/>
  <c r="A592" i="225"/>
  <c r="R568" i="225" l="1"/>
  <c r="Q576" i="225"/>
  <c r="R576" i="225" s="1"/>
  <c r="R571" i="225" s="1"/>
  <c r="S559" i="225"/>
  <c r="R560" i="225"/>
  <c r="R561" i="225" s="1"/>
  <c r="Q559" i="225"/>
  <c r="R559" i="225" s="1"/>
  <c r="A593" i="225"/>
  <c r="A594" i="225" s="1"/>
  <c r="A595" i="225" s="1"/>
  <c r="C595"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596" i="225" l="1"/>
  <c r="A597" i="225" s="1"/>
  <c r="A598" i="225" s="1"/>
  <c r="A599" i="225" s="1"/>
  <c r="A600" i="225" s="1"/>
  <c r="A601" i="225" l="1"/>
  <c r="A602" i="225" s="1"/>
  <c r="A603" i="225" s="1"/>
  <c r="A604" i="225" s="1"/>
  <c r="A605" i="225" s="1"/>
  <c r="A606" i="225" s="1"/>
  <c r="A642" i="225"/>
  <c r="A607" i="225" l="1"/>
  <c r="A608" i="225" s="1"/>
  <c r="A609" i="225" s="1"/>
  <c r="A610" i="225" s="1"/>
  <c r="A611" i="225" s="1"/>
  <c r="A612" i="225" s="1"/>
  <c r="AL310" i="225"/>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J301" i="225"/>
  <c r="AJ300" i="225" s="1"/>
  <c r="AI301" i="225"/>
  <c r="AH301" i="225"/>
  <c r="AG301" i="225"/>
  <c r="AF301" i="225"/>
  <c r="AF300" i="225" s="1"/>
  <c r="AE301" i="225"/>
  <c r="AD301" i="225"/>
  <c r="AD300" i="225" s="1"/>
  <c r="AC301" i="225"/>
  <c r="AB301" i="225"/>
  <c r="AB300" i="225" s="1"/>
  <c r="AA301" i="225"/>
  <c r="AA300" i="225" s="1"/>
  <c r="Z301" i="225"/>
  <c r="Z300" i="225" s="1"/>
  <c r="Y301" i="225"/>
  <c r="Y300" i="225" s="1"/>
  <c r="X301" i="225"/>
  <c r="W301" i="225"/>
  <c r="V301" i="225"/>
  <c r="V300" i="225" s="1"/>
  <c r="U301" i="225"/>
  <c r="U300" i="225" s="1"/>
  <c r="T301" i="225"/>
  <c r="S301" i="225"/>
  <c r="R301" i="225"/>
  <c r="R300" i="225" s="1"/>
  <c r="Q301" i="225"/>
  <c r="Q300" i="225" s="1"/>
  <c r="P301" i="225"/>
  <c r="P300" i="225" s="1"/>
  <c r="O301" i="225"/>
  <c r="A647"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A624" i="225"/>
  <c r="N623" i="225"/>
  <c r="P647" i="225" l="1"/>
  <c r="P656" i="225"/>
  <c r="P655" i="225"/>
  <c r="P652" i="225"/>
  <c r="P654" i="225"/>
  <c r="P653" i="225"/>
  <c r="P651" i="225"/>
  <c r="P649" i="225"/>
  <c r="P650" i="225"/>
  <c r="P648" i="225"/>
  <c r="N708" i="225"/>
  <c r="N700" i="225"/>
  <c r="N701" i="225"/>
  <c r="N655" i="225"/>
  <c r="N654" i="225"/>
  <c r="N656" i="225"/>
  <c r="N702" i="225"/>
  <c r="N650" i="225"/>
  <c r="N652" i="225"/>
  <c r="N707" i="225"/>
  <c r="N704" i="225"/>
  <c r="N648" i="225"/>
  <c r="N703" i="225"/>
  <c r="N649" i="225"/>
  <c r="N705" i="225"/>
  <c r="N653" i="225"/>
  <c r="N706" i="225"/>
  <c r="N651" i="225"/>
  <c r="U699" i="225"/>
  <c r="Q655" i="225"/>
  <c r="Q700" i="225"/>
  <c r="Q702" i="225"/>
  <c r="Q647" i="225"/>
  <c r="R651" i="225"/>
  <c r="R652" i="225"/>
  <c r="U701" i="225"/>
  <c r="Q705" i="225"/>
  <c r="R654" i="225"/>
  <c r="S647" i="225"/>
  <c r="R656" i="225"/>
  <c r="Q706" i="225"/>
  <c r="Q652" i="225"/>
  <c r="U708" i="225"/>
  <c r="Q699" i="225"/>
  <c r="S654" i="225"/>
  <c r="S653" i="225"/>
  <c r="Q708" i="225"/>
  <c r="Q656" i="225"/>
  <c r="T702" i="225"/>
  <c r="U706" i="225"/>
  <c r="S649" i="225"/>
  <c r="R650" i="225"/>
  <c r="Q654" i="225"/>
  <c r="R653" i="225"/>
  <c r="U705" i="225"/>
  <c r="Q651" i="225"/>
  <c r="T700" i="225"/>
  <c r="T699" i="225"/>
  <c r="R649" i="225"/>
  <c r="S650" i="225"/>
  <c r="S655" i="225"/>
  <c r="S648" i="225"/>
  <c r="U704" i="225"/>
  <c r="T701" i="225"/>
  <c r="T703" i="225"/>
  <c r="Q650" i="225"/>
  <c r="Q653" i="225"/>
  <c r="R655" i="225"/>
  <c r="R648" i="225"/>
  <c r="U702" i="225"/>
  <c r="T708" i="225"/>
  <c r="Q703" i="225"/>
  <c r="T707" i="225"/>
  <c r="Q649" i="225"/>
  <c r="Q707" i="225"/>
  <c r="Q704" i="225"/>
  <c r="Q648" i="225"/>
  <c r="U703" i="225"/>
  <c r="S656" i="225"/>
  <c r="T706" i="225"/>
  <c r="R647" i="225"/>
  <c r="U707" i="225"/>
  <c r="T704" i="225"/>
  <c r="Q701" i="225"/>
  <c r="S651" i="225"/>
  <c r="S652" i="225"/>
  <c r="U700" i="225"/>
  <c r="T705" i="225"/>
  <c r="O300" i="225"/>
  <c r="AI453" i="225"/>
  <c r="AA453" i="225"/>
  <c r="AK453" i="225"/>
  <c r="AJ453" i="225"/>
  <c r="AC453" i="225"/>
  <c r="Y453" i="225"/>
  <c r="X453" i="225"/>
  <c r="AM453" i="225"/>
  <c r="AH453" i="225"/>
  <c r="AE453" i="225"/>
  <c r="AE452" i="225" s="1"/>
  <c r="AE560" i="225" s="1"/>
  <c r="AE561" i="225" s="1"/>
  <c r="AG453" i="225"/>
  <c r="AL453" i="225"/>
  <c r="U453" i="225"/>
  <c r="U452" i="225" s="1"/>
  <c r="U560" i="225" s="1"/>
  <c r="U561" i="225" s="1"/>
  <c r="AB453" i="225"/>
  <c r="V453" i="225"/>
  <c r="AF453" i="225"/>
  <c r="Z453" i="225"/>
  <c r="W453" i="225"/>
  <c r="S300" i="225"/>
  <c r="AI300" i="225"/>
  <c r="X300" i="225"/>
  <c r="W300" i="225"/>
  <c r="AC300" i="225"/>
  <c r="AK300" i="225"/>
  <c r="AG300" i="225"/>
  <c r="T300" i="225"/>
  <c r="AH300" i="225"/>
  <c r="AE300" i="225"/>
  <c r="T825" i="225"/>
  <c r="T821" i="225"/>
  <c r="T817" i="225"/>
  <c r="T813" i="225"/>
  <c r="AM600" i="225"/>
  <c r="A648" i="225"/>
  <c r="R817" i="225"/>
  <c r="Q825" i="225"/>
  <c r="P821" i="225"/>
  <c r="O817" i="225"/>
  <c r="S817" i="225"/>
  <c r="Q813" i="225"/>
  <c r="S813" i="225"/>
  <c r="R825" i="225"/>
  <c r="O825" i="225"/>
  <c r="S825" i="225"/>
  <c r="Q821" i="225"/>
  <c r="P817" i="225"/>
  <c r="O813" i="225"/>
  <c r="R821" i="225"/>
  <c r="P825" i="225"/>
  <c r="O821" i="225"/>
  <c r="P813" i="225"/>
  <c r="R813" i="225"/>
  <c r="S821" i="225"/>
  <c r="Q817" i="225"/>
  <c r="A613" i="225"/>
  <c r="A614" i="225" s="1"/>
  <c r="A615" i="225" s="1"/>
  <c r="A616" i="225" s="1"/>
  <c r="A625" i="225"/>
  <c r="N624" i="225"/>
  <c r="M647" i="225" l="1"/>
  <c r="M699" i="225"/>
  <c r="V452" i="225"/>
  <c r="V560" i="225" s="1"/>
  <c r="V561" i="225" s="1"/>
  <c r="AP452" i="225"/>
  <c r="AO452" i="225"/>
  <c r="AF452" i="225"/>
  <c r="AF560" i="225" s="1"/>
  <c r="AF561" i="225" s="1"/>
  <c r="AD549" i="225"/>
  <c r="A617" i="225"/>
  <c r="AD590" i="225"/>
  <c r="Q594" i="225"/>
  <c r="S594" i="225" s="1"/>
  <c r="AM594" i="225"/>
  <c r="U594" i="225"/>
  <c r="N594" i="225"/>
  <c r="P594" i="225" s="1"/>
  <c r="AG590" i="225"/>
  <c r="AL594" i="225"/>
  <c r="AN594" i="225" s="1"/>
  <c r="AL590" i="225"/>
  <c r="AN590" i="225" s="1"/>
  <c r="AO594" i="225"/>
  <c r="AQ594" i="225" s="1"/>
  <c r="Z590" i="225"/>
  <c r="AB590" i="225" s="1"/>
  <c r="AI594" i="225"/>
  <c r="AK594" i="225" s="1"/>
  <c r="O594" i="225"/>
  <c r="R590" i="225"/>
  <c r="T594" i="225"/>
  <c r="V594" i="225" s="1"/>
  <c r="Q590" i="225"/>
  <c r="S590" i="225" s="1"/>
  <c r="AA594" i="225"/>
  <c r="T590" i="225"/>
  <c r="V590" i="225" s="1"/>
  <c r="Z594" i="225"/>
  <c r="AB594" i="225" s="1"/>
  <c r="X590" i="225"/>
  <c r="AD594" i="225"/>
  <c r="AC590" i="225"/>
  <c r="AE590" i="225" s="1"/>
  <c r="AF590" i="225"/>
  <c r="AH590" i="225" s="1"/>
  <c r="AP590" i="225"/>
  <c r="AJ590" i="225"/>
  <c r="W594" i="225"/>
  <c r="Y594" i="225" s="1"/>
  <c r="AO590" i="225"/>
  <c r="AQ590" i="225" s="1"/>
  <c r="AF594" i="225"/>
  <c r="AH594" i="225" s="1"/>
  <c r="X594" i="225"/>
  <c r="W590" i="225"/>
  <c r="Y590" i="225" s="1"/>
  <c r="R594" i="225"/>
  <c r="AA590" i="225"/>
  <c r="AG594" i="225"/>
  <c r="U590" i="225"/>
  <c r="AJ594" i="225"/>
  <c r="AI590" i="225"/>
  <c r="AK590" i="225" s="1"/>
  <c r="AC594" i="225"/>
  <c r="AE594" i="225" s="1"/>
  <c r="AM590" i="225"/>
  <c r="AP594" i="225"/>
  <c r="Q606" i="225"/>
  <c r="S606" i="225" s="1"/>
  <c r="AP606" i="225"/>
  <c r="AP604" i="225" s="1"/>
  <c r="X612" i="225"/>
  <c r="X610" i="225" s="1"/>
  <c r="AJ600" i="225"/>
  <c r="AJ598" i="225" s="1"/>
  <c r="AL612" i="225"/>
  <c r="AN612" i="225" s="1"/>
  <c r="Q600" i="225"/>
  <c r="Q598" i="225" s="1"/>
  <c r="S598" i="225" s="1"/>
  <c r="AI612" i="225"/>
  <c r="AK612" i="225" s="1"/>
  <c r="AD612" i="225"/>
  <c r="AD610" i="225" s="1"/>
  <c r="W606" i="225"/>
  <c r="Y606" i="225" s="1"/>
  <c r="Z606" i="225"/>
  <c r="AB606" i="225" s="1"/>
  <c r="X600" i="225"/>
  <c r="X598" i="225" s="1"/>
  <c r="AA600" i="225"/>
  <c r="AA598" i="225" s="1"/>
  <c r="N612" i="225"/>
  <c r="P612" i="225" s="1"/>
  <c r="O612" i="225"/>
  <c r="O610" i="225" s="1"/>
  <c r="AF612" i="225"/>
  <c r="AH612" i="225" s="1"/>
  <c r="AJ606" i="225"/>
  <c r="AJ604" i="225" s="1"/>
  <c r="AL606" i="225"/>
  <c r="AN606" i="225" s="1"/>
  <c r="AF606" i="225"/>
  <c r="AH606" i="225" s="1"/>
  <c r="U600" i="225"/>
  <c r="U598" i="225" s="1"/>
  <c r="AP600" i="225"/>
  <c r="AP598" i="225" s="1"/>
  <c r="U612" i="225"/>
  <c r="U610" i="225" s="1"/>
  <c r="Z612" i="225"/>
  <c r="AB612" i="225" s="1"/>
  <c r="R612" i="225"/>
  <c r="R610" i="225" s="1"/>
  <c r="R606" i="225"/>
  <c r="R604" i="225" s="1"/>
  <c r="AM606" i="225"/>
  <c r="AM604" i="225" s="1"/>
  <c r="O606" i="225"/>
  <c r="O604" i="225" s="1"/>
  <c r="T600" i="225"/>
  <c r="V600" i="225" s="1"/>
  <c r="W600" i="225"/>
  <c r="W598" i="225" s="1"/>
  <c r="Y598" i="225" s="1"/>
  <c r="AG612" i="225"/>
  <c r="AG610" i="225" s="1"/>
  <c r="AJ612" i="225"/>
  <c r="AJ610" i="225" s="1"/>
  <c r="AC612" i="225"/>
  <c r="AE612" i="225" s="1"/>
  <c r="AO606" i="225"/>
  <c r="AO604" i="225" s="1"/>
  <c r="AQ604" i="225" s="1"/>
  <c r="AD606" i="225"/>
  <c r="AD604" i="225" s="1"/>
  <c r="U606" i="225"/>
  <c r="U604" i="225" s="1"/>
  <c r="R600" i="225"/>
  <c r="R598" i="225" s="1"/>
  <c r="AP612" i="225"/>
  <c r="AP610" i="225" s="1"/>
  <c r="T612" i="225"/>
  <c r="V612" i="225" s="1"/>
  <c r="AM612" i="225"/>
  <c r="AM610" i="225" s="1"/>
  <c r="AA606" i="225"/>
  <c r="AA604" i="225" s="1"/>
  <c r="N606" i="225"/>
  <c r="P606" i="225" s="1"/>
  <c r="AC600" i="225"/>
  <c r="AC598" i="225" s="1"/>
  <c r="AE598" i="225" s="1"/>
  <c r="AG600" i="225"/>
  <c r="AG598" i="225" s="1"/>
  <c r="Z600" i="225"/>
  <c r="AB600" i="225" s="1"/>
  <c r="W612" i="225"/>
  <c r="Y612" i="225" s="1"/>
  <c r="Q612" i="225"/>
  <c r="S612" i="225" s="1"/>
  <c r="AG606" i="225"/>
  <c r="AG604" i="225" s="1"/>
  <c r="AC606" i="225"/>
  <c r="AE606" i="225" s="1"/>
  <c r="AF600" i="225"/>
  <c r="AF598" i="225" s="1"/>
  <c r="AH598" i="225" s="1"/>
  <c r="AD600" i="225"/>
  <c r="AD598" i="225" s="1"/>
  <c r="AI600" i="225"/>
  <c r="AI598" i="225" s="1"/>
  <c r="AK598" i="225" s="1"/>
  <c r="AO612" i="225"/>
  <c r="AO610" i="225" s="1"/>
  <c r="AQ610" i="225" s="1"/>
  <c r="AA612" i="225"/>
  <c r="AA610" i="225" s="1"/>
  <c r="T606" i="225"/>
  <c r="V606" i="225" s="1"/>
  <c r="AI606" i="225"/>
  <c r="AK606" i="225" s="1"/>
  <c r="AO600" i="225"/>
  <c r="AO598" i="225" s="1"/>
  <c r="AQ598" i="225" s="1"/>
  <c r="AL600" i="225"/>
  <c r="AL598" i="225" s="1"/>
  <c r="AN598" i="225" s="1"/>
  <c r="X606" i="225"/>
  <c r="X604" i="225" s="1"/>
  <c r="AJ592" i="225"/>
  <c r="U591" i="225"/>
  <c r="U593" i="225" s="1"/>
  <c r="AC592" i="225"/>
  <c r="AE592" i="225" s="1"/>
  <c r="W587" i="225"/>
  <c r="W589" i="225" s="1"/>
  <c r="O600" i="225"/>
  <c r="O598" i="225" s="1"/>
  <c r="W592" i="225"/>
  <c r="Y592" i="225" s="1"/>
  <c r="AL588" i="225"/>
  <c r="AN588" i="225" s="1"/>
  <c r="N592" i="225"/>
  <c r="P592" i="225" s="1"/>
  <c r="AD588" i="225"/>
  <c r="AM598" i="225"/>
  <c r="T591" i="225"/>
  <c r="T593" i="225" s="1"/>
  <c r="Z588" i="225"/>
  <c r="AB588" i="225" s="1"/>
  <c r="N591" i="225"/>
  <c r="N593" i="225" s="1"/>
  <c r="AL587" i="225"/>
  <c r="AL589" i="225" s="1"/>
  <c r="AL592" i="225"/>
  <c r="AN592" i="225" s="1"/>
  <c r="Q591" i="225"/>
  <c r="S591" i="225" s="1"/>
  <c r="U587" i="225"/>
  <c r="U589" i="225" s="1"/>
  <c r="AI592" i="225"/>
  <c r="AK592" i="225" s="1"/>
  <c r="AF588" i="225"/>
  <c r="AH588" i="225" s="1"/>
  <c r="Q587" i="225"/>
  <c r="S587" i="225" s="1"/>
  <c r="AA587" i="225"/>
  <c r="AA589" i="225" s="1"/>
  <c r="R592" i="225"/>
  <c r="X591" i="225"/>
  <c r="X593" i="225" s="1"/>
  <c r="AD587" i="225"/>
  <c r="AD589" i="225" s="1"/>
  <c r="W588" i="225"/>
  <c r="Y588" i="225" s="1"/>
  <c r="AG587" i="225"/>
  <c r="AG589" i="225" s="1"/>
  <c r="O587" i="225"/>
  <c r="O589" i="225" s="1"/>
  <c r="Z592" i="225"/>
  <c r="AB592" i="225" s="1"/>
  <c r="U588" i="225"/>
  <c r="AC587" i="225"/>
  <c r="AC589" i="225" s="1"/>
  <c r="N600" i="225"/>
  <c r="N598" i="225" s="1"/>
  <c r="P598" i="225" s="1"/>
  <c r="AF592" i="225"/>
  <c r="AH592" i="225" s="1"/>
  <c r="AM592" i="225"/>
  <c r="AO591" i="225"/>
  <c r="AO593" i="225" s="1"/>
  <c r="AG591" i="225"/>
  <c r="AG593" i="225" s="1"/>
  <c r="AI591" i="225"/>
  <c r="AI593" i="225" s="1"/>
  <c r="AI588" i="225"/>
  <c r="AK588" i="225" s="1"/>
  <c r="O588" i="225"/>
  <c r="Q588" i="225"/>
  <c r="S588" i="225" s="1"/>
  <c r="AO587" i="225"/>
  <c r="AO589" i="225" s="1"/>
  <c r="AM587" i="225"/>
  <c r="AM589" i="225" s="1"/>
  <c r="U592" i="225"/>
  <c r="AP592" i="225"/>
  <c r="AL591" i="225"/>
  <c r="AL593" i="225" s="1"/>
  <c r="AD591" i="225"/>
  <c r="AD593" i="225" s="1"/>
  <c r="AA591" i="225"/>
  <c r="AA593" i="225" s="1"/>
  <c r="O590" i="225"/>
  <c r="AG588" i="225"/>
  <c r="R588" i="225"/>
  <c r="AM588" i="225"/>
  <c r="T587" i="225"/>
  <c r="T589" i="225" s="1"/>
  <c r="AJ587" i="225"/>
  <c r="AJ589" i="225" s="1"/>
  <c r="AD592" i="225"/>
  <c r="W591" i="225"/>
  <c r="Y591" i="225" s="1"/>
  <c r="T588" i="225"/>
  <c r="V588" i="225" s="1"/>
  <c r="AI587" i="225"/>
  <c r="AI589" i="225" s="1"/>
  <c r="AA592" i="225"/>
  <c r="AO592" i="225"/>
  <c r="AQ592" i="225" s="1"/>
  <c r="T592" i="225"/>
  <c r="V592" i="225" s="1"/>
  <c r="Z591" i="225"/>
  <c r="AB591" i="225" s="1"/>
  <c r="AP588" i="225"/>
  <c r="AF587" i="225"/>
  <c r="AF589" i="225" s="1"/>
  <c r="Q592" i="225"/>
  <c r="S592" i="225" s="1"/>
  <c r="AJ591" i="225"/>
  <c r="AJ593" i="225" s="1"/>
  <c r="N590" i="225"/>
  <c r="P590" i="225" s="1"/>
  <c r="Z587" i="225"/>
  <c r="Z589" i="225" s="1"/>
  <c r="O592" i="225"/>
  <c r="AF591" i="225"/>
  <c r="AF593" i="225" s="1"/>
  <c r="AP591" i="225"/>
  <c r="AP593" i="225" s="1"/>
  <c r="AC591" i="225"/>
  <c r="AC593" i="225" s="1"/>
  <c r="N588" i="225"/>
  <c r="P588" i="225" s="1"/>
  <c r="AJ588" i="225"/>
  <c r="AA588" i="225"/>
  <c r="X587" i="225"/>
  <c r="X589" i="225" s="1"/>
  <c r="N587" i="225"/>
  <c r="N589" i="225" s="1"/>
  <c r="X592" i="225"/>
  <c r="AG592" i="225"/>
  <c r="R591" i="225"/>
  <c r="R593" i="225" s="1"/>
  <c r="O591" i="225"/>
  <c r="O593" i="225" s="1"/>
  <c r="AM591" i="225"/>
  <c r="AM593" i="225" s="1"/>
  <c r="AO588" i="225"/>
  <c r="AQ588" i="225" s="1"/>
  <c r="X588" i="225"/>
  <c r="AC588" i="225"/>
  <c r="AE588" i="225" s="1"/>
  <c r="R587" i="225"/>
  <c r="R589" i="225" s="1"/>
  <c r="AP587" i="225"/>
  <c r="AP589" i="225" s="1"/>
  <c r="A649" i="225"/>
  <c r="Q809" i="225"/>
  <c r="S809" i="225"/>
  <c r="O809" i="225"/>
  <c r="P809" i="225"/>
  <c r="R809" i="225"/>
  <c r="T809" i="225"/>
  <c r="A626" i="225"/>
  <c r="N625" i="225"/>
  <c r="AQ452" i="225" l="1"/>
  <c r="AG452" i="225"/>
  <c r="AG560" i="225" s="1"/>
  <c r="AG561" i="225" s="1"/>
  <c r="AP560" i="225"/>
  <c r="AE559" i="225"/>
  <c r="W452" i="225"/>
  <c r="W560" i="225" s="1"/>
  <c r="W561" i="225" s="1"/>
  <c r="U559" i="225"/>
  <c r="AD559" i="225"/>
  <c r="AO560" i="225"/>
  <c r="AN560" i="225"/>
  <c r="AD545" i="225"/>
  <c r="A618" i="225"/>
  <c r="AC610" i="225"/>
  <c r="AE610" i="225" s="1"/>
  <c r="AI604" i="225"/>
  <c r="AK604" i="225" s="1"/>
  <c r="AF604" i="225"/>
  <c r="AH604" i="225" s="1"/>
  <c r="W610" i="225"/>
  <c r="Y610" i="225" s="1"/>
  <c r="W604" i="225"/>
  <c r="Y604" i="225" s="1"/>
  <c r="Q604" i="225"/>
  <c r="S604" i="225" s="1"/>
  <c r="AL604" i="225"/>
  <c r="AN604" i="225" s="1"/>
  <c r="AL610" i="225"/>
  <c r="AN610" i="225" s="1"/>
  <c r="AF610" i="225"/>
  <c r="AH610" i="225" s="1"/>
  <c r="N604" i="225"/>
  <c r="P604" i="225" s="1"/>
  <c r="AI610" i="225"/>
  <c r="AK610" i="225" s="1"/>
  <c r="AC604" i="225"/>
  <c r="AE604" i="225" s="1"/>
  <c r="Z610" i="225"/>
  <c r="AB610" i="225" s="1"/>
  <c r="T610" i="225"/>
  <c r="V610" i="225" s="1"/>
  <c r="T604" i="225"/>
  <c r="V604" i="225" s="1"/>
  <c r="AN600" i="225"/>
  <c r="Q589" i="225"/>
  <c r="AH600" i="225"/>
  <c r="V591" i="225"/>
  <c r="N610" i="225"/>
  <c r="P610" i="225" s="1"/>
  <c r="AN587" i="225"/>
  <c r="Z598" i="225"/>
  <c r="AB598" i="225" s="1"/>
  <c r="Y600" i="225"/>
  <c r="P591" i="225"/>
  <c r="AQ612" i="225"/>
  <c r="Q593" i="225"/>
  <c r="AE600" i="225"/>
  <c r="Y587" i="225"/>
  <c r="AK600" i="225"/>
  <c r="Q610" i="225"/>
  <c r="S610" i="225" s="1"/>
  <c r="T598" i="225"/>
  <c r="V598" i="225" s="1"/>
  <c r="Z593" i="225"/>
  <c r="AN591" i="225"/>
  <c r="V587" i="225"/>
  <c r="P600" i="225"/>
  <c r="W593" i="225"/>
  <c r="AQ600" i="225"/>
  <c r="AK591" i="225"/>
  <c r="AQ606" i="225"/>
  <c r="AE587" i="225"/>
  <c r="Z604" i="225"/>
  <c r="AB604" i="225" s="1"/>
  <c r="AB587" i="225"/>
  <c r="AH591" i="225"/>
  <c r="AE591" i="225"/>
  <c r="AH587" i="225"/>
  <c r="AQ587" i="225"/>
  <c r="AQ591" i="225"/>
  <c r="AK587" i="225"/>
  <c r="S600" i="225"/>
  <c r="P587" i="225"/>
  <c r="A650" i="225"/>
  <c r="N626" i="225"/>
  <c r="A627" i="225"/>
  <c r="AO545" i="225" l="1"/>
  <c r="AD561" i="225"/>
  <c r="AD571" i="225" s="1"/>
  <c r="AN571" i="225" s="1"/>
  <c r="U570" i="225"/>
  <c r="U571" i="225"/>
  <c r="U568" i="225"/>
  <c r="U576" i="225" s="1"/>
  <c r="X452" i="225"/>
  <c r="X560" i="225" s="1"/>
  <c r="X561" i="225" s="1"/>
  <c r="V559" i="225"/>
  <c r="AP561" i="225"/>
  <c r="AE571" i="225"/>
  <c r="AP571" i="225" s="1"/>
  <c r="AE568" i="225"/>
  <c r="AE576" i="225" s="1"/>
  <c r="AE570" i="225"/>
  <c r="AR452" i="225"/>
  <c r="AH452" i="225"/>
  <c r="AH560" i="225" s="1"/>
  <c r="AH561" i="225" s="1"/>
  <c r="AQ560" i="225"/>
  <c r="AF559" i="225"/>
  <c r="AO561" i="225"/>
  <c r="A628" i="225"/>
  <c r="AC618" i="225"/>
  <c r="O618" i="225"/>
  <c r="O616" i="225" s="1"/>
  <c r="AP618" i="225"/>
  <c r="AP616" i="225" s="1"/>
  <c r="R618" i="225"/>
  <c r="R616" i="225" s="1"/>
  <c r="AI618" i="225"/>
  <c r="AF618" i="225"/>
  <c r="AG618" i="225"/>
  <c r="AG616" i="225" s="1"/>
  <c r="X618" i="225"/>
  <c r="X616" i="225" s="1"/>
  <c r="T618" i="225"/>
  <c r="AL618" i="225"/>
  <c r="W618" i="225"/>
  <c r="AO618" i="225"/>
  <c r="AA618" i="225"/>
  <c r="AA616" i="225" s="1"/>
  <c r="N618" i="225"/>
  <c r="Z618" i="225"/>
  <c r="AD618" i="225"/>
  <c r="AD616" i="225" s="1"/>
  <c r="Q618" i="225"/>
  <c r="AM618" i="225"/>
  <c r="AM616" i="225" s="1"/>
  <c r="U618" i="225"/>
  <c r="U616" i="225" s="1"/>
  <c r="AJ618" i="225"/>
  <c r="AJ616" i="225" s="1"/>
  <c r="A619" i="225"/>
  <c r="A651" i="225"/>
  <c r="AN561" i="225" l="1"/>
  <c r="AD570" i="225"/>
  <c r="AD568" i="225"/>
  <c r="AD576" i="225" s="1"/>
  <c r="AH571" i="225"/>
  <c r="AS571" i="225" s="1"/>
  <c r="AH570" i="225"/>
  <c r="AH568" i="225"/>
  <c r="AH576" i="225" s="1"/>
  <c r="X570" i="225"/>
  <c r="X571" i="225"/>
  <c r="X568" i="225"/>
  <c r="X576" i="225" s="1"/>
  <c r="AO571" i="225"/>
  <c r="V571" i="225"/>
  <c r="V570" i="225"/>
  <c r="V568" i="225"/>
  <c r="V576" i="225" s="1"/>
  <c r="AQ561" i="225"/>
  <c r="AF571" i="225"/>
  <c r="AQ571" i="225" s="1"/>
  <c r="AF570" i="225"/>
  <c r="AF568" i="225"/>
  <c r="AF576" i="225" s="1"/>
  <c r="AR560" i="225"/>
  <c r="AG559" i="225"/>
  <c r="AI452" i="225"/>
  <c r="AI560" i="225" s="1"/>
  <c r="AI561" i="225" s="1"/>
  <c r="AS452" i="225"/>
  <c r="Y452" i="225"/>
  <c r="Y560" i="225" s="1"/>
  <c r="Y561" i="225" s="1"/>
  <c r="W559" i="225"/>
  <c r="AO616" i="225"/>
  <c r="AQ616" i="225" s="1"/>
  <c r="AQ618" i="225"/>
  <c r="Y618" i="225"/>
  <c r="W616" i="225"/>
  <c r="Y616" i="225" s="1"/>
  <c r="AN618" i="225"/>
  <c r="AL616" i="225"/>
  <c r="AN616" i="225" s="1"/>
  <c r="S618" i="225"/>
  <c r="Q616" i="225"/>
  <c r="S616" i="225" s="1"/>
  <c r="V618" i="225"/>
  <c r="T616" i="225"/>
  <c r="V616" i="225" s="1"/>
  <c r="AE618" i="225"/>
  <c r="AC616" i="225"/>
  <c r="AE616" i="225" s="1"/>
  <c r="A620" i="225"/>
  <c r="AK618" i="225"/>
  <c r="AI616" i="225"/>
  <c r="AK616" i="225" s="1"/>
  <c r="AB618" i="225"/>
  <c r="Z616" i="225"/>
  <c r="AB616" i="225" s="1"/>
  <c r="P618" i="225"/>
  <c r="N616" i="225"/>
  <c r="P616" i="225" s="1"/>
  <c r="AH618" i="225"/>
  <c r="AF616" i="225"/>
  <c r="AH616" i="225" s="1"/>
  <c r="A629" i="225"/>
  <c r="A652" i="225"/>
  <c r="Y570" i="225" l="1"/>
  <c r="Y571" i="225"/>
  <c r="Y568" i="225"/>
  <c r="Y576" i="225" s="1"/>
  <c r="AR561" i="225"/>
  <c r="AG571" i="225"/>
  <c r="AR571" i="225" s="1"/>
  <c r="AG570" i="225"/>
  <c r="AG568" i="225"/>
  <c r="AG576" i="225" s="1"/>
  <c r="W571" i="225"/>
  <c r="W570" i="225"/>
  <c r="W568" i="225"/>
  <c r="W576" i="225" s="1"/>
  <c r="AS561" i="225"/>
  <c r="AS560" i="225"/>
  <c r="AH559" i="225"/>
  <c r="Z452" i="225"/>
  <c r="Z560" i="225" s="1"/>
  <c r="Z561" i="225" s="1"/>
  <c r="X559" i="225"/>
  <c r="AT452" i="225"/>
  <c r="AJ452" i="225"/>
  <c r="AJ560" i="225" s="1"/>
  <c r="AJ561" i="225" s="1"/>
  <c r="A630" i="225"/>
  <c r="C630" i="225" s="1"/>
  <c r="A621" i="225"/>
  <c r="C621" i="225" s="1"/>
  <c r="A653" i="225"/>
  <c r="Z570" i="225" l="1"/>
  <c r="Z571" i="225"/>
  <c r="Z568" i="225"/>
  <c r="Z576" i="225" s="1"/>
  <c r="A654" i="225"/>
  <c r="AT560" i="225"/>
  <c r="AT561" i="225"/>
  <c r="AI559" i="225"/>
  <c r="AA452" i="225"/>
  <c r="AA560" i="225" s="1"/>
  <c r="AA561" i="225" s="1"/>
  <c r="Y559" i="225"/>
  <c r="AU452" i="225"/>
  <c r="AK452" i="225"/>
  <c r="AK560" i="225" s="1"/>
  <c r="AK561" i="225" s="1"/>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AA571" i="225" l="1"/>
  <c r="AA570" i="225"/>
  <c r="AA568" i="225"/>
  <c r="AA576" i="225" s="1"/>
  <c r="A655" i="225"/>
  <c r="AU560" i="225"/>
  <c r="AJ559" i="225"/>
  <c r="AU561" i="225"/>
  <c r="AB452" i="225"/>
  <c r="AB560" i="225" s="1"/>
  <c r="AB561" i="225" s="1"/>
  <c r="Z559" i="225"/>
  <c r="AL452" i="225"/>
  <c r="AL560" i="225" s="1"/>
  <c r="AL561" i="225" s="1"/>
  <c r="AV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B570" i="225" l="1"/>
  <c r="AB571" i="225"/>
  <c r="AB568" i="225"/>
  <c r="AB576" i="225" s="1"/>
  <c r="A656" i="225"/>
  <c r="AK559" i="225"/>
  <c r="AV560" i="225"/>
  <c r="AV561" i="225"/>
  <c r="AC452" i="225"/>
  <c r="AC560" i="225" s="1"/>
  <c r="AC561" i="225" s="1"/>
  <c r="AA559" i="225"/>
  <c r="AW452" i="225"/>
  <c r="AM452" i="225"/>
  <c r="AM560" i="225" s="1"/>
  <c r="AM561" i="225" s="1"/>
  <c r="P393" i="225"/>
  <c r="O394" i="225"/>
  <c r="AC570" i="225" l="1"/>
  <c r="AC571" i="225"/>
  <c r="AC568" i="225"/>
  <c r="AC576" i="225" s="1"/>
  <c r="A657" i="225"/>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L559" i="225"/>
  <c r="AW561" i="225"/>
  <c r="AW560" i="225"/>
  <c r="AC559" i="225"/>
  <c r="AB559" i="225"/>
  <c r="AM559" i="225"/>
  <c r="Q393" i="225"/>
  <c r="P394"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352" i="225" l="1"/>
  <c r="A353" i="225" s="1"/>
  <c r="A354" i="225" s="1"/>
  <c r="B354" i="225" s="1"/>
  <c r="A351" i="225"/>
  <c r="R393" i="225"/>
  <c r="Q394"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S393" i="225"/>
  <c r="R394" i="225"/>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K269" i="225" s="1"/>
  <c r="AJ257" i="225"/>
  <c r="AJ263" i="225" s="1"/>
  <c r="AJ269" i="225" s="1"/>
  <c r="AI257" i="225"/>
  <c r="AI263" i="225" s="1"/>
  <c r="AI269"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A307" i="225" l="1"/>
  <c r="A308" i="225" s="1"/>
  <c r="A309" i="225" s="1"/>
  <c r="B306" i="225"/>
  <c r="AH262" i="225"/>
  <c r="AH269" i="225"/>
  <c r="S262" i="225"/>
  <c r="S269" i="225"/>
  <c r="AB262" i="225"/>
  <c r="AB269" i="225"/>
  <c r="AC262" i="225"/>
  <c r="AC269" i="225"/>
  <c r="O262" i="225"/>
  <c r="O269" i="225"/>
  <c r="X262" i="225"/>
  <c r="X269" i="225"/>
  <c r="AF262" i="225"/>
  <c r="AF269" i="225"/>
  <c r="AI262" i="225"/>
  <c r="T393" i="225"/>
  <c r="S394" i="225"/>
  <c r="AK262" i="225"/>
  <c r="U262" i="225"/>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U393" i="225"/>
  <c r="T394" i="225"/>
  <c r="A216" i="225"/>
  <c r="A217" i="225" s="1"/>
  <c r="A218" i="225" s="1"/>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G160" i="225" s="1"/>
  <c r="AG158" i="225" s="1"/>
  <c r="AF161" i="225"/>
  <c r="AF160" i="225" s="1"/>
  <c r="AF158" i="225" s="1"/>
  <c r="AE161" i="225"/>
  <c r="AE160" i="225" s="1"/>
  <c r="AE158" i="225" s="1"/>
  <c r="AD161" i="225"/>
  <c r="AD160" i="225" s="1"/>
  <c r="AD158" i="225" s="1"/>
  <c r="AC161" i="225"/>
  <c r="AC160" i="225" s="1"/>
  <c r="AC158" i="225" s="1"/>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S160" i="225" s="1"/>
  <c r="S158" i="225" s="1"/>
  <c r="R161" i="225"/>
  <c r="Q161" i="225"/>
  <c r="Q160" i="225" s="1"/>
  <c r="Q158" i="225" s="1"/>
  <c r="P161" i="225"/>
  <c r="O161" i="225"/>
  <c r="O160" i="225" s="1"/>
  <c r="O158" i="225" s="1"/>
  <c r="A159" i="225"/>
  <c r="A160" i="225" s="1"/>
  <c r="A161" i="225" s="1"/>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141" i="225"/>
  <c r="A142" i="225" s="1"/>
  <c r="A143" i="225" s="1"/>
  <c r="A144" i="225" s="1"/>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B312" i="225" l="1"/>
  <c r="A313" i="225"/>
  <c r="A314" i="225" s="1"/>
  <c r="A315" i="225" s="1"/>
  <c r="B315" i="225" s="1"/>
  <c r="A316" i="225"/>
  <c r="A317" i="225" s="1"/>
  <c r="A318" i="225" s="1"/>
  <c r="R160" i="225"/>
  <c r="R158" i="225" s="1"/>
  <c r="P160" i="225"/>
  <c r="P158" i="225" s="1"/>
  <c r="Y160" i="225"/>
  <c r="Y158" i="225" s="1"/>
  <c r="A146" i="225"/>
  <c r="A147" i="225" s="1"/>
  <c r="A148" i="225" s="1"/>
  <c r="A149" i="225" s="1"/>
  <c r="A150" i="225" s="1"/>
  <c r="A151" i="225" s="1"/>
  <c r="A152" i="225" s="1"/>
  <c r="A145" i="225"/>
  <c r="V393" i="225"/>
  <c r="U394" i="225"/>
  <c r="A188" i="225"/>
  <c r="A190" i="225" s="1"/>
  <c r="A191" i="225" s="1"/>
  <c r="A192" i="225" s="1"/>
  <c r="A193" i="225" s="1"/>
  <c r="A194" i="225" s="1"/>
  <c r="A189"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95" i="225"/>
  <c r="A196" i="225"/>
  <c r="A179" i="225"/>
  <c r="A181" i="225" s="1"/>
  <c r="A180" i="225"/>
  <c r="A48" i="225"/>
  <c r="A47" i="225"/>
  <c r="A50" i="225"/>
  <c r="X393" i="225" l="1"/>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Y393" i="225" l="1"/>
  <c r="X394" i="225"/>
  <c r="Z393" i="225" l="1"/>
  <c r="Y394" i="225"/>
  <c r="AA393" i="225" l="1"/>
  <c r="Z394" i="225"/>
  <c r="M20" i="507"/>
  <c r="M19" i="507"/>
  <c r="M16" i="507"/>
  <c r="M15" i="507"/>
  <c r="M12" i="507"/>
  <c r="M11" i="507"/>
  <c r="AB393" i="225" l="1"/>
  <c r="AA394" i="225"/>
  <c r="AC393" i="225" l="1"/>
  <c r="AB394" i="225"/>
  <c r="AD393" i="225" l="1"/>
  <c r="AC394" i="225"/>
  <c r="AE393" i="225" l="1"/>
  <c r="AD394" i="225"/>
  <c r="AF393" i="225" l="1"/>
  <c r="AE394" i="225"/>
  <c r="AG393" i="225" l="1"/>
  <c r="AF394" i="225"/>
  <c r="AH393" i="225" l="1"/>
  <c r="AH394" i="225" s="1"/>
  <c r="AG394"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<sst xmlns="http://schemas.openxmlformats.org/spreadsheetml/2006/main" count="10389" uniqueCount="3262">
  <si>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</si>
  <si>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</si>
  <si>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</si>
  <si>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</si>
  <si>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</si>
  <si>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</si>
  <si>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</si>
  <si>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</si>
  <si>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</si>
  <si>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</si>
  <si>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</si>
  <si>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</si>
  <si>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</si>
  <si>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</si>
  <si>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</si>
  <si>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</si>
  <si>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</si>
  <si>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</si>
  <si>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</si>
  <si>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</si>
  <si>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</si>
  <si>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</si>
  <si>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</si>
  <si>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</si>
  <si>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</si>
  <si>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</si>
  <si>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</si>
  <si>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</si>
  <si>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</si>
  <si>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</si>
  <si>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</si>
  <si>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</si>
  <si>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</si>
  <si>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</si>
  <si>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</si>
  <si>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</si>
  <si>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</si>
  <si>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</si>
  <si>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</si>
  <si>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</si>
  <si>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</si>
  <si>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</si>
  <si>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</si>
  <si>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</si>
  <si>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</si>
  <si>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</si>
  <si>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</si>
  <si>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</si>
  <si>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</si>
  <si>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</si>
  <si>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</si>
  <si>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</si>
  <si>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</si>
  <si>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</si>
  <si>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</si>
  <si>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</si>
  <si>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</si>
  <si>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</si>
  <si>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</si>
  <si>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</si>
  <si>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</si>
  <si>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</si>
  <si>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</si>
  <si>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</si>
  <si>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</si>
  <si>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</si>
  <si>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</si>
  <si>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</si>
  <si>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</si>
  <si>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</si>
  <si>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</si>
  <si>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</si>
  <si>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</si>
  <si>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</si>
  <si>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</si>
  <si>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</si>
  <si>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</si>
  <si>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</si>
  <si>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</si>
  <si>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</si>
  <si>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</si>
  <si>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</si>
  <si>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</si>
  <si>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</si>
  <si>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</si>
  <si>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</si>
  <si>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</si>
  <si>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</si>
  <si>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</si>
  <si>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</si>
  <si>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</si>
  <si>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</si>
  <si>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</si>
  <si>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</si>
  <si>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</si>
  <si>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</si>
  <si>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</si>
  <si>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</si>
  <si>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</si>
  <si>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</si>
  <si>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</si>
  <si>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</si>
  <si>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</si>
  <si>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</si>
  <si>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</si>
  <si>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</si>
  <si>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</si>
  <si>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</si>
  <si>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</si>
  <si>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</si>
  <si>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</si>
  <si>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</si>
  <si>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</si>
  <si>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</si>
  <si>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</si>
  <si>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</si>
  <si>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</si>
  <si>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</si>
  <si>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</si>
  <si>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</si>
  <si>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</si>
  <si>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</si>
  <si>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</si>
  <si>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</si>
  <si>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</si>
  <si>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</si>
  <si>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</si>
  <si>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</si>
  <si>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</si>
  <si>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</si>
  <si>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</si>
  <si>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</si>
  <si>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</si>
  <si>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</si>
  <si>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</si>
  <si>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</si>
  <si>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</si>
  <si>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</si>
  <si>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</si>
  <si>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</si>
  <si>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</si>
  <si>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</si>
  <si>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</si>
  <si>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</si>
  <si>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</si>
  <si>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</si>
  <si>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</si>
  <si>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</si>
  <si>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</si>
  <si>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</si>
  <si>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</si>
  <si>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</si>
  <si>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</si>
  <si>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</si>
  <si>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</si>
  <si>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</si>
  <si>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</si>
  <si>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</si>
  <si>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</si>
  <si>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</si>
  <si>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</si>
  <si>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</si>
  <si>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</si>
  <si>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</si>
  <si>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</si>
  <si>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</si>
  <si>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</si>
  <si>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</si>
  <si>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</si>
  <si>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</si>
  <si>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</si>
  <si>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</si>
  <si>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</si>
  <si>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</si>
  <si>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</si>
  <si>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</si>
  <si>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</si>
  <si>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</si>
  <si>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</si>
  <si>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</si>
  <si>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</si>
  <si>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</si>
  <si>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</si>
  <si>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</si>
  <si>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</si>
  <si>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</si>
  <si>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</si>
  <si>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</si>
  <si>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</si>
  <si>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</si>
  <si>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</si>
  <si>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</si>
  <si>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</si>
  <si>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</si>
  <si>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</si>
  <si>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</si>
  <si>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</si>
  <si>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</si>
  <si>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</si>
  <si>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</si>
  <si>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</si>
  <si>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</si>
  <si>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</si>
  <si>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</si>
  <si>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</si>
  <si>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</si>
  <si>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</si>
  <si>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</si>
  <si>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</si>
  <si>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</si>
  <si>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</si>
  <si>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</si>
  <si>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</si>
  <si>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</si>
  <si>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</si>
  <si>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</si>
  <si>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</si>
  <si>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</si>
  <si>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</si>
  <si>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</si>
  <si>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</si>
  <si>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</si>
  <si>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</si>
  <si>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</si>
  <si>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</si>
  <si>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</si>
  <si>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</si>
  <si>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</si>
  <si>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</si>
  <si>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</si>
  <si>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</si>
  <si>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</si>
  <si>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</si>
  <si>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</si>
  <si>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</si>
  <si>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</si>
  <si>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</si>
  <si>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</si>
  <si>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</si>
  <si>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</si>
  <si>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</si>
  <si>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</si>
  <si>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</si>
  <si>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</si>
  <si>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</si>
  <si>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</si>
  <si>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</si>
  <si>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</si>
  <si>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</si>
  <si>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</si>
  <si>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</si>
  <si>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</si>
  <si>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</si>
  <si>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</si>
  <si>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</si>
  <si>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</si>
  <si>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</si>
  <si>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</si>
  <si>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</si>
  <si>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</si>
  <si>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</si>
  <si>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</si>
  <si>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</si>
  <si>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</si>
  <si>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</si>
  <si>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</si>
  <si>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</si>
  <si>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</si>
  <si>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</si>
  <si>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</si>
  <si>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</si>
  <si>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</si>
  <si>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</si>
  <si>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</si>
  <si>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</si>
  <si>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</si>
  <si>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</si>
  <si>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</si>
  <si>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</si>
  <si>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</si>
  <si>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</si>
  <si>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</si>
  <si>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</si>
  <si>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</si>
  <si>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</si>
  <si>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</si>
  <si>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</si>
  <si>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</si>
  <si>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</si>
  <si>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</si>
  <si>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</si>
  <si>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</si>
  <si>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</si>
  <si>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</si>
  <si>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</si>
  <si>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</si>
  <si>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</si>
  <si>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</si>
  <si>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</si>
  <si>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</si>
  <si>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</si>
  <si>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</si>
  <si>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</si>
  <si>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</si>
  <si>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</si>
  <si>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</si>
  <si>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</si>
  <si>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</si>
  <si>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</si>
  <si>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</si>
  <si>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</si>
  <si>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</si>
  <si>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</si>
  <si>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</si>
  <si>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</si>
  <si>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</si>
  <si>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</si>
  <si>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</si>
  <si>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</si>
  <si>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</si>
  <si>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</si>
  <si>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</si>
  <si>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</si>
  <si>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</si>
  <si>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</si>
  <si>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</si>
  <si>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</si>
  <si>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</si>
  <si>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</si>
  <si>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</si>
  <si>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</si>
  <si>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</si>
  <si>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</si>
  <si>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</si>
  <si>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</si>
  <si>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</si>
  <si>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</si>
  <si>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</si>
  <si>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</si>
  <si>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</si>
  <si>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</si>
  <si>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</si>
  <si>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</si>
  <si>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</si>
  <si>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</si>
  <si>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</si>
  <si>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</si>
  <si>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</si>
  <si>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</si>
  <si>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</si>
  <si>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</si>
  <si>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</si>
  <si>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</si>
  <si>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</si>
  <si>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</si>
  <si>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</si>
  <si>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</si>
  <si>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</si>
  <si>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</si>
  <si>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</si>
  <si>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</si>
  <si>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</si>
  <si>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</si>
  <si>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</si>
  <si>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</si>
  <si>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</si>
  <si>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</si>
  <si>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</si>
  <si>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</si>
  <si>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</si>
  <si>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</si>
  <si>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</si>
  <si>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</si>
  <si>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</si>
  <si>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</si>
  <si>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</si>
  <si>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</si>
  <si>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</si>
  <si>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</si>
  <si>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</si>
  <si>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</si>
  <si>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</si>
  <si>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</si>
  <si>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</si>
  <si>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</si>
  <si>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</si>
  <si>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</si>
  <si>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</si>
  <si>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</si>
  <si>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</si>
  <si>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</si>
  <si>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</si>
  <si>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</si>
  <si>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</si>
  <si>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</si>
  <si>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</si>
  <si>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</si>
  <si>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</si>
  <si>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</si>
  <si>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</si>
  <si>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</si>
  <si>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</si>
  <si>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</si>
  <si>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</si>
  <si>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</si>
  <si>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</si>
  <si>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</si>
  <si>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</si>
  <si>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</si>
  <si>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</si>
  <si>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</si>
  <si>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</si>
  <si>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</si>
  <si>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</si>
  <si>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</si>
  <si>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</si>
  <si>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</si>
  <si>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</si>
  <si>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</si>
  <si>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</si>
  <si>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</si>
  <si>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</si>
  <si>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</si>
  <si>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</si>
  <si>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</si>
  <si>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</si>
  <si>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</si>
  <si>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</si>
  <si>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</si>
  <si>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</si>
  <si>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</si>
  <si>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</si>
  <si>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</si>
  <si>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</si>
  <si>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</si>
  <si>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</si>
  <si>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</si>
  <si>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</si>
  <si>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</si>
  <si>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</si>
  <si>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</si>
  <si>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</si>
  <si>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</si>
  <si>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</si>
  <si>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</si>
  <si>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</si>
  <si>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</si>
  <si>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</si>
  <si>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</si>
  <si>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</si>
  <si>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</si>
  <si>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</si>
  <si>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</si>
  <si>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</si>
  <si>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</si>
  <si>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</si>
  <si>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</si>
  <si>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</si>
  <si>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</si>
  <si>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</si>
  <si>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</si>
  <si>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</si>
  <si>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</si>
  <si>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</si>
  <si>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</si>
  <si>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</si>
  <si>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</si>
  <si>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</si>
  <si>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</si>
  <si>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</si>
  <si>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</si>
  <si>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</si>
  <si>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</si>
  <si>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</si>
  <si>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</si>
  <si>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</si>
  <si>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</si>
  <si>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</si>
  <si>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</si>
  <si>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</si>
  <si>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</si>
  <si>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</si>
  <si>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</si>
  <si>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</si>
  <si>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</si>
  <si>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</si>
  <si>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</si>
  <si>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</si>
  <si>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</si>
  <si>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</si>
  <si>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</si>
  <si>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</si>
  <si>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</si>
  <si>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</si>
  <si>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</si>
  <si>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</si>
  <si>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</si>
  <si>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</si>
  <si>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</si>
  <si>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</si>
  <si>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</si>
  <si>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</si>
  <si>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</si>
  <si>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</si>
  <si>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</si>
  <si>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</si>
  <si>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</si>
  <si>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</si>
  <si>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</si>
  <si>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</si>
  <si>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</si>
  <si>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</si>
  <si>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</si>
  <si>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</si>
  <si>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</si>
  <si>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</si>
  <si>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</si>
  <si>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</si>
  <si>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</si>
  <si>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</si>
  <si>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</si>
  <si>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</si>
  <si>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</si>
  <si>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</si>
  <si>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</si>
  <si>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</si>
  <si>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</si>
  <si>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</si>
  <si>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</si>
  <si>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</si>
  <si>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</si>
  <si>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</si>
  <si>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</si>
  <si>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</si>
  <si>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</si>
  <si>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</si>
  <si>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</si>
  <si>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</si>
  <si>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</si>
  <si>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</si>
  <si>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</si>
  <si>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</si>
  <si>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</si>
  <si>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</si>
  <si>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</si>
  <si>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</si>
  <si>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</si>
  <si>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</si>
  <si>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</si>
  <si>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</si>
  <si>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</si>
  <si>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</si>
  <si>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</si>
  <si>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</si>
  <si>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</si>
  <si>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</si>
  <si>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</si>
  <si>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</si>
  <si>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</si>
  <si>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</si>
  <si>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</si>
  <si>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</si>
  <si>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</si>
  <si>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</si>
  <si>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</si>
  <si>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</si>
  <si>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</si>
  <si>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</si>
  <si>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</si>
  <si>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</si>
  <si>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</si>
  <si>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</si>
  <si>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</si>
  <si>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</si>
  <si>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</si>
  <si>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</si>
  <si>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</si>
  <si>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</si>
  <si>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</si>
  <si>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</si>
  <si>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</si>
  <si>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</si>
  <si>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</si>
  <si>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</si>
  <si>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</si>
  <si>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</si>
  <si>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</si>
  <si>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</si>
  <si>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</si>
  <si>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</si>
  <si>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</si>
  <si>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</si>
  <si>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</si>
  <si>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</si>
  <si>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</si>
  <si>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</si>
  <si>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</si>
  <si>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</si>
  <si>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</si>
  <si>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</si>
  <si>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</si>
  <si>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</si>
  <si>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</si>
  <si>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</si>
  <si>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</si>
  <si>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</si>
  <si>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</si>
  <si>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</si>
  <si>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</si>
  <si>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</si>
  <si>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</si>
  <si>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</si>
  <si>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</si>
  <si>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</si>
  <si>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</si>
  <si>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</si>
  <si>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</si>
  <si>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</si>
  <si>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</si>
  <si>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</si>
  <si>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</si>
  <si>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</si>
  <si>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</si>
  <si>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</si>
  <si>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</si>
  <si>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</si>
  <si>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</si>
  <si>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</si>
  <si>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</si>
  <si>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</si>
  <si>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</si>
  <si>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</si>
  <si>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</si>
  <si>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</si>
  <si>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</si>
  <si>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</si>
  <si>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</si>
  <si>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</si>
  <si>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</si>
  <si>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</si>
  <si>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</si>
  <si>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</si>
  <si>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</si>
  <si>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</si>
  <si>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</si>
  <si>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</si>
  <si>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</si>
  <si>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</si>
  <si>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</si>
  <si>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</si>
  <si>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</si>
  <si>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</si>
  <si>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</si>
  <si>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</si>
  <si>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</si>
  <si>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</si>
  <si>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</si>
  <si>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</si>
  <si>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</si>
  <si>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</si>
  <si>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</si>
  <si>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</si>
  <si>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</si>
  <si>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</si>
  <si>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</si>
  <si>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</si>
  <si>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</si>
  <si>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</si>
  <si>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</si>
  <si>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</si>
  <si>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</si>
  <si>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</si>
  <si>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</si>
  <si>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</si>
  <si>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</si>
  <si>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</si>
  <si>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</si>
  <si>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</si>
  <si>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</si>
  <si>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</si>
  <si>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</si>
  <si>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</si>
  <si>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</si>
  <si>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</si>
  <si>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</si>
  <si>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</si>
  <si>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</si>
  <si>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</si>
  <si>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</si>
  <si>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</si>
  <si>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</si>
  <si>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</si>
  <si>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</si>
  <si>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</si>
  <si>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</si>
  <si>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</si>
  <si>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</si>
  <si>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</si>
  <si>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</si>
  <si>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</si>
  <si>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</si>
  <si>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</si>
  <si>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</si>
  <si>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</si>
  <si>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</si>
  <si>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</si>
  <si>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</si>
  <si>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</si>
  <si>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</si>
  <si>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</si>
  <si>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</si>
  <si>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</si>
  <si>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</si>
  <si>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</si>
  <si>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</si>
  <si>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</si>
  <si>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</si>
  <si>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</si>
  <si>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</si>
  <si>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</si>
  <si>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</si>
  <si>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</si>
  <si>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</si>
  <si>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</si>
  <si>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</si>
  <si>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</si>
  <si>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</si>
  <si>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</si>
  <si>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</si>
  <si>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</si>
  <si>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</si>
  <si>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</si>
  <si>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</si>
  <si>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</si>
  <si>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</si>
  <si>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</si>
  <si>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</si>
  <si>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</si>
  <si>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</si>
  <si>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</si>
  <si>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</si>
  <si>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</si>
  <si>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</si>
  <si>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</si>
  <si>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</si>
  <si>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</si>
  <si>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</si>
  <si>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</si>
  <si>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</si>
  <si>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</si>
  <si>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</si>
  <si>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</si>
  <si>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</si>
  <si>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</si>
  <si>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</si>
  <si>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</si>
  <si>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</si>
  <si>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</si>
  <si>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</si>
  <si>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</si>
  <si>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</si>
  <si>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</si>
  <si>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</si>
  <si>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</si>
  <si>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</si>
  <si>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</si>
  <si>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</si>
  <si>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</si>
  <si>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</si>
  <si>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</si>
  <si>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</si>
  <si>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</si>
  <si>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</si>
  <si>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</si>
  <si>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</si>
  <si>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</si>
  <si>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</si>
  <si>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</si>
  <si>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</si>
  <si>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</si>
  <si>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</si>
  <si>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</si>
  <si>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</si>
  <si>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</si>
  <si>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</si>
  <si>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</si>
  <si>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</si>
  <si>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</si>
  <si>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</si>
  <si>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</si>
  <si>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</si>
  <si>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</si>
  <si>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</si>
  <si>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</si>
  <si>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</si>
  <si>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</si>
  <si>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</si>
  <si>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</si>
  <si>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</si>
  <si>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</si>
  <si>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</si>
  <si>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</si>
  <si>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</si>
  <si>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</si>
  <si>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</si>
  <si>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</si>
  <si>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</si>
  <si>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</si>
  <si>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</si>
  <si>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</si>
  <si>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</si>
  <si>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</si>
  <si>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</si>
  <si>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</si>
  <si>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</si>
  <si>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</si>
  <si>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</si>
  <si>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</si>
  <si>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</si>
  <si>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</si>
  <si>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</si>
  <si>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</si>
  <si>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</si>
  <si>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</si>
  <si>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</si>
  <si>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</si>
  <si>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</si>
  <si>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</si>
  <si>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</si>
  <si>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</si>
  <si>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</si>
  <si>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</si>
  <si>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</si>
  <si>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</si>
  <si>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</si>
  <si>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</si>
  <si>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</si>
  <si>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</si>
  <si>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</si>
  <si>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</si>
  <si>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</si>
  <si>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</si>
  <si>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</si>
  <si>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</si>
  <si>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</si>
  <si>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</si>
  <si>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</si>
  <si>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</si>
  <si>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</si>
  <si>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</si>
  <si>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</si>
  <si>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</si>
  <si>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</si>
  <si>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</si>
  <si>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</si>
  <si>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</si>
  <si>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</si>
  <si>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</si>
  <si>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</si>
  <si>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</si>
  <si>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</si>
  <si>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</si>
  <si>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</si>
  <si>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</si>
  <si>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</si>
  <si>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</si>
  <si>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</si>
  <si>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</si>
  <si>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</si>
  <si>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</si>
  <si>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</si>
  <si>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</si>
  <si>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</si>
  <si>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</si>
  <si>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</si>
  <si>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</si>
  <si>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</si>
  <si>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</si>
  <si>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</si>
  <si>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</si>
  <si>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</si>
  <si>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</si>
  <si>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</si>
  <si>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</si>
  <si>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</si>
  <si>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</si>
  <si>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</si>
  <si>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</si>
  <si>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</si>
  <si>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</si>
  <si>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</si>
  <si>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</si>
  <si>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</si>
  <si>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</si>
  <si>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</si>
  <si>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</si>
  <si>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</si>
  <si>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</si>
  <si>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</si>
  <si>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</si>
  <si>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</si>
  <si>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</si>
  <si>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</si>
  <si>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</si>
  <si>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</si>
  <si>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</si>
  <si>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</si>
  <si>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</si>
  <si>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</si>
  <si>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</si>
  <si>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</si>
  <si>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</si>
  <si>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</si>
  <si>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</si>
  <si>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</si>
  <si>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</si>
  <si>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</si>
  <si>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</si>
  <si>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</si>
  <si>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</si>
  <si>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</si>
  <si>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</si>
  <si>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</si>
  <si>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</si>
  <si>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</si>
  <si>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</si>
  <si>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</si>
  <si>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</si>
  <si>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</si>
  <si>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</si>
  <si>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</si>
  <si>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</si>
  <si>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</si>
  <si>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</si>
  <si>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</si>
  <si>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</si>
  <si>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</si>
  <si>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</si>
  <si>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</si>
  <si>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</si>
  <si>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</si>
  <si>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</si>
  <si>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</si>
  <si>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</si>
  <si>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</si>
  <si>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</si>
  <si>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</si>
  <si>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</si>
  <si>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</si>
  <si>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</si>
  <si>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</si>
  <si>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</si>
  <si>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</si>
  <si>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</si>
  <si>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</si>
  <si>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</si>
  <si>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</si>
  <si>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</si>
  <si>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</si>
  <si>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</si>
  <si>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</si>
  <si>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</si>
  <si>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</si>
  <si>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</si>
  <si>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</si>
  <si>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</si>
  <si>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</si>
  <si>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</si>
  <si>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</si>
  <si>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</si>
  <si>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</si>
  <si>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</si>
  <si>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</si>
  <si>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</si>
  <si>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</si>
  <si>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</si>
  <si>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</si>
  <si>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</si>
  <si>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</si>
  <si>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</si>
  <si>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</si>
  <si>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</si>
  <si>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</si>
  <si>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</si>
  <si>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</si>
  <si>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</si>
  <si>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</si>
  <si>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</si>
  <si>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</si>
  <si>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</si>
  <si>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</si>
  <si>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</si>
  <si>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</si>
  <si>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</si>
  <si>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</si>
  <si>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</si>
  <si>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</si>
  <si>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</si>
  <si>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</si>
  <si>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</si>
  <si>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</si>
  <si>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</si>
  <si>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</si>
  <si>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</si>
  <si>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</si>
  <si>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</si>
  <si>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</si>
  <si>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</si>
  <si>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</si>
  <si>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</si>
  <si>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</si>
  <si>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</si>
  <si>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</si>
  <si>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</si>
  <si>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</si>
  <si>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</si>
  <si>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</si>
  <si>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</si>
  <si>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</si>
  <si>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</si>
  <si>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</si>
  <si>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</si>
  <si>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</si>
  <si>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</si>
  <si>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</si>
  <si>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</si>
  <si>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</si>
  <si>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</si>
  <si>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</si>
  <si>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</si>
  <si>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</si>
  <si>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</si>
  <si>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</si>
  <si>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</si>
  <si>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</si>
  <si>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</si>
  <si>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</si>
  <si>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</si>
  <si>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</si>
  <si>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</si>
  <si>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</si>
  <si>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</si>
  <si>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</si>
  <si>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</si>
  <si>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</si>
  <si>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</si>
  <si>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</si>
  <si>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</si>
  <si>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</si>
  <si>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</si>
  <si>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</si>
  <si>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</si>
  <si>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</si>
  <si>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</si>
  <si>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</si>
  <si>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</si>
  <si>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</si>
  <si>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</si>
  <si>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</si>
  <si>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</si>
  <si>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</si>
  <si>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</si>
  <si>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</si>
  <si>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</si>
  <si>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</si>
  <si>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</si>
  <si>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</si>
  <si>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</si>
  <si>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</si>
  <si>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</si>
  <si>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</si>
  <si>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</si>
  <si>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</si>
  <si>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</si>
  <si>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</si>
  <si>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</si>
  <si>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</si>
  <si>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</si>
  <si>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</si>
  <si>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</si>
  <si>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</si>
  <si>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</si>
  <si>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</si>
  <si>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</si>
  <si>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</si>
  <si>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</si>
  <si>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</si>
  <si>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</si>
  <si>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</si>
  <si>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</si>
  <si>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</si>
  <si>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</si>
  <si>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</si>
  <si>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</si>
  <si>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</si>
  <si>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</si>
  <si>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</si>
  <si>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</si>
  <si>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</si>
  <si>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</si>
  <si>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</si>
  <si>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</si>
  <si>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</si>
  <si>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</si>
  <si>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</si>
  <si>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</si>
  <si>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</si>
  <si>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</si>
  <si>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</si>
  <si>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</si>
  <si>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</si>
  <si>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</si>
  <si>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</si>
  <si>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</si>
  <si>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</si>
  <si>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</si>
  <si>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</si>
  <si>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</si>
  <si>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</si>
  <si>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</si>
  <si>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</si>
  <si>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</si>
  <si>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</si>
  <si>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</si>
  <si>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</si>
  <si>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</si>
  <si>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</si>
  <si>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</si>
  <si>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</si>
  <si>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</si>
  <si>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</si>
  <si>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</si>
  <si>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</si>
  <si>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</si>
  <si>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</si>
  <si>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</si>
  <si>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</si>
  <si>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</si>
  <si>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</si>
  <si>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</si>
  <si>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</si>
  <si>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</si>
  <si>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</si>
  <si>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</si>
  <si>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</si>
  <si>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</si>
  <si>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</si>
  <si>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</si>
  <si>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</si>
  <si>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</si>
  <si>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</si>
  <si>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</si>
  <si>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</si>
  <si>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</si>
  <si>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</si>
  <si>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</si>
  <si>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</si>
  <si>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</si>
  <si>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</si>
  <si>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</si>
  <si>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</si>
  <si>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</si>
  <si>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</si>
  <si>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</si>
  <si>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</si>
  <si>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</si>
  <si>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</si>
  <si>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</si>
  <si>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</si>
  <si>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</si>
  <si>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</si>
  <si>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</si>
  <si>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</si>
  <si>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</si>
  <si>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</si>
  <si>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</si>
  <si>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</si>
  <si>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</si>
  <si>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</si>
  <si>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</si>
  <si>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</si>
  <si>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</si>
  <si>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</si>
  <si>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</si>
  <si>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</si>
  <si>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</si>
  <si>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</si>
  <si>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</si>
  <si>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</si>
  <si>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</si>
  <si>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</si>
  <si>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</si>
  <si>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</si>
  <si>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</si>
  <si>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</si>
  <si>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</si>
  <si>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</si>
  <si>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</si>
  <si>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</si>
  <si>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</si>
  <si>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</si>
  <si>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</si>
  <si>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</si>
  <si>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</si>
  <si>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</si>
  <si>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</si>
  <si>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</si>
  <si>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</si>
  <si>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</si>
  <si>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</si>
  <si>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</si>
  <si>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</si>
  <si>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</si>
  <si>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</si>
  <si>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</si>
  <si>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</si>
  <si>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</si>
  <si>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</si>
  <si>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</si>
  <si>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</si>
  <si>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</si>
  <si>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</si>
  <si>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</si>
  <si>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</si>
  <si>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</si>
  <si>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</si>
  <si>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</si>
  <si>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</si>
  <si>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</si>
  <si>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</si>
  <si>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</si>
  <si>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</si>
  <si>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</si>
  <si>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</si>
  <si>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</si>
  <si>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</si>
  <si>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</si>
  <si>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</si>
  <si>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</si>
  <si>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</si>
  <si>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</si>
  <si>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</si>
  <si>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</si>
  <si>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</si>
  <si>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</si>
  <si>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</si>
  <si>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</si>
  <si>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</si>
  <si>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</si>
  <si>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</si>
  <si>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</si>
  <si>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</si>
  <si>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</si>
  <si>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</si>
  <si>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</si>
  <si>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</si>
  <si>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</si>
  <si>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</si>
  <si>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</si>
  <si>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</si>
  <si>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</si>
  <si>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</si>
  <si>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</si>
  <si>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</si>
  <si>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</si>
  <si>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</si>
  <si>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</si>
  <si>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</si>
  <si>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</si>
  <si>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</si>
  <si>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</si>
  <si>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</si>
  <si>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</si>
  <si>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</si>
  <si>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</si>
  <si>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</si>
  <si>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</si>
  <si>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</si>
  <si>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</si>
  <si>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</si>
  <si>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</si>
  <si>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</si>
  <si>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</si>
  <si>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</si>
  <si>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</si>
  <si>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</si>
  <si>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РП</t>
  </si>
  <si>
    <t>Расходы на оплату труда ремонтного персонала</t>
  </si>
  <si>
    <t>СОЦ_РП</t>
  </si>
  <si>
    <t>АУП</t>
  </si>
  <si>
    <t>Расходы на оплату труда административно-управленческого персонала</t>
  </si>
  <si>
    <t>5.0</t>
  </si>
  <si>
    <t>СОЦ_АУП</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</si>
  <si>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</si>
  <si>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</si>
  <si>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</si>
  <si>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</si>
  <si>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</si>
  <si>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</si>
  <si>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</si>
  <si>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</si>
  <si>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</si>
  <si>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</si>
  <si>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</si>
  <si>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</si>
  <si>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</si>
  <si>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</si>
  <si>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</si>
  <si>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</si>
  <si>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</si>
  <si>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</si>
  <si>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</si>
  <si>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</si>
  <si>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</si>
  <si>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</si>
  <si>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</si>
  <si>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</si>
  <si>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</si>
  <si>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</si>
  <si>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</si>
  <si>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</si>
  <si>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</si>
  <si>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</si>
  <si>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</si>
  <si>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</si>
  <si>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</si>
  <si>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</si>
  <si>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</si>
  <si>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</si>
  <si>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</si>
  <si>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</si>
  <si>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</si>
  <si>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</si>
  <si>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</si>
  <si>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</si>
  <si>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</si>
  <si>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</si>
  <si>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</si>
  <si>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</si>
  <si>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</si>
  <si>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</si>
  <si>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</si>
  <si>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</si>
  <si>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</si>
  <si>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</si>
  <si>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</si>
  <si>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</si>
  <si>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</si>
  <si>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</si>
  <si>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</si>
  <si>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</si>
  <si>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</si>
  <si>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</si>
  <si>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</si>
  <si>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</si>
  <si>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</si>
  <si>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</si>
  <si>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</si>
  <si>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</si>
  <si>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</si>
  <si>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</si>
  <si>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</si>
  <si>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</si>
  <si>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</si>
  <si>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</si>
  <si>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</si>
  <si>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</si>
  <si>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</si>
  <si>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</si>
  <si>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</si>
  <si>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</si>
  <si>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</si>
  <si>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</si>
  <si>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</si>
  <si>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</si>
  <si>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</si>
  <si>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</si>
  <si>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</si>
  <si>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</si>
  <si>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</si>
  <si>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</si>
  <si>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</si>
  <si>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</si>
  <si>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</si>
  <si>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</si>
  <si>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</si>
  <si>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</si>
  <si>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</si>
  <si>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</si>
  <si>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</si>
  <si>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</si>
  <si>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</si>
  <si>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</si>
  <si>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</si>
  <si>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</si>
  <si>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</si>
  <si>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</si>
  <si>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</si>
  <si>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</si>
  <si>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</si>
  <si>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</si>
  <si>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</si>
  <si>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</si>
  <si>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</si>
  <si>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</si>
  <si>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</si>
  <si>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</si>
  <si>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</si>
  <si>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</si>
  <si>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</si>
  <si>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</si>
  <si>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</si>
  <si>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</si>
  <si>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</si>
  <si>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</si>
  <si>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</si>
  <si>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</si>
  <si>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</si>
  <si>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</si>
  <si>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</si>
  <si>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</si>
  <si>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</si>
  <si>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</si>
  <si>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</si>
  <si>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</si>
  <si>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</si>
  <si>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</si>
  <si>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</si>
  <si>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</si>
  <si>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</si>
  <si>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</si>
  <si>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</si>
  <si>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</si>
  <si>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</si>
  <si>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</si>
  <si>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</si>
  <si>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</si>
  <si>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</si>
  <si>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</si>
  <si>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</si>
  <si>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</si>
  <si>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</si>
  <si>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</si>
  <si>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</si>
  <si>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</si>
  <si>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</si>
  <si>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</si>
  <si>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</si>
  <si>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</si>
  <si>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</si>
  <si>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</si>
  <si>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</si>
  <si>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</si>
  <si>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</si>
  <si>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</si>
  <si>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</si>
  <si>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</si>
  <si>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</si>
  <si>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</si>
  <si>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</si>
  <si>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</si>
  <si>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</si>
  <si>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</si>
  <si>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</si>
  <si>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</si>
  <si>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</si>
  <si>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</si>
  <si>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</si>
  <si>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</si>
  <si>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</si>
  <si>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</si>
  <si>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</si>
  <si>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</si>
  <si>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t>
  </si>
  <si>
    <t>13.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</si>
  <si>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</si>
  <si>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</si>
  <si>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</si>
  <si>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</si>
  <si>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</si>
  <si>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</si>
  <si>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</si>
  <si>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Не определено</t>
  </si>
  <si>
    <t>L3</t>
  </si>
  <si>
    <t>L4</t>
  </si>
  <si>
    <t>L5</t>
  </si>
  <si>
    <t>L6</t>
  </si>
  <si>
    <t>L7</t>
  </si>
  <si>
    <t>L1_4</t>
  </si>
  <si>
    <t>L1_2</t>
  </si>
  <si>
    <t>L1_3</t>
  </si>
  <si>
    <t>L1_1</t>
  </si>
  <si>
    <t>L2_1</t>
  </si>
  <si>
    <t>L2_2</t>
  </si>
  <si>
    <t>L8</t>
  </si>
  <si>
    <t>L9</t>
  </si>
  <si>
    <t>L10</t>
  </si>
  <si>
    <t>L11</t>
  </si>
  <si>
    <t>L12</t>
  </si>
  <si>
    <t>L4_1</t>
  </si>
  <si>
    <t>L4_2</t>
  </si>
  <si>
    <t>L4_3</t>
  </si>
  <si>
    <t>L5_1</t>
  </si>
  <si>
    <t>L5_2</t>
  </si>
  <si>
    <t>L8_1</t>
  </si>
  <si>
    <t>L8_2</t>
  </si>
  <si>
    <t>L8_3</t>
  </si>
  <si>
    <t>L9_1</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</si>
  <si>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</si>
  <si>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</si>
  <si>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</si>
  <si>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</si>
  <si>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</si>
  <si>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</si>
  <si>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</si>
  <si>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</si>
  <si>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</si>
  <si>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</si>
  <si>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</si>
  <si>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</si>
  <si>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</si>
  <si>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</si>
  <si>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</si>
  <si>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</si>
  <si>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</si>
  <si>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</si>
  <si>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L6_1</t>
  </si>
  <si>
    <t>L6_2</t>
  </si>
  <si>
    <t>L7_1</t>
  </si>
  <si>
    <t>L7_2</t>
  </si>
  <si>
    <t>L6_1_1</t>
  </si>
  <si>
    <t>L6_1_2</t>
  </si>
  <si>
    <t>L6_2_1</t>
  </si>
  <si>
    <t>L6_2_2</t>
  </si>
  <si>
    <t>L6_3</t>
  </si>
  <si>
    <t>L6_3_1</t>
  </si>
  <si>
    <t>L6_3_2</t>
  </si>
  <si>
    <t>L6_4</t>
  </si>
  <si>
    <t>L6_4_1</t>
  </si>
  <si>
    <t>L6_4_2</t>
  </si>
  <si>
    <t>L6_5</t>
  </si>
  <si>
    <t>L5_2_1</t>
  </si>
  <si>
    <t>L5_2_2</t>
  </si>
  <si>
    <t>L5_3</t>
  </si>
  <si>
    <t>L7_1_1</t>
  </si>
  <si>
    <t>L7_1_2</t>
  </si>
  <si>
    <t>L7_2_1</t>
  </si>
  <si>
    <t>L7_2_2</t>
  </si>
  <si>
    <t>L3_1</t>
  </si>
  <si>
    <t>L0</t>
  </si>
  <si>
    <t>L3_2</t>
  </si>
  <si>
    <t>L1_5</t>
  </si>
  <si>
    <t>L2_3</t>
  </si>
  <si>
    <t>L2_4</t>
  </si>
  <si>
    <t>L2_5</t>
  </si>
  <si>
    <t>L3_3</t>
  </si>
  <si>
    <t>L3_4</t>
  </si>
  <si>
    <t>L3_5</t>
  </si>
  <si>
    <t>L4_4</t>
  </si>
  <si>
    <t>L4_5</t>
  </si>
  <si>
    <t>L5_4</t>
  </si>
  <si>
    <t>L5_5</t>
  </si>
  <si>
    <t>L7_3</t>
  </si>
  <si>
    <t>L7_4</t>
  </si>
  <si>
    <t>L7_5</t>
  </si>
  <si>
    <t>L8_4</t>
  </si>
  <si>
    <t>L8_5</t>
  </si>
  <si>
    <t>L1_1_1</t>
  </si>
  <si>
    <t>L1_1_2</t>
  </si>
  <si>
    <t>L3_6</t>
  </si>
  <si>
    <t>L3_7</t>
  </si>
  <si>
    <t>L1_1_3</t>
  </si>
  <si>
    <t>L1_1_4</t>
  </si>
  <si>
    <t>L1_2_1</t>
  </si>
  <si>
    <t>L1_2_2</t>
  </si>
  <si>
    <t>L1_2_3</t>
  </si>
  <si>
    <t>L1_3_1</t>
  </si>
  <si>
    <t>L1_3_2</t>
  </si>
  <si>
    <t>L1_3_3</t>
  </si>
  <si>
    <t>L1_4_1</t>
  </si>
  <si>
    <t>L1_4_2</t>
  </si>
  <si>
    <t>L1_4_3</t>
  </si>
  <si>
    <t>L1_4_4</t>
  </si>
  <si>
    <t>L1_2_2_1</t>
  </si>
  <si>
    <t>L1_2_2_2</t>
  </si>
  <si>
    <t>L1_2_2_3</t>
  </si>
  <si>
    <t>L1_2_2_4</t>
  </si>
  <si>
    <t>L1_2_2_5</t>
  </si>
  <si>
    <t>L1_2_2_6</t>
  </si>
  <si>
    <t>L1_2_2_7</t>
  </si>
  <si>
    <t>L1_2_2_8</t>
  </si>
  <si>
    <t>L1_2_2_9</t>
  </si>
  <si>
    <t>L1_2_2_10</t>
  </si>
  <si>
    <t>L1_2_2_11</t>
  </si>
  <si>
    <t>L1_2_3_1</t>
  </si>
  <si>
    <t>L1_2_3_2</t>
  </si>
  <si>
    <t>L1_2_3_3</t>
  </si>
  <si>
    <t>L1_2_4</t>
  </si>
  <si>
    <t>L1_2_5</t>
  </si>
  <si>
    <t>L1_2_6</t>
  </si>
  <si>
    <t>L1_2_7</t>
  </si>
  <si>
    <t>L1_2_8</t>
  </si>
  <si>
    <t>L1_2_9</t>
  </si>
  <si>
    <t>L1_2_10</t>
  </si>
  <si>
    <t>L2_1_1</t>
  </si>
  <si>
    <t>L2_1_2</t>
  </si>
  <si>
    <t>размер корректировки необходимой валовой выручки, учтенной при регулирования на год i-2</t>
  </si>
  <si>
    <t>2.7.1</t>
  </si>
  <si>
    <t>2.7.2</t>
  </si>
  <si>
    <t>2.7.3</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</si>
  <si>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</si>
  <si>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</si>
  <si>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Корректировка НВВ всего</t>
  </si>
  <si>
    <t>V</t>
  </si>
  <si>
    <t>VI</t>
  </si>
  <si>
    <t>VII</t>
  </si>
  <si>
    <t>VIII</t>
  </si>
  <si>
    <t>IX</t>
  </si>
  <si>
    <t>X</t>
  </si>
  <si>
    <t>XI</t>
  </si>
  <si>
    <r>
      <t>ΔИ</t>
    </r>
    <r>
      <rPr>
        <vertAlign val="subscript"/>
        <sz val="9"/>
        <color theme="1"/>
        <rFont val="Tahoma"/>
        <family val="2"/>
        <charset val="204"/>
      </rPr>
      <t>i-2</t>
    </r>
  </si>
  <si>
    <r>
      <t>ΔЦП</t>
    </r>
    <r>
      <rPr>
        <vertAlign val="subscript"/>
        <sz val="9"/>
        <color theme="1"/>
        <rFont val="Tahoma"/>
        <family val="2"/>
        <charset val="204"/>
      </rPr>
      <t>i-2</t>
    </r>
  </si>
  <si>
    <t>L1_2_7_0</t>
  </si>
  <si>
    <t>L13</t>
  </si>
  <si>
    <t>L14</t>
  </si>
  <si>
    <t>L15</t>
  </si>
  <si>
    <t>L16</t>
  </si>
  <si>
    <t>L17</t>
  </si>
  <si>
    <t>L18</t>
  </si>
  <si>
    <t>L19</t>
  </si>
  <si>
    <t>L20</t>
  </si>
  <si>
    <t>L21</t>
  </si>
  <si>
    <t>L1_2_1_1</t>
  </si>
  <si>
    <t>L1_2_1_2</t>
  </si>
  <si>
    <t>L1_2_5_1</t>
  </si>
  <si>
    <t>L1_2_5_2</t>
  </si>
  <si>
    <t>L1_2_5_3</t>
  </si>
  <si>
    <t>L1_2_5_4</t>
  </si>
  <si>
    <t>L1_2_5_5</t>
  </si>
  <si>
    <t>L1_2_5_6</t>
  </si>
  <si>
    <t>L1_2_5_7</t>
  </si>
  <si>
    <t>L1_3_3_1</t>
  </si>
  <si>
    <t>L1_3_3_2</t>
  </si>
  <si>
    <t>L1_4_1_1</t>
  </si>
  <si>
    <t>L1_4_1_2</t>
  </si>
  <si>
    <t>L1_4_1_3</t>
  </si>
  <si>
    <t>L1_4_1_4</t>
  </si>
  <si>
    <t>L1_4_1_5</t>
  </si>
  <si>
    <t>L1_4_1_6</t>
  </si>
  <si>
    <t>L1_4_1_7</t>
  </si>
  <si>
    <t>L1_4_2_1</t>
  </si>
  <si>
    <t>L1_4_2_2</t>
  </si>
  <si>
    <t>L1_4_5</t>
  </si>
  <si>
    <t>L1_4_6</t>
  </si>
  <si>
    <t>L1_4_7</t>
  </si>
  <si>
    <t>L1_4_7_1</t>
  </si>
  <si>
    <t>L1_4_7_2</t>
  </si>
  <si>
    <t>L1_4_7_3</t>
  </si>
  <si>
    <t>L1_6</t>
  </si>
  <si>
    <t>L1_7</t>
  </si>
  <si>
    <t>L2_1_3</t>
  </si>
  <si>
    <t>L2_1_4</t>
  </si>
  <si>
    <t>L2_1_5</t>
  </si>
  <si>
    <t>L2_1_6</t>
  </si>
  <si>
    <t>L2_1_7</t>
  </si>
  <si>
    <t>L2_1_8</t>
  </si>
  <si>
    <t>L2_1_9</t>
  </si>
  <si>
    <t>L2_1_10</t>
  </si>
  <si>
    <t>L2_3_1</t>
  </si>
  <si>
    <t>L2_3_2</t>
  </si>
  <si>
    <t>L2_3_3</t>
  </si>
  <si>
    <t>L2_3_4</t>
  </si>
  <si>
    <t>L2_3_5</t>
  </si>
  <si>
    <t>L2_3_6</t>
  </si>
  <si>
    <t>L2_3_7</t>
  </si>
  <si>
    <t>L2_3_8</t>
  </si>
  <si>
    <t>L2_3_9</t>
  </si>
  <si>
    <t>L2_6</t>
  </si>
  <si>
    <t>L2_6_1</t>
  </si>
  <si>
    <t>L2_7</t>
  </si>
  <si>
    <t>L2_8</t>
  </si>
  <si>
    <t>L2_9</t>
  </si>
  <si>
    <t>L2_10</t>
  </si>
  <si>
    <t>L2_10_1</t>
  </si>
  <si>
    <t>L2_10_2</t>
  </si>
  <si>
    <t>L2_11</t>
  </si>
  <si>
    <t>L15_1</t>
  </si>
  <si>
    <t>L15_2</t>
  </si>
  <si>
    <t>L18_1</t>
  </si>
  <si>
    <t>L18_2</t>
  </si>
  <si>
    <t>L19_1</t>
  </si>
  <si>
    <t>L19_2</t>
  </si>
  <si>
    <t>L19_3</t>
  </si>
  <si>
    <t>L19_4</t>
  </si>
  <si>
    <t>L19_5</t>
  </si>
  <si>
    <t>L19_6</t>
  </si>
  <si>
    <t>L21_1</t>
  </si>
  <si>
    <t>L21_2</t>
  </si>
  <si>
    <t>L21_3</t>
  </si>
  <si>
    <t>L21_4</t>
  </si>
  <si>
    <t>Справочно в том числе:</t>
  </si>
  <si>
    <t>L7_0</t>
  </si>
  <si>
    <t>7.6</t>
  </si>
  <si>
    <t>7.7</t>
  </si>
  <si>
    <t>7.7.1</t>
  </si>
  <si>
    <t>7.7.2</t>
  </si>
  <si>
    <t>7.8</t>
  </si>
  <si>
    <t>7.9</t>
  </si>
  <si>
    <t>11.1</t>
  </si>
  <si>
    <t>11.2</t>
  </si>
  <si>
    <t>11.3</t>
  </si>
  <si>
    <t>11.4</t>
  </si>
  <si>
    <t>11.5</t>
  </si>
  <si>
    <t>11.6</t>
  </si>
  <si>
    <t>13.1</t>
  </si>
  <si>
    <t>13.2</t>
  </si>
  <si>
    <t>13.3</t>
  </si>
  <si>
    <t>13.4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</si>
  <si>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</si>
  <si>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</si>
  <si>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</si>
  <si>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</si>
  <si>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</si>
  <si>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</si>
  <si>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</si>
  <si>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</si>
  <si>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L2_12</t>
  </si>
  <si>
    <t>L2_13</t>
  </si>
  <si>
    <t>L2_14</t>
  </si>
  <si>
    <t>L2_15</t>
  </si>
  <si>
    <t>L4_6</t>
  </si>
  <si>
    <t>L4_7</t>
  </si>
  <si>
    <t>L4_8</t>
  </si>
  <si>
    <t>L4_9</t>
  </si>
  <si>
    <t>L4_10</t>
  </si>
  <si>
    <t>L4_11</t>
  </si>
  <si>
    <t>L4_12</t>
  </si>
  <si>
    <t>L4_13</t>
  </si>
  <si>
    <t>L4_14</t>
  </si>
  <si>
    <t>L7_6</t>
  </si>
  <si>
    <t>L3_1_1</t>
  </si>
  <si>
    <t>L3_1_2</t>
  </si>
  <si>
    <t>L3_2_1</t>
  </si>
  <si>
    <t>L3_2_2</t>
  </si>
  <si>
    <t>Удельный расход ЭЭ делится по технологическим процессам</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</si>
  <si>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</si>
  <si>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</si>
  <si>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</si>
  <si>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</si>
  <si>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L4_2_1</t>
  </si>
  <si>
    <t>L4_2_2</t>
  </si>
  <si>
    <t>L4_2_3</t>
  </si>
  <si>
    <t>L4_2_4</t>
  </si>
  <si>
    <t>Вид документа</t>
  </si>
  <si>
    <t>Номер документа</t>
  </si>
  <si>
    <t>Дата документа</t>
  </si>
  <si>
    <t>modPreload</t>
  </si>
  <si>
    <t>REESTR_OBJECT</t>
  </si>
  <si>
    <t>modfrmReestrSource</t>
  </si>
  <si>
    <t>modfrmSelectTemplate</t>
  </si>
  <si>
    <t>modList17</t>
  </si>
  <si>
    <t>DICTIONARIES</t>
  </si>
  <si>
    <t>modfrmDPR</t>
  </si>
  <si>
    <t>Направлено на внесение платы за негативное воздействие на окружающую среду</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</si>
  <si>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</si>
  <si>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</si>
  <si>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</si>
  <si>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</si>
  <si>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</si>
  <si>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</si>
  <si>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</si>
  <si>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</si>
  <si>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</si>
  <si>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</si>
  <si>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</si>
  <si>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</si>
  <si>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</si>
  <si>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</si>
  <si>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</si>
  <si>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</si>
  <si>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</si>
  <si>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</si>
  <si>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</si>
  <si>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</si>
  <si>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</si>
  <si>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</si>
  <si>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</si>
  <si>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</si>
  <si>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</si>
  <si>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</si>
  <si>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</si>
  <si>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</si>
  <si>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</si>
  <si>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</si>
  <si>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</si>
  <si>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</si>
  <si>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</si>
  <si>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</si>
  <si>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</si>
  <si>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</si>
  <si>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</si>
  <si>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</si>
  <si>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</si>
  <si>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</si>
  <si>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</si>
  <si>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</si>
  <si>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</si>
  <si>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</si>
  <si>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</si>
  <si>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</si>
  <si>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</si>
  <si>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</si>
  <si>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</si>
  <si>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</si>
  <si>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</si>
  <si>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</si>
  <si>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</si>
  <si>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</si>
  <si>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</si>
  <si>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</si>
  <si>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</si>
  <si>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</si>
  <si>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</si>
  <si>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</si>
  <si>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</si>
  <si>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</si>
  <si>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</si>
  <si>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</si>
  <si>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</si>
  <si>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</si>
  <si>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</si>
  <si>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</si>
  <si>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</si>
  <si>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</si>
  <si>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</si>
  <si>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</si>
  <si>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</si>
  <si>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</si>
  <si>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</si>
  <si>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</si>
  <si>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</si>
  <si>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</si>
  <si>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</si>
  <si>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</si>
  <si>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</si>
  <si>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</si>
  <si>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</si>
  <si>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</si>
  <si>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</si>
  <si>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</si>
  <si>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</si>
  <si>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</si>
  <si>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</si>
  <si>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</si>
  <si>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</si>
  <si>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</si>
  <si>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</si>
  <si>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</si>
  <si>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</si>
  <si>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</si>
  <si>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</si>
  <si>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</si>
  <si>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</si>
  <si>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</si>
  <si>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</si>
  <si>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</si>
  <si>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</si>
  <si>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</si>
  <si>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</si>
  <si>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</si>
  <si>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</si>
  <si>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</si>
  <si>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</si>
  <si>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</si>
  <si>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</si>
  <si>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</si>
  <si>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</si>
  <si>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</si>
  <si>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</si>
  <si>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</si>
  <si>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</si>
  <si>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</si>
  <si>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</si>
  <si>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</si>
  <si>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</si>
  <si>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</si>
  <si>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</si>
  <si>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</si>
  <si>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</si>
  <si>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</si>
  <si>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</si>
  <si>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</si>
  <si>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</si>
  <si>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</si>
  <si>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</si>
  <si>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</si>
  <si>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</si>
  <si>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</si>
  <si>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</si>
  <si>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</si>
  <si>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</si>
  <si>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</si>
  <si>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</si>
  <si>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</si>
  <si>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</si>
  <si>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</si>
  <si>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</si>
  <si>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</si>
  <si>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</si>
  <si>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</si>
  <si>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</si>
  <si>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</si>
  <si>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</si>
  <si>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</si>
  <si>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</si>
  <si>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</si>
  <si>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</si>
  <si>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</si>
  <si>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</si>
  <si>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</si>
  <si>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</si>
  <si>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</si>
  <si>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</si>
  <si>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</si>
  <si>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</si>
  <si>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</si>
  <si>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</si>
  <si>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</si>
  <si>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</si>
  <si>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</si>
  <si>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</si>
  <si>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</si>
  <si>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</si>
  <si>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</si>
  <si>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</si>
  <si>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</si>
  <si>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</si>
  <si>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</si>
  <si>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</si>
  <si>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</si>
  <si>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</si>
  <si>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</si>
  <si>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</si>
  <si>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</si>
  <si>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</si>
  <si>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</si>
  <si>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</si>
  <si>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</si>
  <si>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</si>
  <si>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</si>
  <si>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</si>
  <si>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</si>
  <si>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</si>
  <si>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</si>
  <si>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</si>
  <si>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</si>
  <si>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</si>
  <si>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</si>
  <si>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</si>
  <si>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</si>
  <si>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</si>
  <si>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</si>
  <si>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</si>
  <si>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</si>
  <si>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</si>
  <si>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</si>
  <si>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</si>
  <si>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</si>
  <si>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</si>
  <si>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</si>
  <si>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</si>
  <si>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</si>
  <si>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</si>
  <si>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</si>
  <si>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</si>
  <si>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</si>
  <si>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</si>
  <si>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</si>
  <si>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</si>
  <si>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</si>
  <si>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</si>
  <si>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</si>
  <si>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</si>
  <si>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</si>
  <si>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</si>
  <si>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</si>
  <si>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</si>
  <si>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</si>
  <si>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</si>
  <si>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</si>
  <si>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</si>
  <si>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</si>
  <si>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</si>
  <si>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</si>
  <si>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</si>
  <si>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</si>
  <si>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</si>
  <si>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</si>
  <si>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</si>
  <si>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</si>
  <si>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</si>
  <si>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</si>
  <si>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</si>
  <si>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</si>
  <si>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</si>
  <si>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</si>
  <si>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</si>
  <si>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</si>
  <si>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</si>
  <si>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</si>
  <si>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</si>
  <si>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</si>
  <si>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</si>
  <si>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</si>
  <si>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</si>
  <si>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</si>
  <si>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</si>
  <si>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</si>
  <si>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</si>
  <si>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</si>
  <si>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</si>
  <si>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</si>
  <si>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</si>
  <si>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</si>
  <si>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</si>
  <si>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</si>
  <si>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</si>
  <si>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</si>
  <si>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</si>
  <si>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</si>
  <si>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</si>
  <si>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</si>
  <si>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</si>
  <si>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</si>
  <si>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</si>
  <si>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</si>
  <si>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</si>
  <si>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</si>
  <si>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</si>
  <si>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</si>
  <si>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</si>
  <si>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</si>
  <si>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</si>
  <si>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</si>
  <si>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</si>
  <si>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</si>
  <si>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</si>
  <si>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</si>
  <si>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</si>
  <si>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</si>
  <si>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</si>
  <si>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</si>
  <si>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</si>
  <si>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</si>
  <si>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</si>
  <si>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</si>
  <si>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</si>
  <si>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</si>
  <si>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</si>
  <si>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</si>
  <si>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</si>
  <si>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</si>
  <si>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</si>
  <si>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</si>
  <si>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</si>
  <si>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</si>
  <si>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</si>
  <si>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</si>
  <si>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</si>
  <si>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</si>
  <si>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</si>
  <si>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</si>
  <si>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</si>
  <si>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</si>
  <si>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</si>
  <si>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</si>
  <si>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31409408</t>
  </si>
  <si>
    <t>МУП "Чердаклыводоканал"</t>
  </si>
  <si>
    <t>7329032506</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</si>
  <si>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</si>
  <si>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</si>
  <si>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</si>
  <si>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</si>
  <si>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</si>
  <si>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</si>
  <si>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</si>
  <si>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</si>
  <si>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</si>
  <si>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</si>
  <si>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</si>
  <si>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</si>
  <si>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</si>
  <si>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</si>
  <si>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</si>
  <si>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</si>
  <si>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</si>
  <si>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</si>
  <si>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</si>
  <si>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</si>
  <si>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</si>
  <si>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</si>
  <si>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</si>
  <si>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</si>
  <si>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</si>
  <si>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</si>
  <si>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</si>
  <si>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</si>
  <si>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</si>
  <si>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</si>
  <si>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</si>
  <si>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</si>
  <si>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</si>
  <si>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</si>
  <si>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</si>
  <si>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</si>
  <si>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</si>
  <si>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</si>
  <si>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</si>
  <si>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</si>
  <si>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</si>
  <si>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</si>
  <si>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</si>
  <si>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</si>
  <si>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</si>
  <si>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</si>
  <si>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</si>
  <si>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</si>
  <si>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</si>
  <si>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</si>
  <si>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</si>
  <si>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</si>
  <si>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</si>
  <si>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</si>
  <si>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</si>
  <si>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</si>
  <si>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</si>
  <si>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</si>
  <si>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</si>
  <si>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</si>
  <si>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</si>
  <si>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</si>
  <si>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</si>
  <si>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</si>
  <si>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</si>
  <si>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</si>
  <si>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</si>
  <si>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</si>
  <si>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</si>
  <si>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</si>
  <si>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</si>
  <si>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</si>
  <si>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</si>
  <si>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</si>
  <si>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</si>
  <si>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</si>
  <si>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</si>
  <si>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</si>
  <si>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</si>
  <si>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</si>
  <si>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</si>
  <si>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</si>
  <si>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</si>
  <si>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</si>
  <si>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</si>
  <si>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</si>
  <si>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</si>
  <si>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</si>
  <si>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</si>
  <si>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</si>
  <si>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</si>
  <si>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</si>
  <si>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</si>
  <si>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</si>
  <si>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</si>
  <si>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</si>
  <si>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</si>
  <si>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</si>
  <si>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</si>
  <si>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</si>
  <si>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</si>
  <si>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</si>
  <si>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</si>
  <si>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</si>
  <si>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</si>
  <si>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</si>
  <si>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</si>
  <si>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</si>
  <si>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</si>
  <si>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</si>
  <si>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</si>
  <si>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</si>
  <si>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</si>
  <si>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</si>
  <si>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</si>
  <si>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</si>
  <si>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</si>
  <si>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</si>
  <si>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</si>
  <si>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</si>
  <si>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</si>
  <si>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</si>
  <si>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</si>
  <si>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</si>
  <si>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</si>
  <si>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</si>
  <si>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</si>
  <si>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</si>
  <si>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</si>
  <si>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</si>
  <si>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</si>
  <si>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</si>
  <si>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</si>
  <si>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</si>
  <si>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</si>
  <si>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</si>
  <si>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</si>
  <si>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</si>
  <si>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</si>
  <si>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</si>
  <si>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</si>
  <si>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</si>
  <si>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</si>
  <si>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</si>
  <si>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</si>
  <si>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</si>
  <si>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</si>
  <si>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</si>
  <si>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</si>
  <si>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</si>
  <si>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</si>
  <si>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</si>
  <si>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</si>
  <si>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</si>
  <si>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</si>
  <si>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</si>
  <si>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</si>
  <si>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</si>
  <si>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</si>
  <si>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</si>
  <si>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</si>
  <si>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</si>
  <si>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</si>
  <si>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</si>
  <si>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</si>
  <si>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</si>
  <si>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</si>
  <si>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</si>
  <si>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</si>
  <si>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</si>
  <si>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</si>
  <si>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</si>
  <si>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</si>
  <si>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</si>
  <si>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</si>
  <si>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</si>
  <si>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</si>
  <si>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</si>
  <si>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</si>
  <si>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</si>
  <si>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</si>
  <si>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</si>
  <si>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</si>
  <si>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</si>
  <si>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</si>
  <si>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</si>
  <si>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</si>
  <si>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</si>
  <si>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</si>
  <si>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</si>
  <si>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</si>
  <si>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</si>
  <si>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</si>
  <si>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</si>
  <si>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</si>
  <si>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</si>
  <si>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</si>
  <si>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</si>
  <si>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</si>
  <si>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</si>
  <si>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</si>
  <si>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</si>
  <si>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</si>
  <si>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</si>
  <si>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</si>
  <si>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</si>
  <si>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</si>
  <si>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</si>
  <si>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</si>
  <si>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</si>
  <si>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</si>
  <si>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</si>
  <si>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</si>
  <si>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</si>
  <si>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</si>
  <si>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</si>
  <si>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</si>
  <si>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</si>
  <si>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</si>
  <si>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</si>
  <si>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</si>
  <si>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</si>
  <si>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</si>
  <si>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</si>
  <si>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</si>
  <si>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</si>
  <si>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</si>
  <si>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</si>
  <si>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</si>
  <si>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</si>
  <si>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</si>
  <si>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</si>
  <si>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</si>
  <si>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</si>
  <si>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</si>
  <si>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</si>
  <si>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</si>
  <si>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</si>
  <si>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</si>
  <si>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</si>
  <si>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</si>
  <si>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</si>
  <si>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</si>
  <si>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</si>
  <si>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</si>
  <si>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</si>
  <si>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</si>
  <si>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</si>
  <si>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</si>
  <si>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</si>
  <si>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</si>
  <si>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</si>
  <si>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</si>
  <si>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</si>
  <si>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</si>
  <si>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</si>
  <si>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</si>
  <si>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</si>
  <si>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</si>
  <si>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</si>
  <si>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</si>
  <si>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</si>
  <si>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</si>
  <si>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</si>
  <si>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</si>
  <si>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</si>
  <si>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</si>
  <si>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</si>
  <si>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</si>
  <si>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</si>
  <si>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</si>
  <si>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</si>
  <si>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</si>
  <si>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</si>
  <si>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</si>
  <si>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</si>
  <si>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</si>
  <si>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</si>
  <si>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</si>
  <si>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</si>
  <si>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</si>
  <si>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</si>
  <si>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</si>
  <si>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</si>
  <si>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</si>
  <si>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</si>
  <si>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</si>
  <si>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</si>
  <si>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</si>
  <si>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</si>
  <si>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</si>
  <si>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</si>
  <si>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</si>
  <si>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</si>
  <si>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</si>
  <si>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</si>
  <si>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</si>
  <si>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</si>
  <si>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</si>
  <si>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</si>
  <si>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</si>
  <si>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</si>
  <si>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</si>
  <si>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</si>
  <si>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</si>
  <si>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</si>
  <si>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</si>
  <si>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</si>
  <si>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</si>
  <si>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</si>
  <si>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</si>
  <si>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</si>
  <si>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</si>
  <si>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</si>
  <si>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</si>
  <si>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</si>
  <si>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</si>
  <si>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</si>
  <si>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</si>
  <si>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</si>
  <si>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</si>
  <si>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</si>
  <si>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</si>
  <si>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</si>
  <si>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</si>
  <si>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</si>
  <si>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</si>
  <si>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</si>
  <si>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</si>
  <si>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</si>
  <si>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</si>
  <si>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</si>
  <si>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</si>
  <si>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</si>
  <si>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</si>
  <si>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</si>
  <si>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</si>
  <si>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</si>
  <si>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</si>
  <si>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</si>
  <si>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</si>
  <si>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</si>
  <si>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</si>
  <si>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</si>
  <si>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</si>
  <si>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</si>
  <si>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</si>
  <si>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</si>
  <si>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</si>
  <si>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</si>
  <si>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</si>
  <si>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</si>
  <si>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</si>
  <si>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</si>
  <si>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</si>
  <si>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</si>
  <si>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</si>
  <si>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</si>
  <si>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</si>
  <si>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</si>
  <si>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</si>
  <si>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</si>
  <si>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</si>
  <si>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</si>
  <si>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</si>
  <si>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</si>
  <si>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</si>
  <si>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</si>
  <si>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</si>
  <si>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</si>
  <si>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</si>
  <si>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</si>
  <si>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</si>
  <si>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</si>
  <si>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</si>
  <si>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</si>
  <si>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</si>
  <si>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</si>
  <si>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</si>
  <si>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</si>
  <si>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</si>
  <si>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</si>
  <si>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</si>
  <si>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</si>
  <si>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</si>
  <si>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</si>
  <si>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</si>
  <si>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</si>
  <si>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</si>
  <si>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</si>
  <si>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</si>
  <si>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</si>
  <si>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</si>
  <si>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</si>
  <si>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</si>
  <si>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</si>
  <si>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</si>
  <si>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</si>
  <si>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</si>
  <si>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</si>
  <si>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</si>
  <si>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</si>
  <si>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</si>
  <si>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</si>
  <si>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</si>
  <si>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</si>
  <si>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</si>
  <si>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</si>
  <si>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</si>
  <si>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</si>
  <si>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</si>
  <si>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</si>
  <si>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</si>
  <si>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</si>
  <si>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</si>
  <si>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</si>
  <si>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</si>
  <si>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</si>
  <si>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</si>
  <si>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</si>
  <si>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</si>
  <si>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</si>
  <si>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</si>
  <si>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</si>
  <si>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</si>
  <si>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</si>
  <si>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</si>
  <si>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</si>
  <si>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</si>
  <si>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</si>
  <si>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</si>
  <si>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</si>
  <si>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</si>
  <si>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</si>
  <si>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</si>
  <si>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</si>
  <si>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</si>
  <si>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</si>
  <si>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</si>
  <si>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</si>
  <si>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</si>
  <si>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</si>
  <si>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</si>
  <si>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</si>
  <si>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</si>
  <si>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</si>
  <si>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</si>
  <si>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</si>
  <si>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</si>
  <si>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</si>
  <si>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</si>
  <si>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</si>
  <si>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</si>
  <si>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</si>
  <si>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</si>
  <si>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</si>
  <si>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</si>
  <si>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</si>
  <si>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</si>
  <si>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</si>
  <si>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</si>
  <si>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</si>
  <si>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</si>
  <si>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</si>
  <si>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</si>
  <si>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</si>
  <si>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</si>
  <si>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</si>
  <si>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</si>
  <si>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</si>
  <si>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</si>
  <si>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</si>
  <si>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</si>
  <si>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</si>
  <si>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</si>
  <si>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</si>
  <si>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</si>
  <si>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</si>
  <si>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</si>
  <si>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</si>
  <si>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</si>
  <si>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</si>
  <si>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</si>
  <si>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</si>
  <si>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</si>
  <si>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</si>
  <si>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</si>
  <si>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</si>
  <si>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</si>
  <si>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</si>
  <si>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</si>
  <si>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</si>
  <si>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</si>
  <si>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</si>
  <si>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</si>
  <si>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</si>
  <si>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</si>
  <si>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</si>
  <si>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</si>
  <si>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</si>
  <si>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</si>
  <si>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</si>
  <si>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</si>
  <si>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</si>
  <si>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</si>
  <si>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</si>
  <si>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</si>
  <si>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</si>
  <si>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</si>
  <si>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</si>
  <si>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</si>
  <si>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</si>
  <si>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</si>
  <si>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</si>
  <si>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</si>
  <si>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</si>
  <si>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</si>
  <si>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</si>
  <si>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</si>
  <si>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</si>
  <si>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</si>
  <si>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</si>
  <si>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</si>
  <si>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</si>
  <si>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</si>
  <si>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</si>
  <si>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</si>
  <si>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</si>
  <si>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</si>
  <si>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</si>
  <si>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</si>
  <si>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</si>
  <si>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</si>
  <si>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</si>
  <si>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</si>
  <si>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</si>
  <si>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</si>
  <si>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</si>
  <si>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</si>
  <si>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</si>
  <si>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</si>
  <si>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</si>
  <si>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</si>
  <si>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</si>
  <si>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</si>
  <si>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</si>
  <si>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</si>
  <si>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</si>
  <si>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</si>
  <si>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</si>
  <si>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</si>
  <si>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</si>
  <si>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</si>
  <si>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</si>
  <si>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</si>
  <si>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</si>
  <si>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</si>
  <si>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</si>
  <si>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</si>
  <si>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</si>
  <si>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</si>
  <si>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</si>
  <si>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</si>
  <si>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</si>
  <si>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</si>
  <si>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</si>
  <si>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</si>
  <si>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</si>
  <si>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</si>
  <si>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</si>
  <si>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</si>
  <si>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</si>
  <si>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</si>
  <si>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</si>
  <si>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</si>
  <si>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</si>
  <si>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</si>
  <si>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</si>
  <si>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</si>
  <si>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</si>
  <si>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</si>
  <si>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</si>
  <si>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</si>
  <si>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</si>
  <si>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</si>
  <si>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</si>
  <si>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</si>
  <si>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</si>
  <si>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</si>
  <si>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</si>
  <si>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</si>
  <si>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</si>
  <si>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</si>
  <si>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</si>
  <si>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</si>
  <si>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</si>
  <si>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</si>
  <si>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</si>
  <si>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</si>
  <si>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</si>
  <si>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</si>
  <si>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</si>
  <si>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</si>
  <si>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</si>
  <si>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</si>
  <si>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</si>
  <si>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</si>
  <si>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</si>
  <si>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</si>
  <si>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</si>
  <si>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</si>
  <si>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</si>
  <si>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</si>
  <si>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</si>
  <si>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</si>
  <si>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</si>
  <si>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</si>
  <si>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</si>
  <si>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</si>
  <si>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</si>
  <si>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</si>
  <si>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</si>
  <si>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</si>
  <si>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</si>
  <si>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</si>
  <si>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</si>
  <si>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</si>
  <si>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</si>
  <si>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</si>
  <si>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</si>
  <si>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</si>
  <si>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</si>
  <si>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</si>
  <si>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</si>
  <si>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</si>
  <si>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</si>
  <si>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</si>
  <si>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</si>
  <si>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</si>
  <si>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</si>
  <si>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</si>
  <si>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</si>
  <si>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</si>
  <si>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</si>
  <si>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</si>
  <si>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</si>
  <si>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</si>
  <si>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</si>
  <si>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</si>
  <si>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</si>
  <si>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</si>
  <si>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</si>
  <si>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</si>
  <si>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</si>
  <si>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</si>
  <si>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</si>
  <si>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</si>
  <si>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</si>
  <si>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</si>
  <si>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</si>
  <si>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</si>
  <si>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</si>
  <si>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</si>
  <si>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</si>
  <si>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</si>
  <si>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</si>
  <si>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</si>
  <si>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</si>
  <si>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</si>
  <si>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</si>
  <si>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</si>
  <si>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</si>
  <si>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</si>
  <si>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</si>
  <si>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</si>
  <si>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</si>
  <si>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</si>
  <si>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</si>
  <si>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</si>
  <si>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</si>
  <si>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</si>
  <si>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</si>
  <si>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</si>
  <si>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</si>
  <si>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</si>
  <si>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</si>
  <si>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</si>
  <si>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</si>
  <si>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</si>
  <si>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</si>
  <si>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</si>
  <si>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</si>
  <si>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</si>
  <si>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</si>
  <si>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</si>
  <si>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</si>
  <si>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</si>
  <si>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</si>
  <si>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</si>
  <si>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</si>
  <si>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</si>
  <si>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</si>
  <si>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</si>
  <si>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</si>
  <si>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</si>
  <si>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</si>
  <si>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</si>
  <si>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</si>
  <si>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</si>
  <si>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</si>
  <si>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</si>
  <si>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</si>
  <si>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</si>
  <si>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</si>
  <si>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</si>
  <si>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</si>
  <si>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</si>
  <si>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</si>
  <si>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</si>
  <si>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</si>
  <si>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</si>
  <si>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</si>
  <si>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</si>
  <si>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</si>
  <si>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</si>
  <si>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</si>
  <si>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</si>
  <si>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</si>
  <si>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</si>
  <si>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</si>
  <si>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</si>
  <si>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</si>
  <si>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</si>
  <si>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</si>
  <si>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</si>
  <si>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</si>
  <si>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</si>
  <si>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</si>
  <si>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</si>
  <si>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</si>
  <si>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</si>
  <si>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</si>
  <si>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</si>
  <si>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</si>
  <si>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</si>
  <si>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</si>
  <si>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</si>
  <si>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</si>
  <si>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</si>
  <si>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</si>
  <si>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</si>
  <si>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</si>
  <si>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</si>
  <si>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</si>
  <si>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</si>
  <si>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</si>
  <si>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</si>
  <si>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</si>
  <si>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</si>
  <si>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</si>
  <si>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</si>
  <si>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</si>
  <si>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</si>
  <si>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</si>
  <si>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</si>
  <si>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</si>
  <si>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</si>
  <si>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</si>
  <si>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</si>
  <si>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</si>
  <si>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</si>
  <si>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</si>
  <si>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</si>
  <si>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</si>
  <si>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</si>
  <si>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</si>
  <si>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</si>
  <si>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</si>
  <si>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</si>
  <si>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</si>
  <si>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</si>
  <si>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</si>
  <si>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</si>
  <si>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</si>
  <si>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</si>
  <si>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</si>
  <si>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</si>
  <si>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</si>
  <si>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</si>
  <si>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</si>
  <si>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</si>
  <si>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</si>
  <si>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</si>
  <si>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</si>
  <si>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</si>
  <si>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</si>
  <si>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</si>
  <si>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</si>
  <si>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</si>
  <si>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</si>
  <si>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</si>
  <si>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</si>
  <si>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</si>
  <si>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</si>
  <si>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</si>
  <si>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</si>
  <si>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</si>
  <si>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</si>
  <si>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</si>
  <si>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</si>
  <si>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</si>
  <si>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</si>
  <si>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</si>
  <si>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</si>
  <si>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</si>
  <si>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</si>
  <si>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</si>
  <si>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</si>
  <si>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</si>
  <si>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</si>
  <si>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</si>
  <si>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</si>
  <si>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</si>
  <si>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</si>
  <si>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</si>
  <si>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</si>
  <si>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</si>
  <si>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</si>
  <si>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</si>
  <si>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</si>
  <si>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</si>
  <si>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</si>
  <si>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</si>
  <si>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</si>
  <si>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</si>
  <si>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</si>
  <si>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</si>
  <si>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</si>
  <si>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</si>
  <si>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</si>
  <si>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</si>
  <si>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</si>
  <si>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</si>
  <si>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</si>
  <si>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</si>
  <si>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</si>
  <si>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</si>
  <si>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</si>
  <si>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</si>
  <si>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</si>
  <si>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</si>
  <si>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</si>
  <si>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</si>
  <si>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</si>
  <si>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</si>
  <si>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</si>
  <si>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</si>
  <si>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</si>
  <si>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</si>
  <si>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</si>
  <si>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</si>
  <si>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</si>
  <si>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</si>
  <si>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</si>
  <si>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</si>
  <si>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</si>
  <si>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</si>
  <si>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</si>
  <si>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433005 Ульяновская обл., Инзенский район, с.Черемушки, ул.Шоссейная, д.33</t>
  </si>
  <si>
    <t>+7(84241)25979; +7(84241)25916</t>
  </si>
  <si>
    <t>irina.tairova2010@yandex.ru</t>
  </si>
  <si>
    <t>Директор</t>
  </si>
  <si>
    <t>МУНИЦИПАЛЬНОЕ УНИТАРНОЕ ПРЕДПРИЯТИЕ "НИВА"</t>
  </si>
  <si>
    <t>МУП "НИВА"</t>
  </si>
  <si>
    <t>1097306000175</t>
  </si>
  <si>
    <t>TEMPLATE_LGL_ID</t>
  </si>
  <si>
    <t>TEMPLATE_PRD</t>
  </si>
  <si>
    <t>TEMPLATE_STATUS</t>
  </si>
  <si>
    <t>TEMPLATE_DATE</t>
  </si>
  <si>
    <t>TARIFF_ID</t>
  </si>
  <si>
    <t>TARIFF_VID</t>
  </si>
  <si>
    <t>TARIFF_TIP</t>
  </si>
  <si>
    <t>TARIFF_VDET</t>
  </si>
  <si>
    <t>TARIFF_VTOV</t>
  </si>
  <si>
    <t>TARIFF_DOP</t>
  </si>
  <si>
    <t>TARIFF_MO_LIST</t>
  </si>
  <si>
    <t>ХВС.73.26476526.0001</t>
  </si>
  <si>
    <t>&lt;нет шаблона&gt;</t>
  </si>
  <si>
    <t>Таиров Дамир Ирекович</t>
  </si>
  <si>
    <t>884-241-2-59-79</t>
  </si>
  <si>
    <t>209-П</t>
  </si>
  <si>
    <t>Производство (подъём / добыча) воды :: Транспортировка воды :: Сбыт (распределение) воды</t>
  </si>
  <si>
    <t>ХВС.73.26476526.0002</t>
  </si>
  <si>
    <t>862вх</t>
  </si>
  <si>
    <t>52-ВС-862вх/2023</t>
  </si>
  <si>
    <t>SPHERE</t>
  </si>
  <si>
    <t>NMBR</t>
  </si>
  <si>
    <t>NMOB</t>
  </si>
  <si>
    <t>STYPE</t>
  </si>
  <si>
    <t>ADDRESS</t>
  </si>
  <si>
    <t>L_EXPLOIT_DOC_BASE</t>
  </si>
  <si>
    <t>L_EXPLOIT_DOC_TYPE</t>
  </si>
  <si>
    <t>L_EXPLOIT_DOC_NUMBER</t>
  </si>
  <si>
    <t>L_EXPLOIT_DOC_DATE</t>
  </si>
  <si>
    <t>ВС</t>
  </si>
  <si>
    <t>Артезианская скважина</t>
  </si>
  <si>
    <t>НС с сетями</t>
  </si>
  <si>
    <t>с Аристовка / ул.Юбилейная / 1</t>
  </si>
  <si>
    <t>01.06.2009</t>
  </si>
  <si>
    <t>с Большая Борисовка / ул.Юбилейная / 1</t>
  </si>
  <si>
    <t>с Поддубное / ул.Мира / 1</t>
  </si>
  <si>
    <t>с Репьевка / ул. Новая / 1</t>
  </si>
  <si>
    <t xml:space="preserve">08.05.2025 </t>
  </si>
  <si>
    <t>08.05.2025</t>
  </si>
  <si>
    <t>персонал</t>
  </si>
  <si>
    <t>Предприятие предложило на 2024 год сумму расходов по данной статье в размере 521,95  тыс.руб., проанализировав представленные предприятием плановые и фактические затраты по электроэнергии, приложенные счета – фактуры, расчёты предприятия, фактическое потребление за 2022, исходя из объёма поднятой воды  – 40,00 тыс. м3 на 2024 год, удельного расхода электроэнергии  – 1,475 квт. час/м3 и прогнозируемого тарифа  электроэнергии (принят экспертами на основании данных о цене фактического приобретения электрической энергии в 2022 году и в соответствиис предложением предприятия и с индексом роста, установленном в прогнозе социально-экономического развития РФ на 2024 год) -  в размере – 8,85 руб./кВт. час на 2024 год, эксперты предлагают необходимым признать экономически обоснованной сумму затрат по данной статье в размере 521,95  тыс. руб. 
Обосновывающие материалы:
1. Акт сверки расчетов с АО "Ульяновскэнерго" - стр.112 тарифного дела)
2. Счет- фактуры по электроэнергии за 2022г. - стр. 13-50 доп.материалов тарифного дела)                                                                                                                                                                                                                                                                                                                                           3.Договор по электроснабжению + доп.соглашение  - стр.9-12 доп.материалов тарифного дела)</t>
  </si>
  <si>
    <t>Предприятие предложило на 2024 год сумму расходов на оплату труда производственного персонала в размере 584,40 тыс.руб., и расходы на отчисления на соц.нужды в размере 198,40 тыс.руб., проанализировав фактические расходы за 2022 год, штатное расписание, осуществлен расчет органом регулирования исходя из затрат в соответствии с индексом роста, установленном в прогнозе социально-экономическом развитии РФ на 2024 год и прогнозным размером МРОТ С 1 января 2024 года.
Эксперты предлагают признать экономически обоснованными затраты по данной статье в размере 600,35 тыс.руб., в т.ч. расходы на оплату труда производственного персонала в размере 461,81 тыс.руб., и отчисления на социальные нужды в размере 138,54 тыс.руб. (в соответствии со ст. 426 Налогового  кодекса Российской Федерации экспертами произведён расчёт страховых взносов  в размере 30,0 % к сумме затрат на оплату труда в размере 461,81 тыс. руб.)
Обосновывающие материалы:
1. Штатное расписание (стр. 104 тарифного дела) 2.Устав - стр. 106-111 тарифного дела</t>
  </si>
  <si>
    <t>Предприятие предложило на 2024 год сумму расходов на оплату труда административного персонала в размере 314,03 тыс.руб., и расходы на отчисления на соц.нужды в размере 72,47 тыс.руб., проанализировав фактические расходы за 2022 год, штатное расписание, осуществлен расчет органом регулирования исходя из затрат в соответствии с индексом роста, установленном в прогнозе социально-экономическом развитии РФ на 2024 год и прогнозным размером МРОТ С 1 января 2024 года.
Эксперты предлагают признать экономически обоснованными затраты по данной статье в размере 314,03 тыс.руб., в т.ч. расходы на оплату труда производственного персонала в размере 241,56 тыс.руб., и отчисления на социальные нужды в размере 138,54 тыс.руб. (в соответствии со ст. 426 Налогового  кодекса Российской Федерации экспертами произведён расчёт страховых взносов  в размере 30,0 % к сумме затрат на оплату труда в размере 72,47 тыс. руб.)
Обосновывающие материалы:
1. Штатное расписание (стр. 104 тарифного дела) 2.Устав - стр. 106-111 тарифного дела</t>
  </si>
  <si>
    <t xml:space="preserve">Предприятием были предложены затраты по статье « Налоги и сборы» на 2024 год в сумме 9,80 тыс. руб.
Проанализировав представленные расчётные материалы, налоговую декларацию водному налогу, фактические расходы за 2022 год. Эксперты с предложением предприятия  согласны  и  предлагают признать экономически обоснованными  затраты в размере 9,8 тыс.рублей. 
Обосновывающие материалы:
1. Налоговая декларация по водному налогу  за 2022 год (стр.51-66 доп. материалов тарифного дела)
</t>
  </si>
  <si>
    <t xml:space="preserve">По расчётам экспертов фактическая величина НВВ в 2022 году должна  составить 1527,53 тыс. руб., выручка от реализации питьевой воды – 1411,60 тыс. руб. Размер корректировки составляет 115,93 тыс. руб. </t>
  </si>
  <si>
    <t xml:space="preserve">          
Принимая во внимание вышезложенное, учитывая проведенный анализ документов, эксперты предлагают признать сумму НВВ на питьевую воду для МУП "Нива" экономически обоснованной в следующих размерах: на 2024 год –1579,06тыс. руб.; на 2025 год – 1643,42 тыс. руб.; на 2026 год – 1668,57 тыс. руб.; на 2027 год - 1695,43 тыс. руб.; на 2028 год -1739,07 тыс. руб.
Плановый объем полезного отпуска приниматся с учетом предложений предприятия на 2024-2028 годы -40,00 тыс. м3.</t>
  </si>
  <si>
    <t>По результатам проведения экспертизы тарифов на питьевую воду для  Муниципального унитарного предприятия «Нива» , эксперты предлагают считать экономически обоснованными  тарифы на 2024-2028 годы (по таблице выше)</t>
  </si>
  <si>
    <t>Базовый уровень операционных расходов = 931,38 тыс.руб. Удельный расход электрической энергии =1,475 кВтч/куб.м.</t>
  </si>
  <si>
    <t>ЭКСПЕРТНОЕ ЗАКЛЮЧЕНИЕ</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</si>
  <si>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</si>
  <si>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по экономической обоснованности тарифов на питьевую воду (питьевое водоснабжение)  для Муниципального унитарного предприятия "Нива" на 2024-2028 годы</t>
  </si>
  <si>
    <t>Экспертиза проводилась с целью определения экономической обоснованности выполненных и представленных в Агентство по регулированию цен и тарифов  Ульяновской области расчётных материалов по тарифам на услуги водоснабжения МУП «Нива», их соответствия финансовым потребностям, необходимым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</si>
  <si>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МУП «Нива» является достоверной.
2. Ответственность за достоверность представленных документов несёт МУП «Нива».
3. Выводы экспертов, приведённые в настоящем Заключении, основывались исключительно на результатах экспертизы представленных расчётных документов.
4. Проделанная в процессе экспертизы работа не означает проведения полной и всеобъемлющей проверки финансово-хозяйственной деятельности МУП «Нива» с целью выявления всех возможных нарушений норм действующего законодательства.
5. Предприятие применяет упрощенную систему налогообложения.
</t>
  </si>
  <si>
    <t>1. с 01.01.2024 по 30.06.2024 = 38,18 руб./куб.м
2. с 01.07.2024 по 31.12.2024 = 40,79 руб./куб.м
3. с 01.01.2025 по 30.06.2025 = 40,79 руб./куб.м
4. с 01.07.2025 по 31.12.2025 = 41,39 руб./куб.м
5. с 01.01.2026 по 30.06.2026 = 41,39 руб./куб.м
6. с 01.07.2026 по 31.12.2026 = 42,04 руб./куб.м
7. с 01.01.2027 по 30.06.2027 = 42,04 руб./куб.м
8. с 01.07.2027 по 31.12.2027= 42,73 руб./куб.м
9. с 01.01.2028 по 30.06.2028 = 42,73 руб./куб.м
10. с 01.07.2028 по 31.12.2028 =44,23 руб./куб.м</t>
  </si>
  <si>
    <t>Предприятие предложило необходимую валовую выручку на 2024 год в размере: 
2024 год- 1678,576 тыс.руб.и плановый объем полезного отпуска- 40,00 тыс. м3.Скорректированная величина НВВ на 2024 год составит: 1579,06 тыс. руб.</t>
  </si>
  <si>
    <t xml:space="preserve">Предприятием был предложен «Базовый уровень операционных расходов» на 2024 г. в сумме 1146,83 тыс. руб.
Проанализировав вышеуказанные статьи затрат, в соответствии с Методическими указаниями по расчёту регулируемых тарифов  в сфере водоснабжения и водоотведения, утверждёнными приказом Федеральной службы по тарифам от 27.12.2013 № 1746-э «Об утверждении Методических указаний по расчёту регулируемых тарифов в сфере водоснабжения и  водоотведения», величину базового уровня операционных расходов  эксперты предлагают считать экономически обоснованной на 2024 год в размере 931,38 тыс. руб.
В соответствии с прогнозом социально-экономического развития РФ, в пределах  прогнозного индекса потребительских цен на 2025 -2028 годы-104,0%, с учетом индекса эффективности операционных расходов в размере 1%, операционные расходы составят:
- на  2025 г. – 960,79 тыс.руб.;
- на 2026 г.  –989,23 тыс. руб.;
- на  2027 г. –1018,51 тыс.руб.;
- на 2028 г. – 1048,66 тыс. руб.
</t>
  </si>
  <si>
    <t>Ульяновская область / 2024 / МУП "Нива" (ИНН:7306040758, КПП:730601001)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</si>
  <si>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</si>
  <si>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</si>
  <si>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</si>
  <si>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</si>
  <si>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</si>
  <si>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</si>
  <si>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</si>
  <si>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</si>
  <si>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</si>
  <si>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</si>
  <si>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</si>
  <si>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</si>
  <si>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</si>
  <si>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</si>
  <si>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</si>
  <si>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</si>
  <si>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</si>
  <si>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НС с сетями :: Артезианская скважина :: с Репьевка / ул. Новая / 1</t>
  </si>
  <si>
    <t>НС с сетями :: Артезианская скважина :: с Поддубное / ул.Мира / 1</t>
  </si>
  <si>
    <t>НС с сетями :: Артезианская скважина :: с Аристовка / ул.Юбилейная / 1</t>
  </si>
  <si>
    <t>НС с сетями :: Артезианская скважина :: с Большая Борисовка / ул.Юбилейная / 1</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</si>
  <si>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</si>
  <si>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</si>
  <si>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</si>
  <si>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</si>
  <si>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</si>
  <si>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</si>
  <si>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</si>
  <si>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</si>
  <si>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</si>
  <si>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</si>
  <si>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</si>
  <si>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</si>
  <si>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</si>
  <si>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</si>
  <si>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</si>
  <si>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</si>
  <si>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</si>
  <si>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</si>
  <si>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</si>
  <si>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</si>
  <si>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</si>
  <si>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</si>
  <si>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</si>
  <si>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</si>
  <si>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</si>
  <si>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</si>
  <si>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</si>
  <si>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</si>
  <si>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</si>
  <si>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</si>
  <si>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</si>
  <si>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</si>
  <si>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</si>
  <si>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</si>
  <si>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</si>
  <si>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</si>
  <si>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</si>
  <si>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5.1.1</t>
  </si>
  <si>
    <t>5.1.2</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</si>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</sst>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1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u/>
      <sz val="9"/>
      <name val="Tahoma"/>
      <family val="2"/>
      <charset val="204"/>
    </font>
    <font>
      <sz val="13"/>
      <color rgb="FF0070C0"/>
      <name val="Tahoma"/>
      <family val="2"/>
      <charset val="204"/>
    </font>
    <font>
      <sz val="18"/>
      <color rgb="FF0070C0"/>
      <name val="Tahoma"/>
      <family val="2"/>
      <charset val="204"/>
    </font>
    <font>
      <sz val="13"/>
      <color theme="0"/>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3"/>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6">
    <xf numFmtId="49" fontId="0" fillId="0" borderId="0" applyBorder="0">
      <alignment vertical="top"/>
    </xf>
    <xf numFmtId="0" fontId="7" fillId="0" borderId="0"/>
    <xf numFmtId="167" fontId="7"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4" fillId="0" borderId="1" applyNumberFormat="0" applyAlignment="0">
      <protection locked="0"/>
    </xf>
    <xf numFmtId="166" fontId="8" fillId="0" borderId="0" applyFont="0" applyFill="0" applyBorder="0" applyAlignment="0" applyProtection="0"/>
    <xf numFmtId="168" fontId="10" fillId="2" borderId="0">
      <protection locked="0"/>
    </xf>
    <xf numFmtId="0" fontId="21" fillId="0" borderId="0" applyFill="0" applyBorder="0" applyProtection="0">
      <alignment vertical="center"/>
    </xf>
    <xf numFmtId="169" fontId="10" fillId="2" borderId="0">
      <protection locked="0"/>
    </xf>
    <xf numFmtId="170" fontId="10" fillId="2" borderId="0">
      <protection locked="0"/>
    </xf>
    <xf numFmtId="0" fontId="22" fillId="0" borderId="0" applyNumberFormat="0" applyFill="0" applyBorder="0" applyAlignment="0" applyProtection="0">
      <alignment vertical="top"/>
      <protection locked="0"/>
    </xf>
    <xf numFmtId="0" fontId="24" fillId="3" borderId="1" applyNumberFormat="0" applyAlignment="0"/>
    <xf numFmtId="0" fontId="23" fillId="0" borderId="0" applyNumberFormat="0" applyFill="0" applyBorder="0" applyAlignment="0" applyProtection="0">
      <alignment vertical="top"/>
      <protection locked="0"/>
    </xf>
    <xf numFmtId="0" fontId="11" fillId="0" borderId="0" applyNumberFormat="0" applyFill="0" applyBorder="0" applyAlignment="0" applyProtection="0"/>
    <xf numFmtId="0" fontId="9" fillId="0" borderId="0"/>
    <xf numFmtId="0" fontId="21" fillId="0" borderId="0" applyFill="0" applyBorder="0" applyProtection="0">
      <alignment vertical="center"/>
    </xf>
    <xf numFmtId="0" fontId="21" fillId="0" borderId="0" applyFill="0" applyBorder="0" applyProtection="0">
      <alignment vertical="center"/>
    </xf>
    <xf numFmtId="49" fontId="36" fillId="4" borderId="2" applyNumberFormat="0">
      <alignment horizontal="center" vertical="center"/>
    </xf>
    <xf numFmtId="0" fontId="19"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7" fillId="0" borderId="0" applyBorder="0">
      <alignment horizontal="center" vertical="center" wrapText="1"/>
    </xf>
    <xf numFmtId="0" fontId="12" fillId="0" borderId="3" applyBorder="0">
      <alignment horizontal="center" vertical="center" wrapText="1"/>
    </xf>
    <xf numFmtId="4" fontId="10" fillId="2" borderId="4" applyBorder="0">
      <alignment horizontal="right"/>
    </xf>
    <xf numFmtId="49" fontId="10" fillId="0" borderId="0" applyBorder="0">
      <alignment vertical="top"/>
    </xf>
    <xf numFmtId="0" fontId="40" fillId="6" borderId="0" applyNumberFormat="0" applyBorder="0" applyAlignment="0">
      <alignment horizontal="left" vertical="center"/>
    </xf>
    <xf numFmtId="0" fontId="6" fillId="0" borderId="0"/>
    <xf numFmtId="49" fontId="10" fillId="6" borderId="0" applyBorder="0">
      <alignment vertical="top"/>
    </xf>
    <xf numFmtId="49" fontId="10" fillId="6" borderId="0" applyBorder="0">
      <alignment vertical="top"/>
    </xf>
    <xf numFmtId="49" fontId="10" fillId="0" borderId="0" applyBorder="0">
      <alignment vertical="top"/>
    </xf>
    <xf numFmtId="49" fontId="10" fillId="0" borderId="0" applyBorder="0">
      <alignment vertical="top"/>
    </xf>
    <xf numFmtId="0" fontId="6" fillId="0" borderId="0"/>
    <xf numFmtId="49" fontId="10" fillId="0" borderId="0" applyBorder="0">
      <alignment vertical="top"/>
    </xf>
    <xf numFmtId="49" fontId="10" fillId="0" borderId="0" applyBorder="0">
      <alignment vertical="top"/>
    </xf>
    <xf numFmtId="0" fontId="10" fillId="0" borderId="0">
      <alignment horizontal="left" vertical="center"/>
    </xf>
    <xf numFmtId="0" fontId="26" fillId="0" borderId="0"/>
    <xf numFmtId="4" fontId="10"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10"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5" fillId="0" borderId="0"/>
    <xf numFmtId="49" fontId="10" fillId="0" borderId="0" applyBorder="0">
      <alignment vertical="top"/>
    </xf>
    <xf numFmtId="49" fontId="45" fillId="0" borderId="0" applyNumberFormat="0" applyFill="0" applyBorder="0" applyAlignment="0" applyProtection="0">
      <alignment vertical="top"/>
    </xf>
    <xf numFmtId="0" fontId="5" fillId="0" borderId="0"/>
    <xf numFmtId="0" fontId="5" fillId="0" borderId="0"/>
    <xf numFmtId="0" fontId="5" fillId="0" borderId="0"/>
    <xf numFmtId="0" fontId="6" fillId="0" borderId="0"/>
    <xf numFmtId="0" fontId="6" fillId="0" borderId="0"/>
    <xf numFmtId="0" fontId="5" fillId="0" borderId="0"/>
    <xf numFmtId="0" fontId="64" fillId="0" borderId="0"/>
    <xf numFmtId="0" fontId="5" fillId="0" borderId="0"/>
    <xf numFmtId="0" fontId="6" fillId="0" borderId="0"/>
    <xf numFmtId="0" fontId="6" fillId="0" borderId="0" applyFill="0" applyBorder="0"/>
    <xf numFmtId="0" fontId="3" fillId="0" borderId="0"/>
    <xf numFmtId="0" fontId="2" fillId="0" borderId="0"/>
    <xf numFmtId="0" fontId="2" fillId="0" borderId="0"/>
    <xf numFmtId="0" fontId="2" fillId="0" borderId="0"/>
    <xf numFmtId="0" fontId="2" fillId="0" borderId="0"/>
  </cellStyleXfs>
  <cellXfs count="1337">
    <xf numFmtId="49" fontId="0" fillId="0" borderId="0" xfId="0">
      <alignment vertical="top"/>
    </xf>
    <xf numFmtId="49" fontId="18" fillId="0" borderId="0" xfId="0" applyFont="1" applyFill="1" applyBorder="1" applyAlignment="1" applyProtection="1">
      <alignment vertical="top"/>
    </xf>
    <xf numFmtId="49" fontId="10" fillId="0" borderId="0" xfId="0" applyFont="1" applyProtection="1">
      <alignment vertical="top"/>
    </xf>
    <xf numFmtId="0" fontId="16" fillId="0" borderId="0" xfId="0" applyNumberFormat="1" applyFont="1" applyFill="1" applyBorder="1" applyAlignment="1" applyProtection="1">
      <alignment vertical="top"/>
    </xf>
    <xf numFmtId="49" fontId="0" fillId="0" borderId="0" xfId="0" applyProtection="1">
      <alignment vertical="top"/>
    </xf>
    <xf numFmtId="49" fontId="16" fillId="0" borderId="0" xfId="0" applyFont="1" applyFill="1" applyBorder="1" applyAlignment="1" applyProtection="1">
      <alignment vertical="top"/>
    </xf>
    <xf numFmtId="49" fontId="10" fillId="7" borderId="4" xfId="0" applyFont="1" applyFill="1" applyBorder="1" applyAlignment="1" applyProtection="1">
      <alignment horizontal="center" vertical="top"/>
    </xf>
    <xf numFmtId="49" fontId="0" fillId="0" borderId="0" xfId="0" applyNumberFormat="1" applyProtection="1">
      <alignment vertical="top"/>
    </xf>
    <xf numFmtId="49" fontId="10" fillId="0" borderId="0" xfId="48" applyFont="1" applyAlignment="1" applyProtection="1">
      <alignment vertical="center" wrapText="1"/>
    </xf>
    <xf numFmtId="49" fontId="16" fillId="0" borderId="0" xfId="48" applyFont="1" applyAlignment="1" applyProtection="1">
      <alignment vertical="center"/>
    </xf>
    <xf numFmtId="0" fontId="10" fillId="0" borderId="0" xfId="46" applyFont="1" applyProtection="1"/>
    <xf numFmtId="0" fontId="10" fillId="0" borderId="0" xfId="46" applyFont="1"/>
    <xf numFmtId="49" fontId="10" fillId="0" borderId="0" xfId="45" applyFont="1" applyProtection="1">
      <alignment vertical="top"/>
    </xf>
    <xf numFmtId="49" fontId="10" fillId="0" borderId="0" xfId="45" applyProtection="1">
      <alignment vertical="top"/>
    </xf>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5"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4" fillId="0" borderId="0" xfId="42" applyNumberFormat="1" applyFont="1" applyFill="1" applyAlignment="1" applyProtection="1">
      <alignment horizontal="left" vertical="top" wrapText="1"/>
    </xf>
    <xf numFmtId="49" fontId="10"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4"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4" fillId="12" borderId="10" xfId="40" applyNumberFormat="1" applyFont="1" applyFill="1" applyBorder="1" applyAlignment="1" applyProtection="1">
      <alignment horizontal="center" vertical="center" wrapText="1"/>
    </xf>
    <xf numFmtId="49" fontId="14" fillId="7" borderId="10" xfId="40" applyNumberFormat="1" applyFont="1" applyFill="1" applyBorder="1" applyAlignment="1" applyProtection="1">
      <alignment horizontal="center" vertical="center" wrapText="1"/>
    </xf>
    <xf numFmtId="49" fontId="14" fillId="11" borderId="10" xfId="40" applyNumberFormat="1" applyFont="1" applyFill="1" applyBorder="1" applyAlignment="1" applyProtection="1">
      <alignment horizontal="center" vertical="center" wrapText="1"/>
    </xf>
    <xf numFmtId="0" fontId="24" fillId="0" borderId="0" xfId="23" applyFont="1" applyFill="1" applyBorder="1" applyAlignment="1" applyProtection="1">
      <alignment horizontal="left" vertical="top" wrapText="1"/>
    </xf>
    <xf numFmtId="0" fontId="24"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7" fillId="0" borderId="0" xfId="32" applyNumberFormat="1" applyFont="1" applyFill="1" applyBorder="1" applyAlignment="1" applyProtection="1">
      <alignment wrapText="1"/>
    </xf>
    <xf numFmtId="49" fontId="17"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10" fillId="0" borderId="12" xfId="46" applyFont="1" applyFill="1" applyBorder="1" applyAlignment="1" applyProtection="1">
      <alignment horizontal="center" vertical="center" wrapText="1"/>
    </xf>
    <xf numFmtId="0" fontId="16" fillId="0" borderId="0" xfId="46" applyFont="1" applyAlignment="1" applyProtection="1">
      <alignment horizontal="center" vertical="center" wrapText="1"/>
    </xf>
    <xf numFmtId="0" fontId="10" fillId="0" borderId="0" xfId="46" applyFont="1" applyAlignment="1" applyProtection="1">
      <alignment vertical="center" wrapText="1"/>
    </xf>
    <xf numFmtId="0" fontId="10" fillId="0" borderId="0" xfId="46" applyFont="1" applyAlignment="1" applyProtection="1">
      <alignment horizontal="left" vertical="center" wrapText="1"/>
    </xf>
    <xf numFmtId="49" fontId="10" fillId="0" borderId="0" xfId="44" applyNumberFormat="1" applyFont="1" applyProtection="1">
      <alignment vertical="top"/>
    </xf>
    <xf numFmtId="49" fontId="10"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10" fillId="0" borderId="0" xfId="47">
      <alignment vertical="top"/>
    </xf>
    <xf numFmtId="0" fontId="6"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10"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3" fillId="0" borderId="0" xfId="97" applyFont="1" applyAlignment="1">
      <alignment vertical="center"/>
    </xf>
    <xf numFmtId="0" fontId="67" fillId="0" borderId="0" xfId="97" applyFont="1" applyAlignment="1">
      <alignment vertical="center"/>
    </xf>
    <xf numFmtId="0" fontId="68" fillId="0" borderId="0" xfId="97" applyFont="1" applyAlignment="1">
      <alignment vertical="center"/>
    </xf>
    <xf numFmtId="49" fontId="10" fillId="0" borderId="0" xfId="99" applyAlignment="1">
      <alignment vertical="center" wrapText="1"/>
    </xf>
    <xf numFmtId="49" fontId="10" fillId="0" borderId="0" xfId="99">
      <alignment vertical="top"/>
    </xf>
    <xf numFmtId="49" fontId="10" fillId="0" borderId="0" xfId="99" applyBorder="1" applyAlignment="1">
      <alignment vertical="center" wrapText="1"/>
    </xf>
    <xf numFmtId="49" fontId="16" fillId="0" borderId="0" xfId="99" applyFont="1" applyAlignment="1">
      <alignment vertical="center" wrapText="1"/>
    </xf>
    <xf numFmtId="49" fontId="71" fillId="0" borderId="0" xfId="99" applyFont="1" applyBorder="1" applyAlignment="1">
      <alignment vertical="center" wrapText="1"/>
    </xf>
    <xf numFmtId="49" fontId="28" fillId="0" borderId="0" xfId="99" applyFont="1" applyBorder="1" applyAlignment="1">
      <alignment horizontal="center" vertical="top" wrapText="1"/>
    </xf>
    <xf numFmtId="49" fontId="73" fillId="0" borderId="0" xfId="99" applyFont="1" applyBorder="1" applyAlignment="1">
      <alignment horizontal="center" vertical="top" wrapText="1"/>
    </xf>
    <xf numFmtId="49" fontId="10" fillId="0" borderId="42" xfId="99" applyBorder="1" applyAlignment="1">
      <alignment horizontal="center" vertical="center" wrapText="1"/>
    </xf>
    <xf numFmtId="49" fontId="10" fillId="11" borderId="43" xfId="99" applyFill="1" applyBorder="1" applyAlignment="1" applyProtection="1">
      <alignment horizontal="left" vertical="center" wrapText="1" indent="1"/>
      <protection locked="0"/>
    </xf>
    <xf numFmtId="49" fontId="10" fillId="0" borderId="0" xfId="99" applyAlignment="1">
      <alignment horizontal="left" vertical="center" wrapText="1"/>
    </xf>
    <xf numFmtId="0" fontId="63" fillId="0" borderId="0" xfId="98" applyFont="1"/>
    <xf numFmtId="49" fontId="10" fillId="0" borderId="30" xfId="49" applyNumberFormat="1" applyBorder="1" applyAlignment="1">
      <alignment horizontal="center" vertical="center"/>
    </xf>
    <xf numFmtId="0" fontId="76" fillId="0" borderId="0" xfId="98" applyFont="1"/>
    <xf numFmtId="0" fontId="10" fillId="0" borderId="0" xfId="98" applyFont="1"/>
    <xf numFmtId="0" fontId="63" fillId="0" borderId="0" xfId="103" applyFont="1"/>
    <xf numFmtId="0" fontId="63" fillId="0" borderId="0" xfId="97" applyFont="1"/>
    <xf numFmtId="0" fontId="63" fillId="0" borderId="0" xfId="103" applyFont="1" applyAlignment="1">
      <alignment horizontal="center"/>
    </xf>
    <xf numFmtId="0" fontId="10"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10"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10" fillId="0" borderId="30" xfId="97" applyFont="1" applyBorder="1" applyAlignment="1">
      <alignment horizontal="justify" vertical="center" wrapText="1"/>
    </xf>
    <xf numFmtId="0" fontId="63" fillId="0" borderId="0" xfId="102" applyFont="1"/>
    <xf numFmtId="49" fontId="10" fillId="0" borderId="30" xfId="102" applyNumberFormat="1" applyFont="1" applyBorder="1" applyAlignment="1">
      <alignment horizontal="center" vertical="center"/>
    </xf>
    <xf numFmtId="0" fontId="10" fillId="0" borderId="0" xfId="97" applyFont="1"/>
    <xf numFmtId="0" fontId="63" fillId="0" borderId="0" xfId="97" applyFont="1" applyAlignment="1">
      <alignment wrapText="1"/>
    </xf>
    <xf numFmtId="4" fontId="10" fillId="2" borderId="30" xfId="102" applyNumberFormat="1" applyFont="1" applyFill="1" applyBorder="1" applyAlignment="1" applyProtection="1">
      <alignment horizontal="right" vertical="center"/>
      <protection locked="0"/>
    </xf>
    <xf numFmtId="4" fontId="10" fillId="43" borderId="30" xfId="102" applyNumberFormat="1" applyFont="1" applyFill="1" applyBorder="1" applyAlignment="1">
      <alignment horizontal="right" vertical="center"/>
    </xf>
    <xf numFmtId="0" fontId="63" fillId="0" borderId="0" xfId="102" applyFont="1" applyAlignment="1">
      <alignment vertical="center"/>
    </xf>
    <xf numFmtId="0" fontId="10" fillId="0" borderId="0" xfId="97" applyFont="1" applyAlignment="1">
      <alignment vertical="center"/>
    </xf>
    <xf numFmtId="0" fontId="63" fillId="0" borderId="0" xfId="102" applyFont="1" applyAlignment="1">
      <alignment vertical="center" wrapText="1"/>
    </xf>
    <xf numFmtId="49" fontId="10"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10" fillId="0" borderId="0" xfId="105" applyFont="1"/>
    <xf numFmtId="0" fontId="10" fillId="0" borderId="0" xfId="105" applyFont="1" applyAlignment="1">
      <alignment horizontal="center"/>
    </xf>
    <xf numFmtId="0" fontId="12"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3" fillId="0" borderId="0" xfId="105" applyFont="1"/>
    <xf numFmtId="0" fontId="66" fillId="0" borderId="0" xfId="105" applyFont="1"/>
    <xf numFmtId="0" fontId="13" fillId="0" borderId="0" xfId="105" applyFont="1" applyAlignment="1">
      <alignment horizontal="left"/>
    </xf>
    <xf numFmtId="0" fontId="63" fillId="0" borderId="0" xfId="106" applyFont="1"/>
    <xf numFmtId="0" fontId="63" fillId="0" borderId="0" xfId="107" applyFont="1" applyAlignment="1">
      <alignment horizontal="center" vertical="center" wrapText="1"/>
    </xf>
    <xf numFmtId="0" fontId="63" fillId="0" borderId="0" xfId="107" applyFont="1"/>
    <xf numFmtId="0" fontId="69" fillId="0" borderId="0" xfId="106" applyFont="1" applyAlignment="1">
      <alignment horizontal="center" vertical="center"/>
    </xf>
    <xf numFmtId="0" fontId="69" fillId="0" borderId="0" xfId="106" applyFont="1" applyAlignment="1">
      <alignment vertical="center" wrapText="1"/>
    </xf>
    <xf numFmtId="0" fontId="69" fillId="0" borderId="0" xfId="106" applyFont="1" applyAlignment="1">
      <alignment vertical="center"/>
    </xf>
    <xf numFmtId="0" fontId="13"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3" fillId="0" borderId="0" xfId="99" applyFont="1" applyAlignment="1">
      <alignment vertical="center" wrapText="1"/>
    </xf>
    <xf numFmtId="49" fontId="13" fillId="0" borderId="0" xfId="99" applyFont="1" applyAlignment="1">
      <alignment vertical="center"/>
    </xf>
    <xf numFmtId="49" fontId="84" fillId="46" borderId="0" xfId="99" applyFont="1" applyFill="1" applyAlignment="1">
      <alignment horizontal="center" vertical="center"/>
    </xf>
    <xf numFmtId="0" fontId="13" fillId="0" borderId="0" xfId="99" applyNumberFormat="1" applyFont="1" applyAlignment="1">
      <alignment vertical="center" wrapText="1"/>
    </xf>
    <xf numFmtId="0" fontId="69" fillId="0" borderId="0" xfId="106" applyFont="1"/>
    <xf numFmtId="0" fontId="13" fillId="47" borderId="0" xfId="99" applyNumberFormat="1" applyFont="1" applyFill="1" applyAlignment="1">
      <alignment horizontal="right" vertical="center"/>
    </xf>
    <xf numFmtId="0" fontId="13"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69" fillId="47" borderId="0" xfId="106" applyFont="1" applyFill="1" applyAlignment="1">
      <alignment horizontal="right" vertical="center"/>
    </xf>
    <xf numFmtId="49" fontId="13" fillId="47" borderId="0" xfId="99" applyFont="1" applyFill="1" applyAlignment="1">
      <alignment vertical="center" wrapText="1"/>
    </xf>
    <xf numFmtId="49" fontId="69"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3" fillId="0" borderId="0" xfId="109" applyFont="1"/>
    <xf numFmtId="49" fontId="85" fillId="0" borderId="0" xfId="99" applyFont="1" applyAlignment="1">
      <alignment vertical="center" wrapText="1"/>
    </xf>
    <xf numFmtId="49" fontId="13" fillId="0" borderId="0" xfId="99" applyFont="1" applyAlignment="1">
      <alignment horizontal="center" vertical="center"/>
    </xf>
    <xf numFmtId="49" fontId="13" fillId="12" borderId="0" xfId="99" applyFont="1" applyFill="1" applyAlignment="1">
      <alignment vertical="center"/>
    </xf>
    <xf numFmtId="49" fontId="13" fillId="0" borderId="0" xfId="99" applyFont="1">
      <alignment vertical="top"/>
    </xf>
    <xf numFmtId="0" fontId="13" fillId="47" borderId="0" xfId="99" applyNumberFormat="1" applyFont="1" applyFill="1" applyAlignment="1">
      <alignment horizontal="left" vertical="center"/>
    </xf>
    <xf numFmtId="49" fontId="16" fillId="46" borderId="0" xfId="0" applyFont="1" applyFill="1" applyAlignment="1">
      <alignment horizontal="center" vertical="center"/>
    </xf>
    <xf numFmtId="49" fontId="12" fillId="50" borderId="0" xfId="0" applyFont="1" applyFill="1" applyBorder="1" applyAlignment="1" applyProtection="1">
      <alignment vertical="center"/>
    </xf>
    <xf numFmtId="49" fontId="18" fillId="50" borderId="0" xfId="0" applyFont="1" applyFill="1" applyBorder="1" applyAlignment="1" applyProtection="1">
      <alignment vertical="top"/>
    </xf>
    <xf numFmtId="0" fontId="16" fillId="50" borderId="0" xfId="0" applyNumberFormat="1" applyFont="1" applyFill="1" applyBorder="1" applyAlignment="1" applyProtection="1">
      <alignment vertical="top"/>
    </xf>
    <xf numFmtId="49" fontId="16"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54" xfId="0" applyFont="1" applyFill="1" applyBorder="1" applyAlignment="1">
      <alignment horizontal="left" vertical="center" wrapText="1" indent="1"/>
    </xf>
    <xf numFmtId="49" fontId="87" fillId="49" borderId="55" xfId="0" applyFont="1" applyFill="1" applyBorder="1" applyAlignment="1">
      <alignment horizontal="left" vertical="center" wrapText="1" indent="1"/>
    </xf>
    <xf numFmtId="49" fontId="87" fillId="49" borderId="56" xfId="0" applyFont="1" applyFill="1" applyBorder="1" applyAlignment="1">
      <alignment horizontal="left" vertical="center" wrapText="1" indent="1"/>
    </xf>
    <xf numFmtId="49" fontId="87" fillId="49" borderId="55" xfId="0" applyFont="1" applyFill="1" applyBorder="1" applyAlignment="1">
      <alignment vertical="center" wrapText="1"/>
    </xf>
    <xf numFmtId="49" fontId="10" fillId="7" borderId="43"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0" fillId="0" borderId="0" xfId="99" applyNumberFormat="1" applyFont="1" applyAlignment="1">
      <alignment vertical="center"/>
    </xf>
    <xf numFmtId="0" fontId="0" fillId="47" borderId="0" xfId="0" applyNumberFormat="1" applyFill="1" applyAlignment="1">
      <alignment horizontal="left" vertical="center"/>
    </xf>
    <xf numFmtId="49" fontId="10" fillId="0" borderId="33" xfId="98" applyNumberFormat="1" applyFont="1" applyBorder="1" applyAlignment="1">
      <alignment vertical="center" wrapText="1"/>
    </xf>
    <xf numFmtId="0" fontId="89" fillId="51" borderId="57" xfId="0" applyNumberFormat="1" applyFont="1" applyFill="1" applyBorder="1" applyAlignment="1">
      <alignment horizontal="left" vertical="center"/>
    </xf>
    <xf numFmtId="0" fontId="63" fillId="0" borderId="7" xfId="98" applyFont="1" applyBorder="1" applyAlignment="1">
      <alignment horizontal="center" vertical="center"/>
    </xf>
    <xf numFmtId="0" fontId="10" fillId="0" borderId="7" xfId="98" applyFont="1" applyBorder="1" applyAlignment="1">
      <alignment horizontal="center" vertical="center"/>
    </xf>
    <xf numFmtId="4" fontId="10" fillId="2" borderId="30" xfId="98" applyNumberFormat="1" applyFont="1" applyFill="1" applyBorder="1" applyAlignment="1" applyProtection="1">
      <alignment horizontal="right" vertical="center"/>
      <protection locked="0"/>
    </xf>
    <xf numFmtId="49" fontId="87" fillId="49" borderId="60" xfId="0" applyFont="1" applyFill="1" applyBorder="1" applyAlignment="1">
      <alignment horizontal="left" vertical="center" wrapText="1" indent="1"/>
    </xf>
    <xf numFmtId="3" fontId="10" fillId="2" borderId="30" xfId="98" applyNumberFormat="1" applyFont="1" applyFill="1" applyBorder="1" applyAlignment="1" applyProtection="1">
      <alignment horizontal="right" vertical="center"/>
      <protection locked="0"/>
    </xf>
    <xf numFmtId="3" fontId="10" fillId="2" borderId="30" xfId="49" applyNumberFormat="1" applyFill="1" applyBorder="1" applyAlignment="1" applyProtection="1">
      <alignment horizontal="right" vertical="center"/>
      <protection locked="0"/>
    </xf>
    <xf numFmtId="4" fontId="10" fillId="2" borderId="30" xfId="49" applyNumberFormat="1" applyFill="1" applyBorder="1" applyAlignment="1" applyProtection="1">
      <alignment horizontal="right" vertical="center"/>
      <protection locked="0"/>
    </xf>
    <xf numFmtId="49" fontId="10" fillId="2" borderId="7" xfId="98" applyNumberFormat="1" applyFont="1" applyFill="1" applyBorder="1" applyAlignment="1" applyProtection="1">
      <alignment horizontal="left" vertical="center" wrapText="1"/>
      <protection locked="0"/>
    </xf>
    <xf numFmtId="49" fontId="10" fillId="11" borderId="7" xfId="98" applyNumberFormat="1" applyFont="1" applyFill="1" applyBorder="1" applyAlignment="1" applyProtection="1">
      <alignment horizontal="left" vertical="center" wrapText="1"/>
      <protection locked="0"/>
    </xf>
    <xf numFmtId="0" fontId="63" fillId="0" borderId="30" xfId="102" applyFont="1" applyFill="1" applyBorder="1" applyAlignment="1" applyProtection="1">
      <alignment horizontal="center" vertical="center" wrapText="1"/>
    </xf>
    <xf numFmtId="0" fontId="10" fillId="0" borderId="30" xfId="97" applyFont="1" applyFill="1" applyBorder="1" applyAlignment="1" applyProtection="1">
      <alignment horizontal="center" vertical="center" wrapText="1"/>
    </xf>
    <xf numFmtId="0" fontId="10" fillId="0" borderId="30" xfId="102" applyFont="1" applyFill="1" applyBorder="1" applyAlignment="1" applyProtection="1">
      <alignment horizontal="center" vertical="center" wrapText="1"/>
    </xf>
    <xf numFmtId="0" fontId="14" fillId="0" borderId="30" xfId="97" applyFont="1" applyFill="1" applyBorder="1" applyAlignment="1" applyProtection="1">
      <alignment horizontal="center" vertical="center" wrapText="1"/>
    </xf>
    <xf numFmtId="4" fontId="10" fillId="7" borderId="30" xfId="102" applyNumberFormat="1" applyFont="1" applyFill="1" applyBorder="1" applyAlignment="1" applyProtection="1">
      <alignment horizontal="right" vertical="center"/>
    </xf>
    <xf numFmtId="0" fontId="10" fillId="0" borderId="30" xfId="97" applyFont="1" applyFill="1" applyBorder="1" applyAlignment="1" applyProtection="1">
      <alignment horizontal="center" vertical="center"/>
    </xf>
    <xf numFmtId="0" fontId="10" fillId="0" borderId="30" xfId="97" applyFont="1" applyFill="1" applyBorder="1" applyAlignment="1" applyProtection="1">
      <alignment horizontal="left" vertical="center" wrapText="1"/>
    </xf>
    <xf numFmtId="49" fontId="10" fillId="0" borderId="30" xfId="97" applyNumberFormat="1" applyFont="1" applyBorder="1" applyAlignment="1">
      <alignment horizontal="center" vertical="center"/>
    </xf>
    <xf numFmtId="0" fontId="10" fillId="0" borderId="30" xfId="97" applyFont="1" applyBorder="1" applyAlignment="1">
      <alignment horizontal="left" vertical="center" wrapText="1" indent="1"/>
    </xf>
    <xf numFmtId="0" fontId="78" fillId="0" borderId="9" xfId="102" applyFont="1" applyFill="1" applyBorder="1" applyAlignment="1" applyProtection="1">
      <alignment vertical="center"/>
    </xf>
    <xf numFmtId="0" fontId="78" fillId="0" borderId="9" xfId="102" applyFont="1" applyFill="1" applyBorder="1" applyAlignment="1" applyProtection="1"/>
    <xf numFmtId="0" fontId="77" fillId="0" borderId="9" xfId="102" applyFont="1" applyFill="1" applyBorder="1" applyAlignment="1">
      <alignment vertical="center" wrapText="1"/>
    </xf>
    <xf numFmtId="49" fontId="10"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10"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10" fillId="8" borderId="0" xfId="0" applyFont="1" applyFill="1" applyBorder="1" applyAlignment="1" applyProtection="1">
      <alignment vertical="top"/>
    </xf>
    <xf numFmtId="49" fontId="10" fillId="0" borderId="0" xfId="0" applyFont="1" applyFill="1" applyBorder="1" applyAlignment="1" applyProtection="1">
      <alignment vertical="top"/>
    </xf>
    <xf numFmtId="0" fontId="63" fillId="0" borderId="30" xfId="102" applyFont="1" applyBorder="1" applyAlignment="1">
      <alignment horizontal="right" vertical="center" indent="1"/>
    </xf>
    <xf numFmtId="0" fontId="10" fillId="0" borderId="30" xfId="102" applyFont="1" applyFill="1" applyBorder="1" applyAlignment="1" applyProtection="1">
      <alignment horizontal="left" vertical="center" wrapText="1"/>
    </xf>
    <xf numFmtId="0" fontId="10" fillId="11"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10" fillId="0" borderId="0" xfId="97" applyFont="1" applyFill="1" applyBorder="1" applyAlignment="1" applyProtection="1">
      <alignment vertical="center"/>
    </xf>
    <xf numFmtId="49" fontId="77" fillId="0" borderId="49" xfId="102" applyNumberFormat="1" applyFont="1" applyFill="1" applyBorder="1" applyAlignment="1" applyProtection="1">
      <alignment horizontal="left" vertical="center" wrapText="1" indent="4"/>
    </xf>
    <xf numFmtId="49" fontId="77" fillId="0" borderId="0" xfId="102" applyNumberFormat="1" applyFont="1" applyFill="1" applyBorder="1" applyAlignment="1" applyProtection="1">
      <alignment horizontal="left" vertical="center" wrapText="1" indent="4"/>
    </xf>
    <xf numFmtId="49" fontId="77" fillId="0" borderId="9" xfId="102" applyNumberFormat="1" applyFont="1" applyFill="1" applyBorder="1" applyAlignment="1">
      <alignment horizontal="left" vertical="center" indent="1"/>
    </xf>
    <xf numFmtId="0" fontId="10" fillId="0" borderId="0" xfId="98" applyFont="1" applyFill="1" applyProtection="1"/>
    <xf numFmtId="49" fontId="88" fillId="0" borderId="0" xfId="0" applyFont="1" applyFill="1" applyAlignment="1" applyProtection="1">
      <alignment horizontal="center" vertical="center" wrapText="1"/>
    </xf>
    <xf numFmtId="0" fontId="10" fillId="0" borderId="0" xfId="98" applyFont="1" applyFill="1" applyBorder="1" applyAlignment="1" applyProtection="1">
      <alignment horizontal="center" vertical="center"/>
    </xf>
    <xf numFmtId="49" fontId="10" fillId="0" borderId="0" xfId="98" applyNumberFormat="1" applyFont="1" applyFill="1" applyBorder="1" applyAlignment="1" applyProtection="1">
      <alignment horizontal="left" vertical="center" wrapText="1"/>
    </xf>
    <xf numFmtId="0" fontId="10" fillId="0" borderId="0" xfId="98" applyNumberFormat="1" applyFont="1" applyFill="1" applyBorder="1" applyAlignment="1" applyProtection="1">
      <alignment vertical="center" wrapText="1"/>
    </xf>
    <xf numFmtId="0" fontId="10" fillId="0" borderId="0" xfId="98" applyNumberFormat="1" applyFont="1" applyFill="1" applyBorder="1" applyAlignment="1" applyProtection="1">
      <alignment horizontal="left" vertical="center" wrapText="1"/>
    </xf>
    <xf numFmtId="0" fontId="76" fillId="0" borderId="0" xfId="98" applyFont="1" applyFill="1" applyProtection="1"/>
    <xf numFmtId="0" fontId="12" fillId="9" borderId="30" xfId="102" applyFont="1" applyFill="1" applyBorder="1" applyAlignment="1">
      <alignment horizontal="center" vertical="center" wrapText="1"/>
    </xf>
    <xf numFmtId="49" fontId="77" fillId="0" borderId="9" xfId="102" applyNumberFormat="1" applyFont="1" applyFill="1" applyBorder="1" applyAlignment="1">
      <alignment vertical="center" wrapText="1"/>
    </xf>
    <xf numFmtId="0" fontId="10" fillId="9" borderId="30" xfId="102" applyNumberFormat="1" applyFont="1" applyFill="1" applyBorder="1" applyAlignment="1">
      <alignment horizontal="center" vertical="center" wrapText="1"/>
    </xf>
    <xf numFmtId="0" fontId="10" fillId="0" borderId="30" xfId="102" applyFont="1" applyFill="1" applyBorder="1" applyAlignment="1" applyProtection="1">
      <alignment horizontal="left" vertical="center" wrapText="1" indent="1"/>
    </xf>
    <xf numFmtId="0" fontId="10" fillId="11" borderId="30"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0" fillId="0" borderId="0" xfId="105" applyFont="1" applyBorder="1"/>
    <xf numFmtId="49" fontId="77" fillId="0" borderId="9" xfId="102" applyNumberFormat="1" applyFont="1" applyFill="1" applyBorder="1" applyAlignment="1" applyProtection="1">
      <alignment vertical="center" wrapText="1"/>
    </xf>
    <xf numFmtId="0" fontId="5" fillId="0" borderId="9" xfId="102" applyFill="1" applyBorder="1" applyAlignment="1" applyProtection="1"/>
    <xf numFmtId="49" fontId="77"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2" fillId="0" borderId="7" xfId="105" applyFont="1" applyBorder="1" applyAlignment="1">
      <alignment horizontal="center" vertical="center"/>
    </xf>
    <xf numFmtId="0" fontId="12" fillId="0" borderId="7" xfId="105" applyFont="1" applyFill="1" applyBorder="1" applyAlignment="1" applyProtection="1">
      <alignment vertical="center" wrapText="1"/>
    </xf>
    <xf numFmtId="0" fontId="10" fillId="0" borderId="7" xfId="105" applyFont="1" applyFill="1" applyBorder="1" applyAlignment="1" applyProtection="1">
      <alignment horizontal="center" vertical="center"/>
    </xf>
    <xf numFmtId="4" fontId="12" fillId="43" borderId="7" xfId="105" applyNumberFormat="1" applyFont="1" applyFill="1" applyBorder="1" applyAlignment="1">
      <alignment horizontal="right" vertical="center"/>
    </xf>
    <xf numFmtId="0" fontId="10" fillId="0" borderId="7" xfId="105" applyFont="1" applyBorder="1" applyAlignment="1">
      <alignment horizontal="center" vertical="center"/>
    </xf>
    <xf numFmtId="0" fontId="10" fillId="0" borderId="7" xfId="105" applyFont="1" applyFill="1" applyBorder="1" applyAlignment="1" applyProtection="1">
      <alignment horizontal="left" vertical="center" wrapText="1" indent="1"/>
    </xf>
    <xf numFmtId="4" fontId="10" fillId="2" borderId="7" xfId="105" applyNumberFormat="1" applyFont="1" applyFill="1" applyBorder="1" applyAlignment="1" applyProtection="1">
      <alignment horizontal="right" vertical="center"/>
      <protection locked="0"/>
    </xf>
    <xf numFmtId="0" fontId="12" fillId="0" borderId="7" xfId="105" applyFont="1" applyFill="1" applyBorder="1" applyAlignment="1" applyProtection="1">
      <alignment horizontal="center" vertical="center"/>
    </xf>
    <xf numFmtId="4" fontId="12" fillId="0" borderId="7" xfId="105" applyNumberFormat="1" applyFont="1" applyFill="1" applyBorder="1" applyAlignment="1" applyProtection="1">
      <alignment horizontal="right" vertical="center"/>
    </xf>
    <xf numFmtId="0" fontId="5" fillId="0" borderId="9" xfId="102" applyFill="1" applyBorder="1" applyAlignment="1" applyProtection="1">
      <alignment vertical="center" wrapText="1"/>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xf>
    <xf numFmtId="0" fontId="12" fillId="0" borderId="7" xfId="102" applyFont="1" applyFill="1" applyBorder="1" applyAlignment="1" applyProtection="1">
      <alignment horizontal="center" vertical="center"/>
    </xf>
    <xf numFmtId="49" fontId="10" fillId="0" borderId="7" xfId="102" applyNumberFormat="1" applyFont="1" applyBorder="1" applyAlignment="1">
      <alignment horizontal="center" vertical="center"/>
    </xf>
    <xf numFmtId="0" fontId="10" fillId="0" borderId="7" xfId="102" applyFont="1" applyFill="1" applyBorder="1" applyAlignment="1" applyProtection="1">
      <alignment horizontal="left" vertical="center" wrapText="1" indent="1"/>
    </xf>
    <xf numFmtId="0" fontId="10" fillId="0" borderId="7" xfId="102" applyFont="1" applyFill="1" applyBorder="1" applyAlignment="1" applyProtection="1">
      <alignment horizontal="center" vertical="center"/>
    </xf>
    <xf numFmtId="0" fontId="10" fillId="0" borderId="7" xfId="102" applyFont="1" applyBorder="1" applyAlignment="1">
      <alignment horizontal="left" vertical="center" wrapText="1" indent="2"/>
    </xf>
    <xf numFmtId="4" fontId="10"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10"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5" fillId="0" borderId="9" xfId="102" applyFill="1" applyBorder="1" applyAlignment="1">
      <alignment vertical="center"/>
    </xf>
    <xf numFmtId="0" fontId="5" fillId="0" borderId="9" xfId="102" applyFill="1" applyBorder="1" applyAlignment="1"/>
    <xf numFmtId="49" fontId="13" fillId="0" borderId="0" xfId="105" applyNumberFormat="1" applyFont="1"/>
    <xf numFmtId="49" fontId="13"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0" fillId="0" borderId="7" xfId="105" applyFont="1" applyFill="1" applyBorder="1" applyAlignment="1" applyProtection="1"/>
    <xf numFmtId="49" fontId="10" fillId="0" borderId="7" xfId="105" applyNumberFormat="1" applyFont="1" applyBorder="1" applyAlignment="1">
      <alignment horizontal="center" vertical="center"/>
    </xf>
    <xf numFmtId="16" fontId="10" fillId="0" borderId="7" xfId="105" applyNumberFormat="1" applyFont="1" applyBorder="1" applyAlignment="1">
      <alignment horizontal="center" vertical="center"/>
    </xf>
    <xf numFmtId="0" fontId="10" fillId="0" borderId="7" xfId="105" applyFont="1" applyFill="1" applyBorder="1" applyAlignment="1" applyProtection="1">
      <alignment horizontal="left" vertical="center" wrapText="1" indent="2"/>
    </xf>
    <xf numFmtId="4" fontId="12"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5"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10" fillId="0" borderId="7" xfId="102" applyNumberFormat="1" applyFont="1" applyFill="1" applyBorder="1" applyAlignment="1" applyProtection="1">
      <alignment horizontal="center" vertical="center"/>
    </xf>
    <xf numFmtId="4" fontId="77" fillId="43" borderId="7" xfId="102" applyNumberFormat="1" applyFont="1" applyFill="1" applyBorder="1" applyAlignment="1">
      <alignment horizontal="right" vertical="center" wrapText="1"/>
    </xf>
    <xf numFmtId="4" fontId="10"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2"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10"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7"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7" fillId="0" borderId="7" xfId="107" applyFont="1" applyFill="1" applyBorder="1" applyAlignment="1" applyProtection="1">
      <alignment vertical="center" wrapText="1"/>
    </xf>
    <xf numFmtId="0" fontId="77"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7" fillId="0" borderId="7" xfId="107" applyNumberFormat="1" applyFont="1" applyFill="1" applyBorder="1" applyAlignment="1" applyProtection="1">
      <alignment horizontal="center" vertical="center"/>
    </xf>
    <xf numFmtId="0" fontId="77" fillId="0" borderId="7" xfId="107" applyFont="1" applyFill="1" applyBorder="1" applyAlignment="1" applyProtection="1">
      <alignment horizontal="center" vertical="center"/>
    </xf>
    <xf numFmtId="0" fontId="77"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0" fillId="0" borderId="7" xfId="107" applyNumberFormat="1" applyFont="1" applyBorder="1" applyAlignment="1">
      <alignment horizontal="center" vertical="center" wrapText="1"/>
    </xf>
    <xf numFmtId="49" fontId="10" fillId="0" borderId="7" xfId="107" applyNumberFormat="1" applyFont="1" applyBorder="1" applyAlignment="1">
      <alignment horizontal="left" vertical="center" wrapText="1"/>
    </xf>
    <xf numFmtId="0" fontId="14" fillId="0" borderId="7" xfId="107" applyFont="1" applyBorder="1" applyAlignment="1">
      <alignment horizontal="center" vertical="center" wrapText="1"/>
    </xf>
    <xf numFmtId="49" fontId="77" fillId="0" borderId="9" xfId="106" applyNumberFormat="1" applyFont="1" applyFill="1" applyBorder="1" applyAlignment="1" applyProtection="1">
      <alignment vertical="center" wrapText="1"/>
    </xf>
    <xf numFmtId="49" fontId="12" fillId="0" borderId="7" xfId="107" applyNumberFormat="1" applyFont="1" applyFill="1" applyBorder="1" applyAlignment="1" applyProtection="1">
      <alignment horizontal="left" vertical="center" wrapText="1"/>
    </xf>
    <xf numFmtId="49" fontId="12"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xf>
    <xf numFmtId="49" fontId="10"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indent="1"/>
    </xf>
    <xf numFmtId="4" fontId="77" fillId="43" borderId="7" xfId="107" applyNumberFormat="1" applyFont="1" applyFill="1" applyBorder="1" applyAlignment="1">
      <alignment horizontal="right" vertical="center" wrapText="1"/>
    </xf>
    <xf numFmtId="4" fontId="20"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4" fillId="2" borderId="7" xfId="107" applyNumberFormat="1" applyFont="1" applyFill="1" applyBorder="1" applyAlignment="1" applyProtection="1">
      <alignment horizontal="right" vertical="center" wrapText="1"/>
      <protection locked="0"/>
    </xf>
    <xf numFmtId="49" fontId="12"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5" fillId="0" borderId="9" xfId="106" applyFill="1" applyBorder="1" applyAlignment="1" applyProtection="1">
      <alignment wrapText="1"/>
    </xf>
    <xf numFmtId="4" fontId="5"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0" fontId="63" fillId="0" borderId="0" xfId="107" applyFont="1" applyAlignment="1">
      <alignment vertical="center"/>
    </xf>
    <xf numFmtId="49" fontId="65" fillId="0" borderId="9" xfId="106" applyNumberFormat="1" applyFont="1" applyFill="1" applyBorder="1" applyAlignment="1" applyProtection="1">
      <alignment vertical="center"/>
    </xf>
    <xf numFmtId="0" fontId="89" fillId="51" borderId="29" xfId="0" applyNumberFormat="1" applyFont="1" applyFill="1" applyBorder="1" applyAlignment="1">
      <alignment horizontal="left" vertical="center"/>
    </xf>
    <xf numFmtId="0" fontId="89" fillId="51" borderId="0" xfId="0" applyNumberFormat="1" applyFont="1" applyFill="1" applyBorder="1" applyAlignment="1">
      <alignment horizontal="left" vertical="center"/>
    </xf>
    <xf numFmtId="49" fontId="13"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10"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7"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4" fontId="10" fillId="7" borderId="7" xfId="102" applyNumberFormat="1" applyFont="1" applyFill="1" applyBorder="1" applyAlignment="1" applyProtection="1">
      <alignment horizontal="right" vertical="center"/>
    </xf>
    <xf numFmtId="49" fontId="13" fillId="48" borderId="0" xfId="99" applyFont="1" applyFill="1" applyAlignment="1" applyProtection="1">
      <alignment vertical="center" wrapText="1"/>
      <protection locked="0"/>
    </xf>
    <xf numFmtId="49" fontId="87" fillId="49" borderId="55" xfId="0" applyFont="1" applyFill="1" applyBorder="1" applyAlignment="1">
      <alignment horizontal="left" vertical="center" indent="1"/>
    </xf>
    <xf numFmtId="49" fontId="10"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64" xfId="0" applyFont="1" applyFill="1" applyBorder="1" applyAlignment="1" applyProtection="1">
      <alignment horizontal="left" vertical="center" wrapText="1" indent="1"/>
    </xf>
    <xf numFmtId="49" fontId="87" fillId="49" borderId="53" xfId="0" applyFont="1" applyFill="1" applyBorder="1" applyAlignment="1" applyProtection="1">
      <alignment horizontal="left" vertical="center" wrapText="1" indent="1"/>
    </xf>
    <xf numFmtId="49" fontId="87" fillId="49" borderId="64" xfId="0" applyFont="1" applyFill="1" applyBorder="1" applyAlignment="1" applyProtection="1">
      <alignment horizontal="left" vertical="center" wrapText="1"/>
    </xf>
    <xf numFmtId="49" fontId="87" fillId="49" borderId="63" xfId="0" applyFont="1" applyFill="1" applyBorder="1" applyAlignment="1" applyProtection="1">
      <alignment horizontal="left" vertical="center" wrapText="1"/>
    </xf>
    <xf numFmtId="0" fontId="10"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10" fillId="45" borderId="0" xfId="102" applyNumberFormat="1" applyFont="1" applyFill="1" applyBorder="1" applyAlignment="1" applyProtection="1">
      <alignment horizontal="right" vertical="center"/>
    </xf>
    <xf numFmtId="49" fontId="94" fillId="45" borderId="5" xfId="102" applyNumberFormat="1" applyFont="1" applyFill="1" applyBorder="1" applyAlignment="1">
      <alignment horizontal="center" vertical="center" wrapText="1"/>
    </xf>
    <xf numFmtId="49" fontId="10" fillId="45" borderId="8" xfId="102" applyNumberFormat="1" applyFont="1" applyFill="1" applyBorder="1" applyAlignment="1" applyProtection="1">
      <alignment horizontal="left" vertical="center"/>
    </xf>
    <xf numFmtId="49" fontId="70" fillId="45" borderId="31" xfId="99" applyFont="1" applyFill="1" applyBorder="1" applyAlignment="1">
      <alignment horizontal="left" vertical="center" indent="1"/>
    </xf>
    <xf numFmtId="49" fontId="10" fillId="45" borderId="32" xfId="99" applyFont="1" applyFill="1" applyBorder="1" applyAlignment="1">
      <alignment horizontal="left" vertical="center" indent="1"/>
    </xf>
    <xf numFmtId="49" fontId="70" fillId="45" borderId="32" xfId="99" applyFont="1" applyFill="1" applyBorder="1" applyAlignment="1">
      <alignment horizontal="left" vertical="center" indent="1"/>
    </xf>
    <xf numFmtId="49" fontId="70"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0" fillId="7" borderId="7" xfId="105" applyFont="1" applyFill="1" applyBorder="1" applyAlignment="1" applyProtection="1">
      <alignment horizontal="left" vertical="center" wrapText="1" indent="1"/>
    </xf>
    <xf numFmtId="0" fontId="13" fillId="49" borderId="0" xfId="97" applyFont="1" applyFill="1" applyAlignment="1" applyProtection="1">
      <alignment vertical="center"/>
    </xf>
    <xf numFmtId="169" fontId="63" fillId="2" borderId="30" xfId="97" applyNumberFormat="1" applyFont="1" applyFill="1" applyBorder="1" applyAlignment="1" applyProtection="1">
      <alignment horizontal="right" vertical="center"/>
      <protection locked="0"/>
    </xf>
    <xf numFmtId="169" fontId="70" fillId="45" borderId="32" xfId="99" applyNumberFormat="1" applyFont="1" applyFill="1" applyBorder="1" applyAlignment="1">
      <alignment horizontal="left" vertical="center" indent="1"/>
    </xf>
    <xf numFmtId="169" fontId="14"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10" fillId="2" borderId="30" xfId="102" applyNumberFormat="1" applyFont="1" applyFill="1" applyBorder="1" applyAlignment="1" applyProtection="1">
      <alignment horizontal="right" vertical="center"/>
      <protection locked="0"/>
    </xf>
    <xf numFmtId="169" fontId="14" fillId="7" borderId="30" xfId="104" applyNumberFormat="1" applyFont="1" applyFill="1" applyBorder="1" applyAlignment="1" applyProtection="1">
      <alignment horizontal="right" vertical="center"/>
    </xf>
    <xf numFmtId="169" fontId="14" fillId="0" borderId="30" xfId="104" applyNumberFormat="1" applyFont="1" applyFill="1" applyBorder="1" applyAlignment="1" applyProtection="1">
      <alignment horizontal="right" vertical="center"/>
    </xf>
    <xf numFmtId="169" fontId="10" fillId="2"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xf>
    <xf numFmtId="172" fontId="14" fillId="7" borderId="30" xfId="104" applyNumberFormat="1" applyFont="1" applyFill="1" applyBorder="1" applyAlignment="1" applyProtection="1">
      <alignment horizontal="right" vertical="center"/>
    </xf>
    <xf numFmtId="172" fontId="70" fillId="45" borderId="32" xfId="99" applyNumberFormat="1" applyFont="1" applyFill="1" applyBorder="1" applyAlignment="1">
      <alignment horizontal="left" vertical="center" indent="1"/>
    </xf>
    <xf numFmtId="172" fontId="14" fillId="0" borderId="30" xfId="104" applyNumberFormat="1" applyFont="1" applyFill="1" applyBorder="1" applyAlignment="1" applyProtection="1">
      <alignment horizontal="right" vertical="center"/>
    </xf>
    <xf numFmtId="169" fontId="70" fillId="45" borderId="33" xfId="99" applyNumberFormat="1" applyFont="1" applyFill="1" applyBorder="1" applyAlignment="1">
      <alignment horizontal="left" vertical="center" indent="1"/>
    </xf>
    <xf numFmtId="169" fontId="63" fillId="7" borderId="7" xfId="107" applyNumberFormat="1" applyFont="1" applyFill="1" applyBorder="1" applyAlignment="1" applyProtection="1">
      <alignment horizontal="right" vertical="center" wrapText="1"/>
    </xf>
    <xf numFmtId="49" fontId="63" fillId="2" borderId="30" xfId="97" applyNumberFormat="1" applyFont="1" applyFill="1" applyBorder="1" applyAlignment="1" applyProtection="1">
      <alignment horizontal="left" vertical="center" wrapText="1"/>
      <protection locked="0"/>
    </xf>
    <xf numFmtId="49" fontId="10" fillId="2" borderId="30" xfId="102" applyNumberFormat="1" applyFont="1" applyFill="1" applyBorder="1" applyAlignment="1" applyProtection="1">
      <alignment horizontal="left" vertical="center" wrapText="1"/>
      <protection locked="0"/>
    </xf>
    <xf numFmtId="49" fontId="77" fillId="0" borderId="9" xfId="106" applyNumberFormat="1" applyFont="1" applyFill="1" applyBorder="1" applyAlignment="1" applyProtection="1">
      <alignment horizontal="left" vertical="center" wrapText="1" indent="1"/>
    </xf>
    <xf numFmtId="0" fontId="12" fillId="7" borderId="31" xfId="106" applyNumberFormat="1" applyFont="1" applyFill="1" applyBorder="1" applyAlignment="1">
      <alignment horizontal="left" vertical="center" indent="1"/>
    </xf>
    <xf numFmtId="0" fontId="12" fillId="7" borderId="32" xfId="106" applyNumberFormat="1" applyFont="1" applyFill="1" applyBorder="1" applyAlignment="1">
      <alignment vertical="center" wrapText="1"/>
    </xf>
    <xf numFmtId="0" fontId="12" fillId="7" borderId="33" xfId="106" applyNumberFormat="1" applyFont="1" applyFill="1" applyBorder="1" applyAlignment="1">
      <alignment vertical="center" wrapText="1"/>
    </xf>
    <xf numFmtId="49" fontId="12" fillId="7" borderId="32" xfId="106" applyNumberFormat="1" applyFont="1" applyFill="1" applyBorder="1" applyAlignment="1">
      <alignment vertical="center" wrapText="1"/>
    </xf>
    <xf numFmtId="49" fontId="12" fillId="7" borderId="33" xfId="106" applyNumberFormat="1" applyFont="1" applyFill="1" applyBorder="1" applyAlignment="1">
      <alignment vertical="center" wrapText="1"/>
    </xf>
    <xf numFmtId="0" fontId="10" fillId="45" borderId="31" xfId="106" applyFont="1" applyFill="1" applyBorder="1" applyAlignment="1">
      <alignment horizontal="left" vertical="center" wrapText="1"/>
    </xf>
    <xf numFmtId="0" fontId="10" fillId="45" borderId="32" xfId="49" applyFont="1" applyFill="1" applyBorder="1" applyAlignment="1">
      <alignment horizontal="center" vertical="center"/>
    </xf>
    <xf numFmtId="0" fontId="10" fillId="45" borderId="32" xfId="106" applyFont="1" applyFill="1" applyBorder="1" applyAlignment="1">
      <alignment horizontal="left" vertical="center" indent="1"/>
    </xf>
    <xf numFmtId="0" fontId="10" fillId="45" borderId="33" xfId="106" applyFont="1" applyFill="1" applyBorder="1" applyAlignment="1">
      <alignment horizontal="left" vertical="center" indent="1"/>
    </xf>
    <xf numFmtId="0" fontId="77" fillId="0" borderId="0" xfId="106" applyFont="1" applyAlignment="1">
      <alignment vertical="center"/>
    </xf>
    <xf numFmtId="0" fontId="12" fillId="0" borderId="30" xfId="106" applyFont="1" applyBorder="1" applyAlignment="1">
      <alignment horizontal="left" vertical="center" wrapText="1"/>
    </xf>
    <xf numFmtId="0" fontId="12" fillId="0" borderId="30" xfId="49" applyFont="1" applyBorder="1" applyAlignment="1">
      <alignment horizontal="center" vertical="center" wrapText="1"/>
    </xf>
    <xf numFmtId="4" fontId="77" fillId="2" borderId="30" xfId="106" applyNumberFormat="1" applyFont="1" applyFill="1" applyBorder="1" applyAlignment="1" applyProtection="1">
      <alignment horizontal="right" vertical="center"/>
      <protection locked="0"/>
    </xf>
    <xf numFmtId="4" fontId="12" fillId="43" borderId="30" xfId="106" applyNumberFormat="1" applyFont="1" applyFill="1" applyBorder="1" applyAlignment="1">
      <alignment vertical="center"/>
    </xf>
    <xf numFmtId="0" fontId="10" fillId="0" borderId="30" xfId="106" applyFont="1" applyBorder="1" applyAlignment="1">
      <alignment horizontal="left" vertical="center" wrapText="1"/>
    </xf>
    <xf numFmtId="0" fontId="10" fillId="0" borderId="30" xfId="49" applyFont="1" applyBorder="1" applyAlignment="1">
      <alignment horizontal="center" vertical="center" wrapText="1"/>
    </xf>
    <xf numFmtId="4" fontId="10" fillId="7" borderId="7" xfId="0" applyNumberFormat="1" applyFont="1" applyFill="1" applyBorder="1" applyAlignment="1">
      <alignment horizontal="right" vertical="center" wrapText="1"/>
    </xf>
    <xf numFmtId="4" fontId="10"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10" fillId="2" borderId="30" xfId="106" applyNumberFormat="1" applyFont="1" applyFill="1" applyBorder="1" applyAlignment="1" applyProtection="1">
      <alignment vertical="center"/>
      <protection locked="0"/>
    </xf>
    <xf numFmtId="0" fontId="12" fillId="0" borderId="30" xfId="106" applyFont="1" applyFill="1" applyBorder="1" applyAlignment="1" applyProtection="1">
      <alignment horizontal="left" vertical="center" wrapText="1"/>
    </xf>
    <xf numFmtId="0" fontId="10" fillId="0" borderId="32" xfId="49" applyFont="1" applyFill="1" applyBorder="1" applyAlignment="1" applyProtection="1">
      <alignment horizontal="center" vertical="center"/>
    </xf>
    <xf numFmtId="0" fontId="10" fillId="0" borderId="32" xfId="106" applyFont="1" applyFill="1" applyBorder="1" applyAlignment="1" applyProtection="1">
      <alignment horizontal="left" vertical="center" indent="1"/>
    </xf>
    <xf numFmtId="0" fontId="10" fillId="0" borderId="33" xfId="106" applyFont="1" applyFill="1" applyBorder="1" applyAlignment="1" applyProtection="1">
      <alignment horizontal="left" vertical="center" indent="1"/>
    </xf>
    <xf numFmtId="0" fontId="10" fillId="0" borderId="30" xfId="106" applyFont="1" applyBorder="1" applyAlignment="1">
      <alignment horizontal="left" vertical="center" wrapText="1" indent="1"/>
    </xf>
    <xf numFmtId="49" fontId="12" fillId="0" borderId="7" xfId="106" applyNumberFormat="1" applyFont="1" applyBorder="1" applyAlignment="1">
      <alignment horizontal="center" vertical="center" wrapText="1"/>
    </xf>
    <xf numFmtId="0" fontId="12" fillId="0" borderId="7" xfId="106" applyFont="1" applyBorder="1" applyAlignment="1">
      <alignment vertical="center" wrapText="1"/>
    </xf>
    <xf numFmtId="0" fontId="12" fillId="0" borderId="7" xfId="106" applyFont="1" applyBorder="1" applyAlignment="1">
      <alignment horizontal="center" vertical="center" wrapText="1"/>
    </xf>
    <xf numFmtId="4" fontId="77" fillId="7" borderId="7" xfId="106" applyNumberFormat="1" applyFont="1" applyFill="1" applyBorder="1" applyAlignment="1">
      <alignment horizontal="right" vertical="center"/>
    </xf>
    <xf numFmtId="4" fontId="77"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7" fillId="0" borderId="7" xfId="106" applyNumberFormat="1" applyFont="1" applyBorder="1" applyAlignment="1">
      <alignment horizontal="center" vertical="center"/>
    </xf>
    <xf numFmtId="0" fontId="77" fillId="0" borderId="7" xfId="106" applyFont="1" applyBorder="1" applyAlignment="1">
      <alignment horizontal="center" vertical="center"/>
    </xf>
    <xf numFmtId="4" fontId="77" fillId="7" borderId="7" xfId="106" applyNumberFormat="1" applyFont="1" applyFill="1" applyBorder="1" applyAlignment="1" applyProtection="1">
      <alignment horizontal="right" vertical="center"/>
    </xf>
    <xf numFmtId="0" fontId="77" fillId="0" borderId="7" xfId="106" applyFont="1" applyBorder="1" applyAlignment="1">
      <alignment vertical="center" wrapText="1"/>
    </xf>
    <xf numFmtId="4" fontId="77" fillId="43" borderId="7" xfId="106" applyNumberFormat="1" applyFont="1" applyFill="1" applyBorder="1" applyAlignment="1" applyProtection="1">
      <alignment horizontal="right" vertical="center"/>
    </xf>
    <xf numFmtId="4" fontId="77" fillId="2" borderId="7" xfId="106" applyNumberFormat="1" applyFont="1" applyFill="1" applyBorder="1" applyAlignment="1" applyProtection="1">
      <alignment horizontal="right" vertical="center"/>
      <protection locked="0"/>
    </xf>
    <xf numFmtId="49" fontId="63" fillId="44" borderId="7" xfId="106" applyNumberFormat="1" applyFont="1" applyFill="1" applyBorder="1" applyAlignment="1">
      <alignment horizontal="center" vertical="center"/>
    </xf>
    <xf numFmtId="4" fontId="77"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4" fontId="12" fillId="2" borderId="7" xfId="106" applyNumberFormat="1" applyFont="1" applyFill="1" applyBorder="1" applyAlignment="1" applyProtection="1">
      <alignment vertical="center"/>
      <protection locked="0"/>
    </xf>
    <xf numFmtId="0" fontId="10" fillId="0" borderId="7" xfId="106" applyFont="1" applyBorder="1" applyAlignment="1">
      <alignment horizontal="left" vertical="center" wrapText="1"/>
    </xf>
    <xf numFmtId="0" fontId="10" fillId="0" borderId="7" xfId="49" applyFont="1" applyBorder="1" applyAlignment="1">
      <alignment horizontal="center" vertical="center" wrapText="1"/>
    </xf>
    <xf numFmtId="0" fontId="10" fillId="43" borderId="7" xfId="106" applyFont="1" applyFill="1" applyBorder="1" applyAlignment="1">
      <alignment vertical="center"/>
    </xf>
    <xf numFmtId="0" fontId="10" fillId="11" borderId="30" xfId="106" applyFont="1" applyFill="1" applyBorder="1" applyAlignment="1" applyProtection="1">
      <alignment horizontal="left" vertical="center" wrapText="1"/>
      <protection locked="0"/>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2" xfId="106" applyFont="1" applyBorder="1" applyAlignment="1">
      <alignment horizontal="center" vertical="center" wrapText="1"/>
    </xf>
    <xf numFmtId="4" fontId="63" fillId="2" borderId="67"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0" fontId="94" fillId="45" borderId="32" xfId="99" applyNumberFormat="1" applyFont="1" applyFill="1" applyBorder="1" applyAlignment="1">
      <alignment horizontal="left" vertical="center" indent="1"/>
    </xf>
    <xf numFmtId="4" fontId="95"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49" fontId="87" fillId="49" borderId="55" xfId="0" applyFont="1" applyFill="1" applyBorder="1" applyAlignment="1">
      <alignment horizontal="left" vertical="center"/>
    </xf>
    <xf numFmtId="49" fontId="77"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10" fillId="0" borderId="7" xfId="106" applyFont="1" applyBorder="1" applyAlignment="1">
      <alignment horizontal="left" vertical="center" wrapText="1" indent="1"/>
    </xf>
    <xf numFmtId="169" fontId="10"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7"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4" fillId="2" borderId="7" xfId="107" applyNumberFormat="1" applyFont="1" applyFill="1" applyBorder="1" applyAlignment="1" applyProtection="1">
      <alignment horizontal="right" vertical="center" wrapText="1"/>
      <protection locked="0"/>
    </xf>
    <xf numFmtId="0" fontId="12" fillId="0" borderId="9" xfId="99" quotePrefix="1" applyNumberFormat="1" applyFont="1" applyFill="1" applyBorder="1" applyAlignment="1" applyProtection="1">
      <alignment horizontal="left" vertical="center" indent="1"/>
    </xf>
    <xf numFmtId="0" fontId="77" fillId="0" borderId="9" xfId="102" quotePrefix="1" applyFont="1" applyFill="1" applyBorder="1" applyAlignment="1">
      <alignment horizontal="left" vertical="center" indent="1"/>
    </xf>
    <xf numFmtId="49" fontId="77" fillId="0" borderId="9" xfId="102" quotePrefix="1" applyNumberFormat="1" applyFont="1" applyFill="1" applyBorder="1" applyAlignment="1">
      <alignment horizontal="left" vertical="center" indent="1"/>
    </xf>
    <xf numFmtId="49" fontId="77" fillId="0" borderId="9" xfId="102" quotePrefix="1" applyNumberFormat="1" applyFont="1" applyFill="1" applyBorder="1" applyAlignment="1" applyProtection="1">
      <alignment horizontal="left" vertical="center" indent="1"/>
    </xf>
    <xf numFmtId="49" fontId="77" fillId="0" borderId="9" xfId="106" quotePrefix="1" applyNumberFormat="1" applyFont="1" applyFill="1" applyBorder="1" applyAlignment="1" applyProtection="1">
      <alignment horizontal="left" vertical="center" indent="1"/>
    </xf>
    <xf numFmtId="0" fontId="24" fillId="0" borderId="0" xfId="110" applyFont="1"/>
    <xf numFmtId="0" fontId="24" fillId="0" borderId="0" xfId="110" applyFont="1" applyFill="1"/>
    <xf numFmtId="0" fontId="25" fillId="0" borderId="9" xfId="110" applyFont="1" applyFill="1" applyBorder="1" applyAlignment="1">
      <alignment horizontal="left" vertical="center" indent="1"/>
    </xf>
    <xf numFmtId="0" fontId="24" fillId="0" borderId="9" xfId="110" applyFont="1" applyFill="1" applyBorder="1"/>
    <xf numFmtId="0" fontId="24" fillId="0" borderId="0" xfId="110" applyFont="1" applyFill="1" applyAlignment="1">
      <alignment vertical="center"/>
    </xf>
    <xf numFmtId="49" fontId="13"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10" fillId="0" borderId="30" xfId="97" applyFont="1" applyBorder="1" applyAlignment="1">
      <alignment vertical="center" wrapText="1"/>
    </xf>
    <xf numFmtId="0" fontId="10" fillId="0" borderId="33" xfId="102" applyFont="1" applyBorder="1" applyAlignment="1">
      <alignment horizontal="left" vertical="center" wrapText="1" indent="1"/>
    </xf>
    <xf numFmtId="0" fontId="10"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10"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10" fillId="0" borderId="70" xfId="97" applyFont="1" applyBorder="1" applyAlignment="1">
      <alignment vertical="center" wrapText="1"/>
    </xf>
    <xf numFmtId="0" fontId="10" fillId="0" borderId="70" xfId="97" applyFont="1" applyBorder="1" applyAlignment="1">
      <alignment horizontal="left" vertical="center" wrapText="1" indent="1"/>
    </xf>
    <xf numFmtId="0" fontId="10"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10"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10" fillId="0" borderId="7" xfId="97" applyFont="1" applyBorder="1" applyAlignment="1">
      <alignment vertical="center" wrapText="1"/>
    </xf>
    <xf numFmtId="0" fontId="10"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10" fillId="7" borderId="30" xfId="102" applyNumberFormat="1" applyFont="1" applyFill="1" applyBorder="1" applyAlignment="1">
      <alignment horizontal="right" vertical="center"/>
    </xf>
    <xf numFmtId="169" fontId="10" fillId="43" borderId="30" xfId="102" applyNumberFormat="1" applyFont="1" applyFill="1" applyBorder="1" applyAlignment="1">
      <alignment horizontal="right" vertical="center"/>
    </xf>
    <xf numFmtId="169" fontId="10" fillId="0" borderId="0" xfId="0" applyNumberFormat="1" applyFont="1" applyFill="1" applyBorder="1" applyAlignment="1" applyProtection="1">
      <alignment vertical="top"/>
    </xf>
    <xf numFmtId="169" fontId="16"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2" fillId="0" borderId="7" xfId="105" applyFont="1" applyBorder="1" applyAlignment="1">
      <alignment vertical="center" wrapText="1"/>
    </xf>
    <xf numFmtId="169" fontId="77" fillId="43" borderId="7" xfId="106" applyNumberFormat="1" applyFont="1" applyFill="1" applyBorder="1" applyAlignment="1">
      <alignment horizontal="right" vertical="center"/>
    </xf>
    <xf numFmtId="169" fontId="10" fillId="7" borderId="30" xfId="106" applyNumberFormat="1" applyFont="1" applyFill="1" applyBorder="1" applyAlignment="1" applyProtection="1">
      <alignment vertical="center"/>
    </xf>
    <xf numFmtId="169" fontId="10" fillId="43" borderId="30" xfId="106" applyNumberFormat="1" applyFont="1" applyFill="1" applyBorder="1" applyAlignment="1">
      <alignment vertical="center"/>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2" fillId="0" borderId="0" xfId="114"/>
    <xf numFmtId="49" fontId="12" fillId="50" borderId="0" xfId="0" applyFont="1" applyFill="1" applyBorder="1" applyAlignment="1">
      <alignment vertical="center"/>
    </xf>
    <xf numFmtId="49" fontId="10" fillId="50" borderId="0" xfId="0" applyFont="1" applyFill="1" applyBorder="1">
      <alignment vertical="top"/>
    </xf>
    <xf numFmtId="0" fontId="16" fillId="50" borderId="0" xfId="0" applyNumberFormat="1" applyFont="1" applyFill="1" applyBorder="1">
      <alignment vertical="top"/>
    </xf>
    <xf numFmtId="49" fontId="16" fillId="50" borderId="0" xfId="0" applyFont="1" applyFill="1" applyBorder="1">
      <alignment vertical="top"/>
    </xf>
    <xf numFmtId="49" fontId="10" fillId="0" borderId="0" xfId="0" applyFont="1" applyBorder="1">
      <alignment vertical="top"/>
    </xf>
    <xf numFmtId="0" fontId="16" fillId="0" borderId="0" xfId="0" applyNumberFormat="1" applyFont="1" applyBorder="1">
      <alignment vertical="top"/>
    </xf>
    <xf numFmtId="49" fontId="16" fillId="0" borderId="0" xfId="0" applyFont="1" applyBorder="1">
      <alignment vertical="top"/>
    </xf>
    <xf numFmtId="0" fontId="63" fillId="0" borderId="0" xfId="112" applyFont="1" applyAlignment="1">
      <alignment horizontal="center" vertical="center" wrapText="1"/>
    </xf>
    <xf numFmtId="49" fontId="10" fillId="9" borderId="7" xfId="112" applyNumberFormat="1" applyFont="1" applyFill="1" applyBorder="1" applyAlignment="1">
      <alignment horizontal="center" vertical="center" wrapText="1"/>
    </xf>
    <xf numFmtId="0" fontId="10" fillId="0" borderId="7" xfId="105" applyFont="1" applyBorder="1" applyAlignment="1">
      <alignment vertical="center" wrapText="1"/>
    </xf>
    <xf numFmtId="0" fontId="10"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2"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10" fillId="0" borderId="0" xfId="99" applyNumberFormat="1" applyAlignment="1">
      <alignment vertical="center"/>
    </xf>
    <xf numFmtId="0" fontId="10"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10" fillId="43" borderId="7" xfId="105" applyNumberFormat="1" applyFont="1" applyFill="1" applyBorder="1" applyAlignment="1">
      <alignment horizontal="right" vertical="center"/>
    </xf>
    <xf numFmtId="0" fontId="10" fillId="9" borderId="7" xfId="112" applyFont="1" applyFill="1" applyBorder="1" applyAlignment="1">
      <alignment horizontal="center" vertical="center" wrapText="1"/>
    </xf>
    <xf numFmtId="0" fontId="10" fillId="0" borderId="7" xfId="105" applyFont="1" applyBorder="1" applyAlignment="1">
      <alignment horizontal="left" vertical="center" wrapText="1" indent="2"/>
    </xf>
    <xf numFmtId="0" fontId="63" fillId="0" borderId="0" xfId="114" applyFont="1" applyAlignment="1">
      <alignment horizontal="center" vertical="center" wrapText="1"/>
    </xf>
    <xf numFmtId="49" fontId="10"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10"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6" fillId="0" borderId="0" xfId="0" applyNumberFormat="1" applyFont="1" applyBorder="1" applyAlignment="1">
      <alignment horizontal="right" vertical="center"/>
    </xf>
    <xf numFmtId="4" fontId="10" fillId="0" borderId="0" xfId="0" applyNumberFormat="1" applyFont="1" applyBorder="1" applyAlignment="1">
      <alignment horizontal="right" vertical="center"/>
    </xf>
    <xf numFmtId="0" fontId="89" fillId="51" borderId="6" xfId="114" applyFont="1" applyFill="1" applyBorder="1" applyAlignment="1">
      <alignment horizontal="left" vertical="center"/>
    </xf>
    <xf numFmtId="4" fontId="95" fillId="51" borderId="6" xfId="114" applyNumberFormat="1" applyFont="1" applyFill="1" applyBorder="1" applyAlignment="1">
      <alignment horizontal="right" vertical="center"/>
    </xf>
    <xf numFmtId="49" fontId="10" fillId="0" borderId="7" xfId="114" applyNumberFormat="1" applyFont="1" applyBorder="1" applyAlignment="1">
      <alignment horizontal="center" vertical="center"/>
    </xf>
    <xf numFmtId="0" fontId="10" fillId="0" borderId="7" xfId="114" applyFont="1" applyBorder="1" applyAlignment="1">
      <alignment horizontal="left" vertical="center" wrapText="1"/>
    </xf>
    <xf numFmtId="0" fontId="10"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7" fillId="0" borderId="30" xfId="114" applyFont="1" applyBorder="1" applyAlignment="1">
      <alignment horizontal="left" vertical="center" wrapText="1"/>
    </xf>
    <xf numFmtId="0" fontId="63" fillId="0" borderId="7" xfId="114" applyFont="1" applyBorder="1"/>
    <xf numFmtId="4" fontId="10"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2" fillId="0" borderId="0" xfId="115"/>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4" fontId="77"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7" fillId="44" borderId="7" xfId="107" applyFont="1" applyFill="1" applyBorder="1" applyAlignment="1">
      <alignment horizontal="center" vertical="center"/>
    </xf>
    <xf numFmtId="0" fontId="77" fillId="44" borderId="7" xfId="107" applyFont="1" applyFill="1" applyBorder="1" applyAlignment="1">
      <alignment horizontal="left" vertical="center" wrapText="1"/>
    </xf>
    <xf numFmtId="49" fontId="77" fillId="0" borderId="7" xfId="107" applyNumberFormat="1" applyFont="1" applyBorder="1" applyAlignment="1">
      <alignment horizontal="center" vertical="center"/>
    </xf>
    <xf numFmtId="0" fontId="77" fillId="0" borderId="7" xfId="107" applyFont="1" applyBorder="1" applyAlignment="1">
      <alignment horizontal="left" vertical="center" wrapText="1"/>
    </xf>
    <xf numFmtId="0" fontId="77"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2" fillId="0" borderId="7" xfId="106" applyFont="1" applyBorder="1" applyAlignment="1">
      <alignment horizontal="left" vertical="center" wrapText="1" indent="1"/>
    </xf>
    <xf numFmtId="4" fontId="77" fillId="0" borderId="7" xfId="106" applyNumberFormat="1" applyFont="1" applyFill="1" applyBorder="1" applyAlignment="1" applyProtection="1">
      <alignment horizontal="right" vertical="center"/>
    </xf>
    <xf numFmtId="49" fontId="77" fillId="2" borderId="30" xfId="102" applyNumberFormat="1" applyFont="1" applyFill="1" applyBorder="1" applyAlignment="1" applyProtection="1">
      <alignment horizontal="left" vertical="center" wrapText="1"/>
      <protection locked="0"/>
    </xf>
    <xf numFmtId="0" fontId="77" fillId="0" borderId="7" xfId="106" applyFont="1" applyBorder="1" applyAlignment="1">
      <alignment horizontal="left" vertical="center" wrapText="1" inden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10" fillId="7" borderId="30" xfId="102" applyNumberFormat="1" applyFont="1" applyFill="1" applyBorder="1" applyAlignment="1">
      <alignment horizontal="right" vertical="center"/>
    </xf>
    <xf numFmtId="0" fontId="69"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7" fillId="49" borderId="6" xfId="0" applyFont="1" applyFill="1" applyBorder="1" applyAlignment="1">
      <alignment horizontal="left" vertical="center" wrapText="1" indent="2"/>
    </xf>
    <xf numFmtId="0" fontId="99"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12" fillId="0" borderId="7" xfId="102" applyFont="1" applyBorder="1" applyAlignment="1">
      <alignment horizontal="left" vertical="center" wrapText="1"/>
    </xf>
    <xf numFmtId="0" fontId="10"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10" fillId="11" borderId="30" xfId="106" applyNumberFormat="1" applyFont="1" applyFill="1" applyBorder="1" applyAlignment="1" applyProtection="1">
      <alignment horizontal="left" vertical="center" wrapText="1"/>
      <protection locked="0"/>
    </xf>
    <xf numFmtId="0" fontId="10" fillId="0" borderId="30" xfId="49" applyBorder="1" applyAlignment="1">
      <alignment horizontal="center" vertical="center" wrapText="1"/>
    </xf>
    <xf numFmtId="0" fontId="63" fillId="0" borderId="7" xfId="115" applyFont="1" applyBorder="1" applyAlignment="1">
      <alignment horizontal="center" vertical="center"/>
    </xf>
    <xf numFmtId="169" fontId="10" fillId="7" borderId="30" xfId="106" applyNumberFormat="1" applyFont="1" applyFill="1" applyBorder="1" applyAlignment="1">
      <alignment vertical="center"/>
    </xf>
    <xf numFmtId="0" fontId="13" fillId="49" borderId="0" xfId="97" applyFont="1" applyFill="1" applyAlignment="1">
      <alignment vertical="center"/>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10" fillId="0" borderId="0" xfId="98" applyFont="1" applyAlignment="1"/>
    <xf numFmtId="0" fontId="10"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69" fillId="0" borderId="0" xfId="102" applyNumberFormat="1" applyFont="1" applyAlignment="1">
      <alignment vertical="center"/>
    </xf>
    <xf numFmtId="49" fontId="10" fillId="8" borderId="0" xfId="0" applyFont="1" applyFill="1" applyBorder="1" applyAlignment="1">
      <alignment vertical="top"/>
    </xf>
    <xf numFmtId="49" fontId="63" fillId="0" borderId="0" xfId="112" applyNumberFormat="1" applyFont="1" applyAlignment="1">
      <alignment horizontal="left" vertical="center"/>
    </xf>
    <xf numFmtId="49" fontId="10" fillId="0" borderId="0" xfId="0" applyFont="1" applyBorder="1" applyAlignment="1">
      <alignment vertical="top"/>
    </xf>
    <xf numFmtId="0" fontId="63" fillId="0" borderId="30" xfId="102" applyFont="1" applyBorder="1" applyAlignment="1">
      <alignment horizontal="center" vertical="center" wrapText="1"/>
    </xf>
    <xf numFmtId="0" fontId="10" fillId="9" borderId="30" xfId="102" applyFont="1" applyFill="1" applyBorder="1" applyAlignment="1">
      <alignment horizontal="center" vertical="center" wrapText="1"/>
    </xf>
    <xf numFmtId="0" fontId="10" fillId="0" borderId="30" xfId="102" applyFont="1" applyBorder="1" applyAlignment="1">
      <alignment horizontal="left" vertical="center" wrapText="1" indent="1"/>
    </xf>
    <xf numFmtId="0" fontId="10" fillId="0" borderId="30" xfId="102" applyFont="1" applyBorder="1" applyAlignment="1">
      <alignment horizontal="left" vertical="center" wrapText="1" indent="2"/>
    </xf>
    <xf numFmtId="0" fontId="10" fillId="0" borderId="7" xfId="114" applyFont="1" applyBorder="1" applyAlignment="1">
      <alignment horizontal="center" vertical="center" wrapText="1"/>
    </xf>
    <xf numFmtId="0" fontId="63" fillId="0" borderId="0" xfId="106" applyFont="1" applyAlignment="1">
      <alignment vertical="center"/>
    </xf>
    <xf numFmtId="0" fontId="63" fillId="0" borderId="0" xfId="106" applyFont="1" applyAlignment="1">
      <alignment vertical="center"/>
    </xf>
    <xf numFmtId="4" fontId="63" fillId="0" borderId="32" xfId="106" applyNumberFormat="1" applyFont="1" applyBorder="1" applyAlignment="1">
      <alignment horizontal="right" vertical="center"/>
    </xf>
    <xf numFmtId="4" fontId="10" fillId="0" borderId="32" xfId="106" applyNumberFormat="1" applyFont="1" applyBorder="1" applyAlignment="1">
      <alignment vertical="center"/>
    </xf>
    <xf numFmtId="0" fontId="10" fillId="0" borderId="31" xfId="49" applyBorder="1" applyAlignment="1">
      <alignment horizontal="center" vertical="center" wrapText="1"/>
    </xf>
    <xf numFmtId="4" fontId="10" fillId="0" borderId="33" xfId="106" applyNumberFormat="1" applyFont="1" applyBorder="1" applyAlignment="1">
      <alignment vertical="center"/>
    </xf>
    <xf numFmtId="0" fontId="10" fillId="43" borderId="71" xfId="106" applyFont="1" applyFill="1" applyBorder="1" applyAlignment="1">
      <alignment vertical="center"/>
    </xf>
    <xf numFmtId="0" fontId="63" fillId="0" borderId="7" xfId="106" applyFont="1" applyBorder="1" applyAlignment="1">
      <alignment horizontal="center" vertical="center" wrapText="1"/>
    </xf>
    <xf numFmtId="0" fontId="63" fillId="0" borderId="7" xfId="107"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06" applyFont="1" applyAlignment="1">
      <alignment vertical="center"/>
    </xf>
    <xf numFmtId="49" fontId="10" fillId="11" borderId="7" xfId="98" applyNumberFormat="1" applyFont="1" applyFill="1" applyBorder="1" applyAlignment="1" applyProtection="1">
      <alignment horizontal="center" vertical="center" wrapText="1"/>
      <protection locked="0"/>
    </xf>
    <xf numFmtId="0" fontId="63" fillId="0" borderId="0" xfId="102" applyFont="1" applyAlignment="1">
      <alignment horizontal="center" vertical="center"/>
    </xf>
    <xf numFmtId="0" fontId="63" fillId="0" borderId="0" xfId="112" applyFont="1" applyAlignment="1">
      <alignment horizontal="center" vertical="center"/>
    </xf>
    <xf numFmtId="49" fontId="18" fillId="0" borderId="0" xfId="0" applyFont="1" applyFill="1" applyBorder="1" applyAlignment="1" applyProtection="1">
      <alignment horizontal="left" vertical="top"/>
    </xf>
    <xf numFmtId="0" fontId="63" fillId="0" borderId="0" xfId="114" applyFont="1" applyAlignment="1">
      <alignment horizontal="center" vertical="center"/>
    </xf>
    <xf numFmtId="49" fontId="63" fillId="0" borderId="0" xfId="102" applyNumberFormat="1" applyFont="1"/>
    <xf numFmtId="0" fontId="90" fillId="0" borderId="0" xfId="114" applyFont="1"/>
    <xf numFmtId="0" fontId="69" fillId="0" borderId="0" xfId="106" applyFont="1" applyAlignment="1">
      <alignment horizontal="left" vertical="center" wrapText="1"/>
    </xf>
    <xf numFmtId="0" fontId="69" fillId="0" borderId="0" xfId="106" applyFont="1" applyAlignment="1">
      <alignment horizontal="left" vertical="center"/>
    </xf>
    <xf numFmtId="0" fontId="1" fillId="0" borderId="0" xfId="115" applyFont="1"/>
    <xf numFmtId="0" fontId="77"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0" fontId="69" fillId="8" borderId="0" xfId="106" applyFont="1" applyFill="1" applyAlignment="1" applyProtection="1">
      <alignment vertical="center"/>
    </xf>
    <xf numFmtId="0" fontId="89" fillId="51" borderId="7" xfId="0" applyNumberFormat="1" applyFont="1" applyFill="1" applyBorder="1" applyAlignment="1">
      <alignment horizontal="left" vertical="center"/>
    </xf>
    <xf numFmtId="0" fontId="77" fillId="44" borderId="7" xfId="107" applyFont="1" applyFill="1" applyBorder="1" applyAlignment="1">
      <alignment horizontal="center" vertical="center" wrapText="1"/>
    </xf>
    <xf numFmtId="0" fontId="77" fillId="0" borderId="7" xfId="107" applyFont="1" applyBorder="1" applyAlignment="1">
      <alignment horizontal="center" vertical="center"/>
    </xf>
    <xf numFmtId="0" fontId="77" fillId="0" borderId="7" xfId="107" applyFont="1" applyBorder="1" applyAlignment="1">
      <alignment horizontal="center" vertical="center" wrapText="1"/>
    </xf>
    <xf numFmtId="4" fontId="77" fillId="2" borderId="7" xfId="107" applyNumberFormat="1" applyFont="1" applyFill="1" applyBorder="1" applyAlignment="1" applyProtection="1">
      <alignment horizontal="right" vertical="center" wrapText="1"/>
      <protection locked="0"/>
    </xf>
    <xf numFmtId="0" fontId="63" fillId="0" borderId="7" xfId="107" applyFont="1" applyBorder="1" applyAlignment="1">
      <alignment horizontal="center" vertical="center"/>
    </xf>
    <xf numFmtId="4" fontId="14" fillId="43" borderId="7" xfId="107" applyNumberFormat="1" applyFont="1" applyFill="1" applyBorder="1" applyAlignment="1">
      <alignment horizontal="right" vertical="center" wrapText="1"/>
    </xf>
    <xf numFmtId="0" fontId="63" fillId="0" borderId="7" xfId="107" applyFont="1" applyBorder="1" applyAlignment="1">
      <alignment horizontal="right" vertical="center" wrapText="1"/>
    </xf>
    <xf numFmtId="0" fontId="63" fillId="0" borderId="7" xfId="107" applyFont="1" applyBorder="1" applyAlignment="1">
      <alignment horizontal="left" vertical="center" wrapText="1" indent="1"/>
    </xf>
    <xf numFmtId="0" fontId="63" fillId="0" borderId="7" xfId="107" applyFont="1" applyBorder="1" applyAlignment="1">
      <alignment horizontal="left" vertical="center" wrapText="1" indent="2"/>
    </xf>
    <xf numFmtId="0" fontId="63" fillId="0" borderId="7" xfId="108" quotePrefix="1" applyFont="1" applyBorder="1" applyAlignment="1">
      <alignment horizontal="left" vertical="center" wrapText="1" indent="1"/>
    </xf>
    <xf numFmtId="0" fontId="63" fillId="0" borderId="7" xfId="107" applyFont="1" applyBorder="1" applyAlignment="1">
      <alignment horizontal="left" vertical="center" wrapText="1"/>
    </xf>
    <xf numFmtId="0" fontId="63" fillId="0" borderId="7" xfId="107" applyFont="1" applyBorder="1" applyAlignment="1">
      <alignment vertical="center" wrapText="1"/>
    </xf>
    <xf numFmtId="4" fontId="12" fillId="2" borderId="7" xfId="104" applyNumberFormat="1" applyFont="1" applyFill="1" applyBorder="1" applyAlignment="1" applyProtection="1">
      <alignment horizontal="right" vertical="center" wrapText="1"/>
      <protection locked="0"/>
    </xf>
    <xf numFmtId="4" fontId="12" fillId="7" borderId="7" xfId="104" applyNumberFormat="1" applyFont="1" applyFill="1" applyBorder="1" applyAlignment="1" applyProtection="1">
      <alignment horizontal="right" vertical="center" wrapText="1"/>
    </xf>
    <xf numFmtId="49" fontId="63" fillId="0" borderId="0" xfId="106" applyNumberFormat="1" applyFont="1" applyAlignment="1">
      <alignment vertical="center"/>
    </xf>
    <xf numFmtId="49" fontId="63" fillId="0" borderId="0" xfId="107" applyNumberFormat="1" applyFont="1"/>
    <xf numFmtId="49" fontId="100" fillId="2" borderId="30" xfId="31" applyNumberFormat="1" applyFont="1" applyFill="1" applyBorder="1" applyAlignment="1" applyProtection="1">
      <alignment horizontal="left" vertical="center" wrapText="1" indent="1"/>
      <protection locked="0"/>
    </xf>
    <xf numFmtId="0" fontId="63" fillId="0" borderId="0" xfId="106" applyFont="1" applyAlignment="1">
      <alignment vertical="center"/>
    </xf>
    <xf numFmtId="0" fontId="101" fillId="0" borderId="0" xfId="97" applyFont="1" applyAlignment="1">
      <alignment vertical="center"/>
    </xf>
    <xf numFmtId="0" fontId="101" fillId="0" borderId="0" xfId="97" applyFont="1" applyFill="1" applyAlignment="1" applyProtection="1">
      <alignment vertical="center"/>
    </xf>
    <xf numFmtId="0" fontId="103" fillId="0" borderId="0" xfId="97" applyFont="1" applyFill="1" applyAlignment="1" applyProtection="1">
      <alignment vertical="center"/>
    </xf>
    <xf numFmtId="0" fontId="105" fillId="0" borderId="0" xfId="97" applyFont="1" applyAlignment="1">
      <alignment vertical="center"/>
    </xf>
    <xf numFmtId="49" fontId="63" fillId="7" borderId="30" xfId="98" applyNumberFormat="1" applyFont="1" applyFill="1" applyBorder="1" applyAlignment="1" applyProtection="1">
      <alignment horizontal="left" vertical="center" wrapText="1" indent="1"/>
    </xf>
    <xf numFmtId="0" fontId="63"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0" fontId="77"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0" fontId="0" fillId="0" borderId="30" xfId="97" applyNumberFormat="1" applyFont="1" applyBorder="1" applyAlignment="1">
      <alignment horizontal="right" vertical="center" wrapText="1" indent="1"/>
    </xf>
    <xf numFmtId="0" fontId="63"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wrapText="1" indent="1"/>
      <protection locked="0"/>
    </xf>
    <xf numFmtId="14" fontId="63" fillId="2" borderId="30" xfId="98" applyNumberFormat="1" applyFont="1" applyFill="1" applyBorder="1" applyAlignment="1" applyProtection="1">
      <alignment horizontal="left" vertical="center" wrapText="1" indent="1"/>
      <protection locked="0"/>
    </xf>
    <xf numFmtId="49" fontId="63"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98" fillId="2" borderId="30" xfId="31" applyNumberFormat="1" applyFont="1" applyFill="1" applyBorder="1" applyAlignment="1" applyProtection="1">
      <alignment horizontal="left" vertical="center" wrapText="1" indent="1"/>
      <protection locked="0"/>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14" fontId="0" fillId="11" borderId="30" xfId="98" applyNumberFormat="1"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3" fillId="0" borderId="29" xfId="107" applyFont="1" applyBorder="1"/>
    <xf numFmtId="0" fontId="69" fillId="0" borderId="29" xfId="106" applyFont="1" applyBorder="1" applyAlignment="1">
      <alignment vertical="center"/>
    </xf>
    <xf numFmtId="169" fontId="63" fillId="0" borderId="47" xfId="106" applyNumberFormat="1" applyFont="1" applyFill="1" applyBorder="1" applyAlignment="1" applyProtection="1">
      <alignment horizontal="right" vertical="center"/>
    </xf>
    <xf numFmtId="169" fontId="63" fillId="2" borderId="52" xfId="106" applyNumberFormat="1" applyFont="1" applyFill="1" applyBorder="1" applyAlignment="1" applyProtection="1">
      <alignment horizontal="right" vertical="center"/>
      <protection locked="0"/>
    </xf>
    <xf numFmtId="49" fontId="10" fillId="0" borderId="0" xfId="98" applyNumberFormat="1" applyFont="1"/>
    <xf numFmtId="0" fontId="10" fillId="7" borderId="7" xfId="98" applyNumberFormat="1" applyFont="1" applyFill="1" applyBorder="1" applyAlignment="1" applyProtection="1">
      <alignment horizontal="left" vertical="center" wrapText="1" indent="1"/>
    </xf>
    <xf numFmtId="49" fontId="10" fillId="7" borderId="7" xfId="98" applyNumberFormat="1" applyFont="1" applyFill="1" applyBorder="1" applyAlignment="1" applyProtection="1">
      <alignment horizontal="left" vertical="center" wrapText="1" indent="1"/>
    </xf>
    <xf numFmtId="49" fontId="63" fillId="0" borderId="0" xfId="98" applyNumberFormat="1" applyFont="1"/>
    <xf numFmtId="49" fontId="105" fillId="0" borderId="0" xfId="0" applyFont="1" applyBorder="1" applyAlignment="1">
      <alignment vertical="top"/>
    </xf>
    <xf numFmtId="22" fontId="10" fillId="0" borderId="0" xfId="46" applyNumberFormat="1" applyFont="1" applyAlignment="1" applyProtection="1">
      <alignment horizontal="left" vertical="center" wrapText="1"/>
    </xf>
    <xf numFmtId="0" fontId="63" fillId="0" borderId="0" xfId="106" applyFont="1" applyAlignment="1">
      <alignment vertical="center"/>
    </xf>
    <xf numFmtId="4" fontId="63" fillId="0" borderId="43" xfId="106" applyNumberFormat="1" applyFont="1" applyFill="1" applyBorder="1" applyAlignment="1" applyProtection="1">
      <alignment horizontal="right" vertical="center"/>
    </xf>
    <xf numFmtId="4" fontId="63" fillId="0" borderId="67" xfId="106" applyNumberFormat="1" applyFont="1" applyFill="1" applyBorder="1" applyAlignment="1" applyProtection="1">
      <alignment horizontal="right" vertical="center"/>
    </xf>
    <xf numFmtId="49" fontId="0" fillId="0" borderId="0" xfId="0" applyNumberFormat="1">
      <alignment vertical="top"/>
    </xf>
    <xf numFmtId="0" fontId="0" fillId="0" borderId="0" xfId="0" applyNumberFormat="1">
      <alignment vertical="top"/>
    </xf>
    <xf numFmtId="0" fontId="14"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4"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horizontal="left" vertical="center"/>
    </xf>
    <xf numFmtId="0" fontId="24" fillId="10" borderId="17" xfId="29" applyNumberFormat="1" applyFont="1" applyFill="1" applyBorder="1" applyAlignment="1">
      <alignment horizontal="center" vertical="center" wrapText="1"/>
    </xf>
    <xf numFmtId="0" fontId="24" fillId="10" borderId="18" xfId="29" applyNumberFormat="1" applyFont="1" applyFill="1" applyBorder="1" applyAlignment="1">
      <alignment horizontal="center" vertical="center" wrapText="1"/>
    </xf>
    <xf numFmtId="0" fontId="24"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4"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4" fillId="0" borderId="0" xfId="41" applyFont="1" applyFill="1" applyBorder="1" applyAlignment="1" applyProtection="1">
      <alignment horizontal="left" vertical="top" wrapText="1"/>
    </xf>
    <xf numFmtId="0" fontId="24" fillId="0" borderId="0" xfId="41" applyFont="1" applyFill="1" applyBorder="1" applyAlignment="1" applyProtection="1">
      <alignment horizontal="left" vertical="center" wrapText="1" indent="1"/>
    </xf>
    <xf numFmtId="0" fontId="10" fillId="0" borderId="0" xfId="23" applyFont="1" applyFill="1" applyBorder="1" applyAlignment="1" applyProtection="1">
      <alignment horizontal="center" vertical="top" wrapText="1"/>
    </xf>
    <xf numFmtId="49" fontId="24" fillId="0" borderId="0" xfId="16" applyNumberFormat="1" applyFont="1" applyFill="1" applyBorder="1" applyAlignment="1" applyProtection="1">
      <alignment horizontal="left" vertical="center" wrapText="1" indent="1"/>
    </xf>
    <xf numFmtId="49" fontId="86" fillId="0" borderId="0" xfId="97" applyNumberFormat="1" applyFont="1" applyBorder="1" applyAlignment="1">
      <alignment horizontal="center" vertical="center"/>
    </xf>
    <xf numFmtId="0" fontId="10" fillId="0" borderId="5" xfId="97" applyFont="1" applyFill="1" applyBorder="1" applyAlignment="1" applyProtection="1">
      <alignment horizontal="right" vertical="center" wrapText="1" indent="1"/>
    </xf>
    <xf numFmtId="0" fontId="10" fillId="0" borderId="6" xfId="97" applyFont="1" applyFill="1" applyBorder="1" applyAlignment="1" applyProtection="1">
      <alignment horizontal="right" vertical="center" wrapText="1" indent="1"/>
    </xf>
    <xf numFmtId="0" fontId="10" fillId="0" borderId="8" xfId="97" applyFont="1" applyFill="1" applyBorder="1" applyAlignment="1" applyProtection="1">
      <alignment horizontal="right" vertical="center" wrapText="1" indent="1"/>
    </xf>
    <xf numFmtId="0" fontId="10" fillId="0" borderId="30" xfId="97" applyFont="1" applyFill="1" applyBorder="1" applyAlignment="1" applyProtection="1">
      <alignment horizontal="right" vertical="center" wrapText="1" indent="1"/>
    </xf>
    <xf numFmtId="0" fontId="12" fillId="0" borderId="9" xfId="99" quotePrefix="1" applyNumberFormat="1" applyFont="1" applyFill="1" applyBorder="1" applyAlignment="1">
      <alignment horizontal="left" vertical="center" wrapText="1" indent="1"/>
    </xf>
    <xf numFmtId="0" fontId="12" fillId="0" borderId="9" xfId="99" applyNumberFormat="1" applyFont="1" applyFill="1" applyBorder="1" applyAlignment="1">
      <alignment horizontal="left" vertical="center" wrapText="1" indent="1"/>
    </xf>
    <xf numFmtId="49" fontId="10" fillId="2" borderId="31" xfId="49" applyNumberFormat="1" applyFill="1" applyBorder="1" applyAlignment="1" applyProtection="1">
      <alignment horizontal="left" vertical="center" wrapText="1"/>
      <protection locked="0"/>
    </xf>
    <xf numFmtId="49" fontId="10" fillId="2" borderId="32" xfId="49" applyNumberFormat="1" applyFill="1" applyBorder="1" applyAlignment="1" applyProtection="1">
      <alignment horizontal="left" vertical="center" wrapText="1"/>
      <protection locked="0"/>
    </xf>
    <xf numFmtId="49" fontId="10" fillId="2" borderId="33" xfId="49" applyNumberFormat="1" applyFill="1" applyBorder="1" applyAlignment="1" applyProtection="1">
      <alignment horizontal="left" vertical="center" wrapText="1"/>
      <protection locked="0"/>
    </xf>
    <xf numFmtId="0" fontId="12" fillId="0" borderId="9" xfId="99" quotePrefix="1" applyNumberFormat="1" applyFont="1" applyFill="1" applyBorder="1" applyAlignment="1" applyProtection="1">
      <alignment horizontal="left" vertical="center" wrapText="1" indent="1"/>
    </xf>
    <xf numFmtId="0" fontId="12"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49" fontId="10" fillId="9" borderId="0" xfId="102" applyNumberFormat="1" applyFont="1" applyFill="1" applyBorder="1" applyAlignment="1">
      <alignment horizontal="center" vertical="center" wrapText="1"/>
    </xf>
    <xf numFmtId="49" fontId="63" fillId="0" borderId="0" xfId="112" applyNumberFormat="1" applyFont="1" applyAlignment="1">
      <alignment horizontal="center" vertical="center" wrapText="1"/>
    </xf>
    <xf numFmtId="0" fontId="10" fillId="0" borderId="31" xfId="106" applyFont="1" applyBorder="1" applyAlignment="1">
      <alignment horizontal="right" vertical="center" wrapText="1"/>
    </xf>
    <xf numFmtId="0" fontId="10" fillId="0" borderId="33" xfId="106" applyFont="1" applyBorder="1" applyAlignment="1">
      <alignment horizontal="right" vertical="center" wrapText="1"/>
    </xf>
    <xf numFmtId="0" fontId="10" fillId="0" borderId="31" xfId="106" applyFont="1" applyBorder="1" applyAlignment="1">
      <alignment horizontal="right" vertical="center" wrapText="1" indent="1"/>
    </xf>
    <xf numFmtId="0" fontId="10" fillId="0" borderId="33" xfId="106" applyFont="1" applyBorder="1" applyAlignment="1">
      <alignment horizontal="right" vertical="center" wrapText="1" indent="1"/>
    </xf>
    <xf numFmtId="0" fontId="0" fillId="0" borderId="30" xfId="98" applyFont="1" applyBorder="1" applyAlignment="1">
      <alignment horizontal="center" vertical="center" textRotation="90" wrapText="1"/>
    </xf>
    <xf numFmtId="0" fontId="0" fillId="0" borderId="30" xfId="97" applyFont="1" applyBorder="1" applyAlignment="1">
      <alignment horizontal="right" vertical="center" wrapText="1" indent="1"/>
    </xf>
    <xf numFmtId="49" fontId="13" fillId="0" borderId="0" xfId="105" applyNumberFormat="1" applyFont="1" applyAlignment="1">
      <alignment horizontal="center"/>
    </xf>
    <xf numFmtId="49" fontId="10" fillId="9" borderId="0" xfId="102" applyNumberFormat="1" applyFont="1" applyFill="1" applyAlignment="1">
      <alignment horizontal="center" vertical="center" wrapText="1"/>
    </xf>
    <xf numFmtId="0" fontId="63" fillId="0" borderId="0" xfId="106" applyFont="1" applyAlignment="1">
      <alignment vertical="center"/>
    </xf>
    <xf numFmtId="49" fontId="88" fillId="0" borderId="0" xfId="0" applyFont="1" applyAlignment="1">
      <alignment horizontal="center" vertical="top" wrapText="1"/>
    </xf>
    <xf numFmtId="0" fontId="10" fillId="0" borderId="63" xfId="106" applyFont="1" applyBorder="1" applyAlignment="1">
      <alignment horizontal="right" vertical="center" wrapText="1" indent="1"/>
    </xf>
    <xf numFmtId="0" fontId="10" fillId="0" borderId="53" xfId="106" applyFont="1" applyBorder="1" applyAlignment="1">
      <alignment horizontal="right" vertical="center" wrapText="1" indent="1"/>
    </xf>
    <xf numFmtId="0" fontId="10" fillId="0" borderId="61" xfId="106" applyFont="1" applyBorder="1" applyAlignment="1">
      <alignment horizontal="right" vertical="center" wrapText="1" indent="1"/>
    </xf>
    <xf numFmtId="0" fontId="10" fillId="0" borderId="62" xfId="106" applyFont="1" applyBorder="1" applyAlignment="1">
      <alignment horizontal="right" vertical="center" wrapText="1" indent="1"/>
    </xf>
    <xf numFmtId="49" fontId="0" fillId="11" borderId="7" xfId="0" applyNumberFormat="1" applyFont="1" applyFill="1" applyBorder="1" applyAlignment="1" applyProtection="1">
      <alignment horizontal="left" vertical="center" wrapText="1"/>
      <protection locked="0"/>
    </xf>
    <xf numFmtId="49" fontId="0" fillId="11" borderId="5" xfId="0" applyNumberFormat="1" applyFont="1" applyFill="1" applyBorder="1" applyAlignment="1" applyProtection="1">
      <alignment horizontal="left" vertical="center" wrapText="1"/>
      <protection locked="0"/>
    </xf>
    <xf numFmtId="0" fontId="24" fillId="0" borderId="0" xfId="110" applyFont="1" applyFill="1" applyAlignment="1">
      <alignment horizontal="left" vertical="center" indent="1"/>
    </xf>
    <xf numFmtId="0" fontId="96" fillId="0" borderId="7" xfId="110" applyFont="1" applyFill="1" applyBorder="1" applyAlignment="1">
      <alignment horizontal="center" vertical="center"/>
    </xf>
    <xf numFmtId="0" fontId="24" fillId="0" borderId="7" xfId="110" applyFont="1" applyFill="1" applyBorder="1" applyAlignment="1">
      <alignment vertical="center"/>
    </xf>
    <xf numFmtId="0" fontId="24" fillId="0" borderId="7" xfId="110" applyFont="1" applyFill="1" applyBorder="1" applyAlignment="1">
      <alignment vertical="center" wrapText="1"/>
    </xf>
    <xf numFmtId="0" fontId="24" fillId="0" borderId="7" xfId="110" quotePrefix="1" applyFont="1" applyFill="1" applyBorder="1" applyAlignment="1">
      <alignment vertical="center" wrapText="1"/>
    </xf>
    <xf numFmtId="0" fontId="13" fillId="0" borderId="0" xfId="97" applyFont="1" applyFill="1" applyAlignment="1" applyProtection="1">
      <alignment vertical="center"/>
    </xf>
    <xf numFmtId="0" fontId="110" fillId="0" borderId="0" xfId="97" applyFont="1" applyFill="1" applyAlignment="1" applyProtection="1">
      <alignment vertical="center"/>
    </xf>
    <xf numFmtId="0" fontId="13" fillId="0" borderId="0" xfId="97" applyFont="1" applyFill="1" applyAlignment="1">
      <alignment vertical="center"/>
    </xf>
    <xf numFmtId="0" fontId="10" fillId="0" borderId="0" xfId="97" applyFont="1" applyFill="1" applyAlignment="1">
      <alignment vertical="center"/>
    </xf>
    <xf numFmtId="0" fontId="105" fillId="0" borderId="0" xfId="97" applyFont="1" applyFill="1" applyAlignment="1">
      <alignment vertical="center"/>
    </xf>
    <xf numFmtId="0" fontId="10" fillId="0" borderId="7" xfId="97" applyFont="1" applyFill="1" applyBorder="1" applyAlignment="1" applyProtection="1">
      <alignment horizontal="left" vertical="center" wrapText="1" indent="1"/>
    </xf>
    <xf numFmtId="0" fontId="10" fillId="0" borderId="7" xfId="97" applyNumberFormat="1" applyFont="1" applyFill="1" applyBorder="1" applyAlignment="1" applyProtection="1">
      <alignment horizontal="left" vertical="center" wrapText="1" indent="1"/>
      <protection locked="0"/>
    </xf>
    <xf numFmtId="0" fontId="105" fillId="0" borderId="0" xfId="97" applyFont="1" applyFill="1" applyAlignment="1">
      <alignment vertical="center" wrapText="1"/>
    </xf>
    <xf numFmtId="0" fontId="10" fillId="0" borderId="7" xfId="97" applyNumberFormat="1" applyFont="1" applyFill="1" applyBorder="1" applyAlignment="1" applyProtection="1">
      <alignment horizontal="left" vertical="center" wrapText="1" indent="1"/>
    </xf>
    <xf numFmtId="49" fontId="77" fillId="0" borderId="30" xfId="98" applyNumberFormat="1" applyFont="1" applyFill="1" applyBorder="1" applyAlignment="1">
      <alignment horizontal="center" vertical="center" wrapText="1"/>
    </xf>
    <xf numFmtId="0" fontId="106" fillId="0" borderId="0" xfId="97" applyFont="1" applyFill="1" applyAlignment="1">
      <alignment vertical="center"/>
    </xf>
    <xf numFmtId="0" fontId="66" fillId="0" borderId="0" xfId="97" applyFont="1" applyFill="1" applyAlignment="1">
      <alignment vertical="center"/>
    </xf>
    <xf numFmtId="0" fontId="12" fillId="0" borderId="30" xfId="97" applyFont="1" applyFill="1" applyBorder="1" applyAlignment="1" applyProtection="1">
      <alignment horizontal="center" vertical="center"/>
      <protection locked="0"/>
    </xf>
    <xf numFmtId="0" fontId="12" fillId="0" borderId="30" xfId="97" applyFont="1" applyFill="1" applyBorder="1" applyAlignment="1">
      <alignment horizontal="center" vertical="center"/>
    </xf>
    <xf numFmtId="0" fontId="104" fillId="0" borderId="0" xfId="97" applyFont="1" applyFill="1" applyAlignment="1">
      <alignment vertical="center"/>
    </xf>
    <xf numFmtId="0" fontId="77" fillId="0" borderId="30" xfId="98" applyNumberFormat="1" applyFont="1" applyFill="1" applyBorder="1" applyAlignment="1">
      <alignment horizontal="center" vertical="center" wrapText="1"/>
    </xf>
    <xf numFmtId="0" fontId="12" fillId="0" borderId="30" xfId="98" applyNumberFormat="1" applyFont="1" applyFill="1" applyBorder="1" applyAlignment="1">
      <alignment horizontal="center" vertical="center" wrapText="1"/>
    </xf>
    <xf numFmtId="0" fontId="107" fillId="0" borderId="0" xfId="97" applyFont="1" applyFill="1" applyAlignment="1">
      <alignment vertical="center"/>
    </xf>
    <xf numFmtId="0" fontId="10" fillId="0" borderId="31" xfId="97" applyFont="1" applyFill="1" applyBorder="1" applyAlignment="1">
      <alignment vertical="center"/>
    </xf>
    <xf numFmtId="0" fontId="10" fillId="0" borderId="32" xfId="98" applyFont="1" applyFill="1" applyBorder="1" applyAlignment="1">
      <alignment vertical="center"/>
    </xf>
    <xf numFmtId="0" fontId="10" fillId="0" borderId="33" xfId="98" applyFont="1" applyFill="1" applyBorder="1" applyAlignment="1">
      <alignment vertical="center"/>
    </xf>
    <xf numFmtId="0" fontId="107" fillId="0" borderId="0" xfId="97" applyFont="1" applyFill="1" applyAlignment="1">
      <alignment horizontal="center" vertical="center"/>
    </xf>
    <xf numFmtId="0" fontId="66" fillId="0" borderId="0" xfId="97" applyFont="1" applyFill="1" applyAlignment="1">
      <alignment horizontal="center" vertical="center"/>
    </xf>
    <xf numFmtId="0" fontId="13" fillId="0" borderId="0" xfId="97" applyFont="1" applyFill="1" applyAlignment="1">
      <alignment horizontal="center" vertical="center"/>
    </xf>
    <xf numFmtId="0" fontId="13" fillId="0" borderId="0" xfId="97" applyFont="1" applyFill="1" applyAlignment="1">
      <alignment horizontal="center" vertical="center"/>
    </xf>
    <xf numFmtId="49" fontId="12" fillId="0" borderId="30" xfId="98" applyNumberFormat="1" applyFont="1" applyFill="1" applyBorder="1" applyAlignment="1">
      <alignment horizontal="left" vertical="center" wrapText="1" indent="4"/>
    </xf>
    <xf numFmtId="0" fontId="104" fillId="0" borderId="0" xfId="97" applyFont="1" applyFill="1" applyAlignment="1">
      <alignment horizontal="left" vertical="center" wrapText="1"/>
    </xf>
    <xf numFmtId="0" fontId="13" fillId="0" borderId="0" xfId="97" applyFont="1" applyFill="1" applyAlignment="1">
      <alignment horizontal="left" vertical="center" wrapText="1"/>
    </xf>
    <xf numFmtId="0" fontId="13" fillId="0" borderId="0" xfId="97" applyFont="1" applyFill="1" applyAlignment="1">
      <alignment vertical="center" wrapText="1"/>
    </xf>
    <xf numFmtId="0" fontId="10" fillId="0" borderId="30" xfId="97" applyFont="1" applyFill="1" applyBorder="1" applyAlignment="1">
      <alignment horizontal="right" vertical="center" wrapText="1" indent="1"/>
    </xf>
    <xf numFmtId="0" fontId="10" fillId="0" borderId="30" xfId="97" applyFont="1" applyFill="1" applyBorder="1" applyAlignment="1" applyProtection="1">
      <alignment horizontal="left" vertical="center" wrapText="1" indent="1"/>
    </xf>
    <xf numFmtId="0" fontId="108" fillId="0" borderId="0" xfId="97" applyFont="1" applyFill="1" applyAlignment="1">
      <alignment vertical="center" wrapText="1"/>
    </xf>
    <xf numFmtId="0" fontId="10" fillId="0" borderId="30" xfId="97" applyNumberFormat="1" applyFont="1" applyFill="1" applyBorder="1" applyAlignment="1" applyProtection="1">
      <alignment horizontal="left" vertical="center" wrapText="1" indent="1"/>
      <protection locked="0"/>
    </xf>
    <xf numFmtId="0" fontId="104" fillId="0" borderId="0" xfId="97" applyFont="1" applyFill="1" applyAlignment="1">
      <alignment vertical="center" wrapText="1"/>
    </xf>
    <xf numFmtId="49" fontId="10" fillId="0" borderId="30" xfId="97" applyNumberFormat="1" applyFont="1" applyFill="1" applyBorder="1" applyAlignment="1" applyProtection="1">
      <alignment horizontal="left" vertical="center" wrapText="1" indent="1"/>
    </xf>
    <xf numFmtId="49" fontId="10" fillId="0" borderId="30" xfId="97" applyNumberFormat="1" applyFont="1" applyFill="1" applyBorder="1" applyAlignment="1">
      <alignment horizontal="left" vertical="center" wrapText="1" indent="1"/>
    </xf>
    <xf numFmtId="49" fontId="10" fillId="0" borderId="30" xfId="97" applyNumberFormat="1" applyFont="1" applyFill="1" applyBorder="1" applyAlignment="1" applyProtection="1">
      <alignment horizontal="left" vertical="center" wrapText="1" indent="1"/>
      <protection locked="0"/>
    </xf>
    <xf numFmtId="0" fontId="10" fillId="0" borderId="30" xfId="97" applyFont="1" applyFill="1" applyBorder="1" applyAlignment="1" applyProtection="1">
      <alignment horizontal="left" vertical="center" wrapText="1" indent="1"/>
      <protection locked="0"/>
    </xf>
    <xf numFmtId="0" fontId="0" fillId="0" borderId="30" xfId="97" applyFont="1" applyFill="1" applyBorder="1" applyAlignment="1" applyProtection="1">
      <alignment horizontal="left" vertical="center" wrapText="1" indent="1"/>
      <protection locked="0"/>
    </xf>
    <xf numFmtId="0" fontId="10" fillId="0" borderId="30" xfId="97"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protection locked="0"/>
    </xf>
    <xf numFmtId="0" fontId="108"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xf>
    <xf numFmtId="0" fontId="10" fillId="0" borderId="30" xfId="98" applyFont="1" applyFill="1" applyBorder="1" applyAlignment="1">
      <alignment horizontal="center" vertical="center" textRotation="90" wrapText="1"/>
    </xf>
    <xf numFmtId="49" fontId="10" fillId="0" borderId="30" xfId="49" applyNumberFormat="1" applyFont="1" applyFill="1" applyBorder="1" applyAlignment="1" applyProtection="1">
      <alignment horizontal="left" vertical="center" wrapText="1" indent="1"/>
    </xf>
    <xf numFmtId="49" fontId="10" fillId="0" borderId="30" xfId="99" applyFont="1" applyFill="1" applyBorder="1" applyAlignment="1" applyProtection="1">
      <alignment horizontal="left" vertical="center" wrapText="1" indent="1"/>
    </xf>
    <xf numFmtId="14" fontId="63" fillId="0" borderId="30" xfId="98" applyNumberFormat="1" applyFont="1" applyFill="1" applyBorder="1" applyAlignment="1" applyProtection="1">
      <alignment horizontal="left" vertical="center" wrapText="1" indent="1"/>
    </xf>
    <xf numFmtId="0" fontId="68" fillId="0" borderId="0" xfId="97" applyFont="1" applyFill="1" applyAlignment="1">
      <alignment vertical="center"/>
    </xf>
    <xf numFmtId="49" fontId="10" fillId="0" borderId="30" xfId="49" applyNumberFormat="1" applyFont="1" applyFill="1" applyBorder="1" applyAlignment="1" applyProtection="1">
      <alignment horizontal="left" vertical="center" wrapText="1" indent="1"/>
      <protection locked="0"/>
    </xf>
    <xf numFmtId="0" fontId="10" fillId="0" borderId="0" xfId="97" applyFont="1" applyFill="1" applyAlignment="1" applyProtection="1">
      <alignment vertical="center"/>
    </xf>
    <xf numFmtId="49" fontId="13" fillId="0" borderId="30" xfId="97" applyNumberFormat="1" applyFont="1" applyFill="1" applyBorder="1" applyAlignment="1" applyProtection="1">
      <alignment horizontal="left" vertical="center" wrapText="1" indent="1"/>
      <protection locked="0"/>
    </xf>
    <xf numFmtId="0" fontId="10" fillId="0" borderId="0" xfId="97" applyFont="1" applyFill="1" applyAlignment="1">
      <alignment horizontal="left" vertical="center" wrapText="1"/>
    </xf>
    <xf numFmtId="0" fontId="10" fillId="0" borderId="0" xfId="97" applyFont="1" applyFill="1" applyAlignment="1">
      <alignment horizontal="center" vertical="center" wrapText="1"/>
    </xf>
    <xf numFmtId="0" fontId="12" fillId="0" borderId="0" xfId="97" applyFont="1" applyFill="1" applyAlignment="1">
      <alignment vertical="center" wrapText="1"/>
    </xf>
    <xf numFmtId="0" fontId="13" fillId="0" borderId="30" xfId="97" applyFont="1" applyFill="1" applyBorder="1" applyAlignment="1">
      <alignment vertical="center" wrapText="1"/>
    </xf>
    <xf numFmtId="0" fontId="109" fillId="0" borderId="0" xfId="97" applyFont="1" applyFill="1" applyAlignment="1">
      <alignment vertical="center"/>
    </xf>
    <xf numFmtId="0" fontId="102" fillId="0" borderId="0" xfId="97" applyFont="1" applyFill="1" applyAlignment="1">
      <alignment vertical="center"/>
    </xf>
    <xf numFmtId="0" fontId="0" fillId="0" borderId="0" xfId="97" applyFont="1" applyFill="1" applyAlignment="1">
      <alignment vertical="center"/>
    </xf>
    <xf numFmtId="0" fontId="77" fillId="0" borderId="45" xfId="98" applyFont="1" applyFill="1" applyBorder="1" applyAlignment="1">
      <alignment horizontal="left" vertical="center" wrapText="1" indent="4"/>
    </xf>
    <xf numFmtId="0" fontId="77" fillId="0" borderId="30" xfId="98" applyFont="1" applyFill="1" applyBorder="1" applyAlignment="1">
      <alignment horizontal="left" vertical="center" wrapText="1" indent="4"/>
    </xf>
    <xf numFmtId="0" fontId="10" fillId="0" borderId="7" xfId="97" applyFont="1" applyFill="1" applyBorder="1" applyAlignment="1">
      <alignment horizontal="right" vertical="center" wrapText="1" indent="1"/>
    </xf>
    <xf numFmtId="0" fontId="63" fillId="0" borderId="7" xfId="98" applyFont="1" applyFill="1" applyBorder="1" applyAlignment="1">
      <alignment horizontal="right" vertical="center" wrapText="1" indent="1"/>
    </xf>
    <xf numFmtId="49" fontId="10" fillId="0" borderId="33"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protection locked="0"/>
    </xf>
    <xf numFmtId="49" fontId="10"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63" fillId="0" borderId="30" xfId="98" applyNumberFormat="1" applyFont="1" applyFill="1" applyBorder="1" applyAlignment="1" applyProtection="1">
      <alignment horizontal="left" vertical="center" wrapText="1" indent="1"/>
      <protection locked="0"/>
    </xf>
    <xf numFmtId="49" fontId="13" fillId="0" borderId="0" xfId="97" applyNumberFormat="1" applyFont="1" applyFill="1" applyBorder="1" applyAlignment="1">
      <alignment horizontal="center" vertical="center"/>
    </xf>
    <xf numFmtId="0" fontId="10" fillId="0" borderId="7" xfId="97" applyFont="1" applyFill="1" applyBorder="1" applyAlignment="1" applyProtection="1">
      <alignment horizontal="right" vertical="center" wrapText="1" indent="1"/>
      <protection locked="0"/>
    </xf>
    <xf numFmtId="0" fontId="63" fillId="0" borderId="7" xfId="98" applyFont="1" applyFill="1" applyBorder="1" applyAlignment="1" applyProtection="1">
      <alignment horizontal="right" vertical="center" wrapText="1" indent="1"/>
      <protection locked="0"/>
    </xf>
    <xf numFmtId="0" fontId="12" fillId="0" borderId="33" xfId="97" applyFont="1" applyFill="1" applyBorder="1" applyAlignment="1">
      <alignment horizontal="right" vertical="center" wrapText="1" indent="1"/>
    </xf>
    <xf numFmtId="0" fontId="77" fillId="0" borderId="30" xfId="98" applyFont="1" applyFill="1" applyBorder="1" applyAlignment="1">
      <alignment horizontal="left" vertical="center" wrapText="1" indent="1"/>
    </xf>
    <xf numFmtId="49" fontId="13" fillId="0" borderId="0" xfId="97" applyNumberFormat="1" applyFont="1" applyFill="1" applyAlignment="1">
      <alignment vertical="center"/>
    </xf>
    <xf numFmtId="49" fontId="13" fillId="0" borderId="0" xfId="97" applyNumberFormat="1" applyFont="1" applyFill="1" applyBorder="1" applyAlignment="1">
      <alignment horizontal="center" vertical="center"/>
    </xf>
    <xf numFmtId="0" fontId="12" fillId="0" borderId="30" xfId="97" applyNumberFormat="1" applyFont="1" applyFill="1" applyBorder="1" applyAlignment="1">
      <alignment horizontal="right" vertical="center" wrapText="1" indent="1"/>
    </xf>
    <xf numFmtId="0" fontId="77" fillId="0" borderId="30"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86" fillId="0" borderId="0" xfId="97" applyNumberFormat="1" applyFont="1" applyFill="1" applyBorder="1" applyAlignment="1">
      <alignment horizontal="center" vertical="center"/>
    </xf>
    <xf numFmtId="49" fontId="0" fillId="0" borderId="30" xfId="97" applyNumberFormat="1"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xf>
    <xf numFmtId="0" fontId="0" fillId="0" borderId="30"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0" fontId="10" fillId="0" borderId="35" xfId="97" applyFont="1" applyFill="1" applyBorder="1" applyAlignment="1">
      <alignment horizontal="right" vertical="center" wrapText="1" indent="1"/>
    </xf>
    <xf numFmtId="0" fontId="10" fillId="0" borderId="36" xfId="97" applyFont="1" applyFill="1" applyBorder="1" applyAlignment="1">
      <alignment horizontal="right" vertical="center" wrapText="1" indent="1"/>
    </xf>
    <xf numFmtId="49" fontId="10" fillId="0" borderId="30" xfId="97" applyNumberFormat="1" applyFont="1" applyFill="1" applyBorder="1" applyAlignment="1">
      <alignment horizontal="right" vertical="center" wrapText="1" indent="1"/>
    </xf>
    <xf numFmtId="0" fontId="10" fillId="0" borderId="30" xfId="97" applyFont="1" applyFill="1" applyBorder="1" applyAlignment="1" applyProtection="1">
      <alignment horizontal="left" vertical="center" indent="1"/>
    </xf>
    <xf numFmtId="0" fontId="10" fillId="0" borderId="37" xfId="97" applyFont="1" applyFill="1" applyBorder="1" applyAlignment="1">
      <alignment horizontal="right" vertical="center" wrapText="1" indent="1"/>
    </xf>
    <xf numFmtId="0" fontId="10" fillId="0" borderId="38" xfId="97" applyFont="1" applyFill="1" applyBorder="1" applyAlignment="1">
      <alignment horizontal="right" vertical="center" wrapText="1" indent="1"/>
    </xf>
    <xf numFmtId="0" fontId="10" fillId="0" borderId="31" xfId="97" applyFont="1" applyFill="1" applyBorder="1" applyAlignment="1">
      <alignment horizontal="right" vertical="center" wrapText="1" indent="1"/>
    </xf>
    <xf numFmtId="0" fontId="10" fillId="0" borderId="32" xfId="97" applyFont="1" applyFill="1" applyBorder="1" applyAlignment="1">
      <alignment horizontal="right" vertical="center" wrapText="1" indent="1"/>
    </xf>
    <xf numFmtId="0" fontId="10" fillId="0" borderId="33" xfId="97" applyFont="1" applyFill="1" applyBorder="1" applyAlignment="1">
      <alignment horizontal="right" vertical="center" wrapText="1" indent="1"/>
    </xf>
    <xf numFmtId="49" fontId="29" fillId="0" borderId="0" xfId="99" applyFont="1" applyFill="1" applyAlignment="1">
      <alignment vertical="center" wrapText="1"/>
    </xf>
    <xf numFmtId="49" fontId="10" fillId="0" borderId="0" xfId="99" applyFill="1" applyAlignment="1">
      <alignment vertical="center" wrapText="1"/>
    </xf>
    <xf numFmtId="49" fontId="10" fillId="0" borderId="0" xfId="99" applyFill="1">
      <alignment vertical="top"/>
    </xf>
    <xf numFmtId="49" fontId="24" fillId="0" borderId="0" xfId="99" applyFont="1" applyFill="1" applyBorder="1" applyAlignment="1">
      <alignment horizontal="right" vertical="center" wrapText="1"/>
    </xf>
    <xf numFmtId="0" fontId="10" fillId="0" borderId="0" xfId="99" applyNumberFormat="1" applyFont="1" applyFill="1" applyBorder="1" applyAlignment="1">
      <alignment horizontal="left" vertical="center"/>
    </xf>
    <xf numFmtId="49" fontId="12" fillId="0" borderId="0" xfId="99" applyFont="1" applyFill="1" applyBorder="1" applyAlignment="1">
      <alignment vertical="center" wrapText="1"/>
    </xf>
    <xf numFmtId="49" fontId="10" fillId="0" borderId="0" xfId="99" applyFill="1" applyBorder="1" applyAlignment="1">
      <alignment horizontal="left" vertical="center" wrapText="1"/>
    </xf>
    <xf numFmtId="49" fontId="0" fillId="0" borderId="0" xfId="99" applyFont="1" applyFill="1" applyAlignment="1">
      <alignment vertical="center" wrapText="1"/>
    </xf>
    <xf numFmtId="0" fontId="10" fillId="0" borderId="39" xfId="99" applyNumberFormat="1" applyFill="1" applyBorder="1" applyAlignment="1">
      <alignment horizontal="center" vertical="center" wrapText="1"/>
    </xf>
    <xf numFmtId="0" fontId="10" fillId="0" borderId="40" xfId="99" applyNumberFormat="1" applyFill="1" applyBorder="1" applyAlignment="1">
      <alignment horizontal="center" vertical="center" wrapText="1"/>
    </xf>
    <xf numFmtId="0" fontId="10" fillId="0" borderId="72" xfId="99" applyNumberFormat="1" applyFill="1" applyBorder="1" applyAlignment="1">
      <alignment horizontal="center" vertical="center" wrapText="1"/>
    </xf>
    <xf numFmtId="0" fontId="10" fillId="0" borderId="41" xfId="99" applyNumberFormat="1" applyFill="1" applyBorder="1" applyAlignment="1">
      <alignment horizontal="center" vertical="center" wrapText="1"/>
    </xf>
    <xf numFmtId="49" fontId="10" fillId="0" borderId="0" xfId="99" applyNumberFormat="1" applyFont="1" applyFill="1" applyAlignment="1">
      <alignment vertical="center"/>
    </xf>
    <xf numFmtId="49" fontId="11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0" fillId="0" borderId="0" xfId="99" applyNumberFormat="1" applyFont="1" applyFill="1" applyAlignment="1">
      <alignment vertical="center"/>
    </xf>
    <xf numFmtId="49" fontId="28" fillId="0" borderId="0" xfId="99" applyFont="1" applyFill="1" applyBorder="1" applyAlignment="1">
      <alignment horizontal="center" vertical="top" wrapText="1"/>
    </xf>
    <xf numFmtId="49" fontId="73" fillId="0" borderId="0" xfId="99" applyFont="1" applyFill="1" applyBorder="1" applyAlignment="1">
      <alignment horizontal="center" vertical="top" wrapText="1"/>
    </xf>
    <xf numFmtId="49" fontId="10" fillId="0" borderId="42" xfId="99" applyFill="1" applyBorder="1" applyAlignment="1">
      <alignment horizontal="center" vertical="center" wrapText="1"/>
    </xf>
    <xf numFmtId="49" fontId="10" fillId="0" borderId="43" xfId="99" applyFill="1" applyBorder="1" applyAlignment="1" applyProtection="1">
      <alignment horizontal="left" vertical="center" wrapText="1" indent="1"/>
      <protection locked="0"/>
    </xf>
    <xf numFmtId="49" fontId="10" fillId="0" borderId="43" xfId="99" applyFill="1" applyBorder="1" applyAlignment="1" applyProtection="1">
      <alignment horizontal="left" vertical="center" wrapText="1" indent="1"/>
    </xf>
    <xf numFmtId="49" fontId="10" fillId="0" borderId="44" xfId="99" applyFill="1" applyBorder="1" applyAlignment="1" applyProtection="1">
      <alignment horizontal="left" vertical="center" wrapText="1" indent="1"/>
      <protection locked="0"/>
    </xf>
    <xf numFmtId="0" fontId="10" fillId="0" borderId="0" xfId="99" applyNumberFormat="1" applyFill="1" applyAlignment="1">
      <alignment vertical="center" wrapText="1"/>
    </xf>
    <xf numFmtId="49" fontId="10"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0" fillId="0" borderId="0" xfId="99" applyFill="1" applyBorder="1" applyAlignment="1">
      <alignment vertical="center" wrapText="1"/>
    </xf>
    <xf numFmtId="49" fontId="12" fillId="0" borderId="0" xfId="99" applyFont="1" applyFill="1" applyBorder="1" applyAlignment="1">
      <alignment horizontal="center" vertical="center" wrapText="1" shrinkToFit="1"/>
    </xf>
    <xf numFmtId="49" fontId="12" fillId="0" borderId="0" xfId="99" applyFont="1" applyFill="1" applyBorder="1" applyAlignment="1">
      <alignment horizontal="center" vertical="center" wrapText="1" shrinkToFit="1"/>
    </xf>
    <xf numFmtId="49" fontId="10" fillId="0" borderId="30" xfId="101" applyNumberFormat="1" applyFont="1" applyFill="1" applyBorder="1" applyAlignment="1">
      <alignment horizontal="center" vertical="center" wrapText="1"/>
    </xf>
    <xf numFmtId="0" fontId="10"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7"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10" fillId="0" borderId="33" xfId="98" applyNumberFormat="1" applyFont="1" applyFill="1" applyBorder="1" applyAlignment="1">
      <alignment vertical="center" wrapText="1"/>
    </xf>
    <xf numFmtId="49" fontId="10" fillId="0" borderId="30" xfId="49" applyNumberFormat="1" applyFill="1" applyBorder="1" applyAlignment="1">
      <alignment horizontal="center" vertical="center"/>
    </xf>
    <xf numFmtId="3" fontId="10" fillId="0" borderId="30" xfId="49" applyNumberFormat="1" applyFill="1" applyBorder="1" applyAlignment="1" applyProtection="1">
      <alignment horizontal="right" vertical="center"/>
      <protection locked="0"/>
    </xf>
    <xf numFmtId="49" fontId="10" fillId="0" borderId="7" xfId="98" applyNumberFormat="1" applyFont="1" applyFill="1" applyBorder="1" applyAlignment="1" applyProtection="1">
      <alignment horizontal="left" vertical="center" wrapText="1"/>
      <protection locked="0"/>
    </xf>
    <xf numFmtId="4" fontId="10" fillId="0" borderId="30" xfId="49" applyNumberFormat="1" applyFill="1" applyBorder="1" applyAlignment="1" applyProtection="1">
      <alignment horizontal="right" vertical="center"/>
      <protection locked="0"/>
    </xf>
    <xf numFmtId="49" fontId="63" fillId="0" borderId="0" xfId="98" applyNumberFormat="1" applyFont="1" applyFill="1"/>
    <xf numFmtId="49" fontId="10" fillId="0" borderId="31" xfId="49" applyNumberFormat="1" applyFill="1" applyBorder="1" applyAlignment="1" applyProtection="1">
      <alignment horizontal="left" vertical="center" wrapText="1"/>
      <protection locked="0"/>
    </xf>
    <xf numFmtId="49" fontId="10" fillId="0" borderId="32" xfId="49" applyNumberFormat="1" applyFill="1" applyBorder="1" applyAlignment="1" applyProtection="1">
      <alignment horizontal="left" vertical="center" wrapText="1"/>
      <protection locked="0"/>
    </xf>
    <xf numFmtId="49" fontId="10" fillId="0" borderId="33" xfId="49" applyNumberFormat="1" applyFill="1" applyBorder="1" applyAlignment="1" applyProtection="1">
      <alignment horizontal="left" vertical="center" wrapText="1"/>
      <protection locked="0"/>
    </xf>
    <xf numFmtId="0" fontId="12" fillId="0" borderId="6" xfId="98" quotePrefix="1" applyFont="1" applyFill="1" applyBorder="1" applyAlignment="1">
      <alignment horizontal="left" vertical="center" indent="1"/>
    </xf>
    <xf numFmtId="0" fontId="12" fillId="0" borderId="6" xfId="98" applyFont="1" applyFill="1" applyBorder="1" applyAlignment="1">
      <alignment horizontal="left" vertical="center" wrapText="1" indent="1"/>
    </xf>
    <xf numFmtId="0" fontId="12"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0" fillId="0" borderId="58" xfId="98" applyFont="1" applyFill="1" applyBorder="1" applyAlignment="1">
      <alignment horizontal="center" vertical="center" wrapText="1"/>
    </xf>
    <xf numFmtId="0" fontId="10" fillId="0" borderId="7" xfId="98" applyFont="1" applyFill="1" applyBorder="1" applyAlignment="1">
      <alignment horizontal="center" vertical="center" wrapText="1"/>
    </xf>
    <xf numFmtId="0" fontId="10" fillId="0" borderId="0" xfId="98" applyFont="1" applyFill="1" applyAlignment="1"/>
    <xf numFmtId="0" fontId="10" fillId="0" borderId="0" xfId="98" applyFont="1" applyFill="1"/>
    <xf numFmtId="49" fontId="10" fillId="0" borderId="0" xfId="98" applyNumberFormat="1" applyFont="1" applyFill="1"/>
    <xf numFmtId="0" fontId="10" fillId="0" borderId="7" xfId="98" applyFont="1" applyFill="1" applyBorder="1" applyAlignment="1">
      <alignment horizontal="center" vertical="center"/>
    </xf>
    <xf numFmtId="0" fontId="10" fillId="0" borderId="7" xfId="98" applyNumberFormat="1" applyFont="1" applyFill="1" applyBorder="1" applyAlignment="1" applyProtection="1">
      <alignment horizontal="left" vertical="center" wrapText="1"/>
    </xf>
    <xf numFmtId="0" fontId="10" fillId="0" borderId="7" xfId="98" applyNumberFormat="1" applyFont="1" applyFill="1" applyBorder="1" applyAlignment="1" applyProtection="1">
      <alignment horizontal="left" vertical="center" wrapText="1" indent="1"/>
    </xf>
    <xf numFmtId="49" fontId="10" fillId="0" borderId="7" xfId="98" applyNumberFormat="1" applyFont="1" applyFill="1" applyBorder="1" applyAlignment="1" applyProtection="1">
      <alignment horizontal="left" vertical="center" wrapText="1" indent="1"/>
    </xf>
    <xf numFmtId="49" fontId="0" fillId="0" borderId="7" xfId="98" applyNumberFormat="1" applyFont="1" applyFill="1" applyBorder="1" applyAlignment="1" applyProtection="1">
      <alignment horizontal="left" vertical="center" wrapText="1"/>
      <protection locked="0"/>
    </xf>
    <xf numFmtId="0" fontId="76" fillId="0" borderId="0" xfId="98" applyFont="1" applyFill="1"/>
    <xf numFmtId="0" fontId="63" fillId="0" borderId="0" xfId="97" applyFont="1" applyFill="1"/>
    <xf numFmtId="0" fontId="10" fillId="0" borderId="0" xfId="97" applyFont="1" applyFill="1"/>
    <xf numFmtId="0" fontId="63" fillId="0" borderId="0" xfId="97" applyFont="1" applyFill="1" applyAlignment="1">
      <alignment wrapText="1"/>
    </xf>
    <xf numFmtId="0" fontId="63" fillId="0" borderId="0" xfId="103" applyFont="1" applyFill="1"/>
    <xf numFmtId="0" fontId="14" fillId="0" borderId="0" xfId="102" applyFont="1" applyFill="1"/>
    <xf numFmtId="0" fontId="10" fillId="0" borderId="0" xfId="102" applyFont="1" applyFill="1"/>
    <xf numFmtId="0" fontId="10" fillId="0" borderId="0" xfId="102" applyNumberFormat="1" applyFont="1" applyFill="1" applyAlignment="1">
      <alignment horizontal="left" vertical="center"/>
    </xf>
    <xf numFmtId="0" fontId="14"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4" fillId="0" borderId="0" xfId="102" applyFont="1" applyFill="1" applyAlignment="1">
      <alignment horizontal="center"/>
    </xf>
    <xf numFmtId="0" fontId="10" fillId="0" borderId="0" xfId="102" applyFont="1" applyFill="1" applyAlignment="1">
      <alignment horizontal="center"/>
    </xf>
    <xf numFmtId="0" fontId="10" fillId="0" borderId="0" xfId="102" applyFont="1" applyFill="1" applyAlignment="1">
      <alignment horizontal="center" wrapText="1"/>
    </xf>
    <xf numFmtId="0" fontId="14" fillId="0" borderId="0" xfId="49" applyFont="1" applyFill="1" applyAlignment="1">
      <alignment horizontal="center" vertical="center"/>
    </xf>
    <xf numFmtId="0" fontId="72" fillId="0" borderId="0" xfId="102" applyFont="1" applyFill="1" applyAlignment="1">
      <alignment vertical="center" wrapText="1"/>
    </xf>
    <xf numFmtId="0" fontId="10" fillId="0" borderId="30" xfId="97" applyFont="1" applyFill="1" applyBorder="1" applyAlignment="1">
      <alignment horizontal="center"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0" fillId="0" borderId="31" xfId="99" applyFont="1" applyFill="1" applyBorder="1" applyAlignment="1">
      <alignment horizontal="left" vertical="center" indent="1"/>
    </xf>
    <xf numFmtId="49" fontId="10" fillId="0" borderId="32" xfId="99" applyFont="1" applyFill="1" applyBorder="1" applyAlignment="1">
      <alignment horizontal="left" vertical="center" indent="1"/>
    </xf>
    <xf numFmtId="49" fontId="70" fillId="0" borderId="32" xfId="99" applyFont="1" applyFill="1" applyBorder="1" applyAlignment="1">
      <alignment horizontal="left" vertical="center" indent="1"/>
    </xf>
    <xf numFmtId="0" fontId="94" fillId="0" borderId="32" xfId="99" applyNumberFormat="1" applyFont="1" applyFill="1" applyBorder="1" applyAlignment="1">
      <alignment horizontal="left" vertical="center" indent="1"/>
    </xf>
    <xf numFmtId="0" fontId="10"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4" fillId="0"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protection locked="0"/>
    </xf>
    <xf numFmtId="169" fontId="70" fillId="0" borderId="32" xfId="99" applyNumberFormat="1" applyFont="1" applyFill="1" applyBorder="1" applyAlignment="1">
      <alignment horizontal="left" vertical="center" indent="1"/>
    </xf>
    <xf numFmtId="49" fontId="70" fillId="0" borderId="32" xfId="99" applyNumberFormat="1" applyFont="1" applyFill="1" applyBorder="1" applyAlignment="1">
      <alignment horizontal="left" vertical="center" indent="1"/>
    </xf>
    <xf numFmtId="172" fontId="70" fillId="0" borderId="32" xfId="99" applyNumberFormat="1" applyFont="1" applyFill="1" applyBorder="1" applyAlignment="1">
      <alignment horizontal="left" vertical="center" indent="1"/>
    </xf>
    <xf numFmtId="169" fontId="70"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10" fillId="0" borderId="30" xfId="97" applyNumberFormat="1" applyFont="1" applyFill="1" applyBorder="1" applyAlignment="1">
      <alignment horizontal="center" vertical="center"/>
    </xf>
    <xf numFmtId="0" fontId="10" fillId="0" borderId="30" xfId="97" applyFont="1" applyFill="1" applyBorder="1" applyAlignment="1">
      <alignment horizontal="left" vertical="center" wrapText="1" indent="1"/>
    </xf>
    <xf numFmtId="0" fontId="10" fillId="0" borderId="30" xfId="97" applyFont="1" applyFill="1" applyBorder="1" applyAlignment="1">
      <alignment horizontal="justify" vertical="center" wrapText="1"/>
    </xf>
    <xf numFmtId="0" fontId="63" fillId="0" borderId="0" xfId="102" applyFont="1" applyFill="1"/>
    <xf numFmtId="49" fontId="10" fillId="0" borderId="30" xfId="102" applyNumberFormat="1" applyFont="1" applyFill="1" applyBorder="1" applyAlignment="1">
      <alignment horizontal="center" vertical="center"/>
    </xf>
    <xf numFmtId="0" fontId="10" fillId="0" borderId="30" xfId="97" applyFont="1" applyFill="1" applyBorder="1" applyAlignment="1">
      <alignment horizontal="left" vertical="center" wrapText="1"/>
    </xf>
    <xf numFmtId="169" fontId="10" fillId="0" borderId="30" xfId="102" applyNumberFormat="1" applyFont="1" applyFill="1" applyBorder="1" applyAlignment="1" applyProtection="1">
      <alignment horizontal="right" vertical="center"/>
      <protection locked="0"/>
    </xf>
    <xf numFmtId="49" fontId="10" fillId="0" borderId="30" xfId="102" applyNumberFormat="1" applyFont="1" applyFill="1" applyBorder="1" applyAlignment="1" applyProtection="1">
      <alignment horizontal="left" vertical="center" wrapText="1"/>
      <protection locked="0"/>
    </xf>
    <xf numFmtId="49" fontId="87" fillId="0" borderId="54" xfId="0" applyFont="1" applyFill="1" applyBorder="1" applyAlignment="1">
      <alignment horizontal="left" vertical="center" wrapText="1" indent="1"/>
    </xf>
    <xf numFmtId="49" fontId="87" fillId="0" borderId="55" xfId="0" applyFont="1" applyFill="1" applyBorder="1" applyAlignment="1">
      <alignment vertical="center" wrapText="1"/>
    </xf>
    <xf numFmtId="0" fontId="63" fillId="0" borderId="0" xfId="102" applyFont="1" applyFill="1" applyAlignment="1">
      <alignment vertical="center"/>
    </xf>
    <xf numFmtId="0" fontId="77"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10"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10"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7"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10" fillId="0" borderId="30" xfId="97" applyFont="1" applyFill="1" applyBorder="1" applyAlignment="1">
      <alignment vertical="center" wrapText="1"/>
    </xf>
    <xf numFmtId="169" fontId="10" fillId="0" borderId="30" xfId="102" applyNumberFormat="1" applyFont="1" applyFill="1" applyBorder="1" applyAlignment="1">
      <alignment horizontal="right" vertical="center"/>
    </xf>
    <xf numFmtId="0" fontId="10" fillId="0" borderId="33" xfId="102" applyFont="1" applyFill="1" applyBorder="1" applyAlignment="1">
      <alignment horizontal="left" vertical="center" wrapText="1" indent="1"/>
    </xf>
    <xf numFmtId="0" fontId="10" fillId="0" borderId="30" xfId="102" applyFont="1" applyFill="1" applyBorder="1" applyAlignment="1">
      <alignment horizontal="center" vertical="center" wrapText="1"/>
    </xf>
    <xf numFmtId="0" fontId="10"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10" fillId="0" borderId="32" xfId="97" applyFont="1" applyFill="1" applyBorder="1" applyAlignment="1">
      <alignment horizontal="left" vertical="center" wrapText="1" indent="1"/>
    </xf>
    <xf numFmtId="0" fontId="10" fillId="0" borderId="0" xfId="97" applyFont="1" applyFill="1" applyAlignment="1">
      <alignment horizontal="right" vertical="center" wrapText="1" indent="1"/>
    </xf>
    <xf numFmtId="4" fontId="10"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77" fillId="0" borderId="45" xfId="102" applyFont="1" applyFill="1" applyBorder="1" applyAlignment="1">
      <alignment vertical="center" wrapText="1"/>
    </xf>
    <xf numFmtId="0" fontId="63" fillId="0" borderId="5" xfId="102" applyFont="1" applyFill="1" applyBorder="1" applyAlignment="1">
      <alignment horizontal="center" vertical="center" wrapText="1"/>
    </xf>
    <xf numFmtId="0" fontId="10" fillId="0" borderId="7" xfId="102" applyFont="1" applyFill="1" applyBorder="1" applyAlignment="1">
      <alignment horizontal="center" vertical="center" wrapText="1"/>
    </xf>
    <xf numFmtId="0" fontId="10" fillId="0" borderId="33" xfId="97" applyFont="1" applyFill="1" applyBorder="1" applyAlignment="1">
      <alignment horizontal="center" vertical="center" wrapText="1"/>
    </xf>
    <xf numFmtId="0" fontId="77" fillId="0" borderId="46" xfId="102" applyFont="1" applyFill="1" applyBorder="1" applyAlignment="1">
      <alignment vertical="center" wrapText="1"/>
    </xf>
    <xf numFmtId="0" fontId="10" fillId="0" borderId="43" xfId="102" applyFont="1" applyFill="1" applyBorder="1" applyAlignment="1">
      <alignment horizontal="center" vertical="center" wrapText="1"/>
    </xf>
    <xf numFmtId="0" fontId="90" fillId="0" borderId="43" xfId="102" applyFont="1" applyFill="1" applyBorder="1" applyAlignment="1">
      <alignment vertical="center"/>
    </xf>
    <xf numFmtId="0" fontId="10" fillId="0" borderId="68" xfId="102" applyFont="1" applyFill="1" applyBorder="1" applyAlignment="1" applyProtection="1">
      <alignment horizontal="left" vertical="center" wrapText="1"/>
      <protection locked="0"/>
    </xf>
    <xf numFmtId="0" fontId="10" fillId="0" borderId="57" xfId="102" applyFont="1" applyFill="1" applyBorder="1" applyAlignment="1" applyProtection="1">
      <alignment horizontal="left" vertical="center" wrapText="1"/>
      <protection locked="0"/>
    </xf>
    <xf numFmtId="0" fontId="10" fillId="0" borderId="69" xfId="102" applyFont="1" applyFill="1" applyBorder="1" applyAlignment="1" applyProtection="1">
      <alignment horizontal="left" vertical="center" wrapText="1"/>
      <protection locked="0"/>
    </xf>
    <xf numFmtId="0" fontId="10" fillId="0" borderId="30" xfId="102" applyFont="1" applyFill="1" applyBorder="1" applyAlignment="1">
      <alignment horizontal="center" vertical="center" wrapText="1"/>
    </xf>
    <xf numFmtId="0" fontId="63" fillId="0" borderId="0" xfId="102" applyFont="1" applyFill="1" applyAlignment="1">
      <alignment horizontal="center" vertical="center" wrapText="1"/>
    </xf>
    <xf numFmtId="49" fontId="63" fillId="0" borderId="0" xfId="102" applyNumberFormat="1" applyFont="1" applyFill="1" applyAlignment="1">
      <alignment horizontal="left" vertical="center"/>
    </xf>
    <xf numFmtId="49" fontId="10" fillId="0" borderId="30" xfId="102" applyNumberFormat="1" applyFont="1" applyFill="1" applyBorder="1" applyAlignment="1">
      <alignment horizontal="center" vertical="center" wrapText="1"/>
    </xf>
    <xf numFmtId="4" fontId="10" fillId="0" borderId="30" xfId="102" applyNumberFormat="1" applyFont="1" applyFill="1" applyBorder="1" applyAlignment="1">
      <alignment horizontal="right" vertical="center"/>
    </xf>
    <xf numFmtId="0" fontId="4" fillId="0" borderId="7" xfId="102" applyFont="1" applyFill="1" applyBorder="1" applyAlignment="1">
      <alignment vertical="center"/>
    </xf>
    <xf numFmtId="49" fontId="10" fillId="0" borderId="14" xfId="102" applyNumberFormat="1" applyFont="1" applyFill="1" applyBorder="1" applyAlignment="1" applyProtection="1">
      <alignment horizontal="left" vertical="top" wrapText="1"/>
      <protection locked="0"/>
    </xf>
    <xf numFmtId="49" fontId="75"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0" fontId="63" fillId="0" borderId="0" xfId="102" applyFont="1" applyFill="1" applyAlignment="1">
      <alignment horizontal="center" vertical="center"/>
    </xf>
    <xf numFmtId="4" fontId="63" fillId="0" borderId="7" xfId="106" applyNumberFormat="1" applyFont="1" applyFill="1" applyBorder="1" applyAlignment="1" applyProtection="1">
      <alignment horizontal="right" vertical="center"/>
      <protection locked="0"/>
    </xf>
    <xf numFmtId="169" fontId="10" fillId="0" borderId="30" xfId="102" applyNumberFormat="1" applyFont="1" applyFill="1" applyBorder="1" applyAlignment="1" applyProtection="1">
      <alignment horizontal="right" vertical="center"/>
    </xf>
    <xf numFmtId="49" fontId="10" fillId="0" borderId="0" xfId="102" applyNumberFormat="1" applyFont="1" applyFill="1" applyBorder="1" applyAlignment="1">
      <alignment horizontal="center" vertical="center" wrapText="1"/>
    </xf>
    <xf numFmtId="49" fontId="94" fillId="0" borderId="5" xfId="102" applyNumberFormat="1" applyFont="1" applyFill="1" applyBorder="1" applyAlignment="1">
      <alignment horizontal="center" vertical="center" wrapText="1"/>
    </xf>
    <xf numFmtId="0" fontId="10"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10" fillId="0" borderId="0" xfId="102" applyNumberFormat="1" applyFont="1" applyFill="1" applyBorder="1" applyAlignment="1" applyProtection="1">
      <alignment horizontal="right" vertical="center"/>
    </xf>
    <xf numFmtId="49" fontId="10" fillId="0" borderId="8" xfId="102" applyNumberFormat="1" applyFont="1" applyFill="1" applyBorder="1" applyAlignment="1" applyProtection="1">
      <alignment horizontal="left" vertical="center"/>
    </xf>
    <xf numFmtId="49" fontId="10" fillId="0" borderId="0" xfId="102" applyNumberFormat="1" applyFont="1" applyFill="1" applyBorder="1" applyAlignment="1">
      <alignment horizontal="center" vertical="center" wrapText="1"/>
    </xf>
    <xf numFmtId="0" fontId="10" fillId="0" borderId="30" xfId="102" applyNumberFormat="1"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protection locked="0"/>
    </xf>
    <xf numFmtId="0" fontId="10"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0" fillId="0" borderId="0" xfId="105" applyFont="1" applyFill="1"/>
    <xf numFmtId="0" fontId="10" fillId="0" borderId="0" xfId="105" applyFont="1" applyFill="1" applyAlignment="1">
      <alignment horizontal="center"/>
    </xf>
    <xf numFmtId="0" fontId="10" fillId="0" borderId="0" xfId="105" applyFont="1" applyFill="1" applyAlignment="1">
      <alignment horizontal="left"/>
    </xf>
    <xf numFmtId="0" fontId="10" fillId="0" borderId="0" xfId="105" applyNumberFormat="1" applyFont="1" applyFill="1" applyAlignment="1">
      <alignment horizontal="left" vertical="center"/>
    </xf>
    <xf numFmtId="0" fontId="10" fillId="0" borderId="0" xfId="105" applyFont="1" applyFill="1" applyBorder="1"/>
    <xf numFmtId="0" fontId="12" fillId="0" borderId="0" xfId="105" applyFont="1" applyFill="1" applyBorder="1" applyAlignment="1">
      <alignment horizontal="center"/>
    </xf>
    <xf numFmtId="0" fontId="10" fillId="0" borderId="7" xfId="105" applyFont="1" applyFill="1" applyBorder="1" applyAlignment="1">
      <alignment horizontal="center" vertical="center" wrapText="1"/>
    </xf>
    <xf numFmtId="0" fontId="10" fillId="0" borderId="7" xfId="105" applyFont="1" applyFill="1" applyBorder="1" applyAlignment="1">
      <alignment horizontal="center" vertical="center"/>
    </xf>
    <xf numFmtId="0" fontId="63" fillId="0" borderId="58"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2" fillId="0" borderId="0" xfId="105" applyFont="1" applyFill="1"/>
    <xf numFmtId="0" fontId="12" fillId="0" borderId="7" xfId="105" applyFont="1" applyFill="1" applyBorder="1" applyAlignment="1">
      <alignment horizontal="center" vertical="center"/>
    </xf>
    <xf numFmtId="4" fontId="12" fillId="0" borderId="7" xfId="105" applyNumberFormat="1" applyFont="1" applyFill="1" applyBorder="1" applyAlignment="1">
      <alignment horizontal="right" vertical="center"/>
    </xf>
    <xf numFmtId="0" fontId="10" fillId="0" borderId="7" xfId="105" applyFont="1" applyFill="1" applyBorder="1" applyAlignment="1">
      <alignment horizontal="center" vertical="center"/>
    </xf>
    <xf numFmtId="4" fontId="10" fillId="0" borderId="7" xfId="105" applyNumberFormat="1" applyFont="1" applyFill="1" applyBorder="1" applyAlignment="1" applyProtection="1">
      <alignment horizontal="right" vertical="center"/>
      <protection locked="0"/>
    </xf>
    <xf numFmtId="0" fontId="10" fillId="0" borderId="0" xfId="105" applyFont="1" applyFill="1" applyAlignment="1">
      <alignment horizontal="center" vertical="center"/>
    </xf>
    <xf numFmtId="0" fontId="10" fillId="0" borderId="0" xfId="105" applyFont="1" applyFill="1" applyAlignment="1">
      <alignment vertical="center" wrapText="1"/>
    </xf>
    <xf numFmtId="4" fontId="10" fillId="0" borderId="0" xfId="105" applyNumberFormat="1" applyFont="1" applyFill="1" applyAlignment="1">
      <alignment horizontal="center" vertical="center"/>
    </xf>
    <xf numFmtId="0" fontId="79" fillId="0" borderId="0" xfId="105" applyFont="1" applyFill="1"/>
    <xf numFmtId="0" fontId="80"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left"/>
      <protection hidden="1"/>
    </xf>
    <xf numFmtId="0" fontId="63" fillId="0" borderId="0" xfId="102" applyFont="1" applyFill="1" applyAlignment="1" applyProtection="1">
      <alignment horizontal="center"/>
      <protection hidden="1"/>
    </xf>
    <xf numFmtId="0" fontId="10" fillId="0" borderId="0" xfId="102" applyNumberFormat="1" applyFont="1" applyFill="1" applyAlignment="1" applyProtection="1">
      <alignment horizontal="left" vertical="center"/>
      <protection hidden="1"/>
    </xf>
    <xf numFmtId="171" fontId="20" fillId="0" borderId="0" xfId="101" applyNumberFormat="1" applyFont="1" applyFill="1" applyAlignment="1">
      <alignment horizontal="left" vertical="center" wrapText="1"/>
    </xf>
    <xf numFmtId="0" fontId="63" fillId="0" borderId="0" xfId="102" applyFont="1" applyFill="1" applyAlignment="1">
      <alignment horizontal="center"/>
    </xf>
    <xf numFmtId="49" fontId="12" fillId="0" borderId="7" xfId="102" applyNumberFormat="1" applyFont="1" applyFill="1" applyBorder="1" applyAlignment="1">
      <alignment horizontal="center" vertical="center"/>
    </xf>
    <xf numFmtId="0" fontId="12" fillId="0" borderId="30" xfId="102" applyFont="1" applyFill="1" applyBorder="1" applyAlignment="1">
      <alignment horizontal="center" vertical="center" wrapText="1"/>
    </xf>
    <xf numFmtId="4" fontId="10" fillId="0" borderId="7" xfId="102" applyNumberFormat="1" applyFont="1" applyFill="1" applyBorder="1" applyAlignment="1" applyProtection="1">
      <alignment horizontal="right" vertical="center"/>
    </xf>
    <xf numFmtId="49" fontId="10" fillId="0" borderId="7" xfId="102" applyNumberFormat="1" applyFont="1" applyFill="1" applyBorder="1" applyAlignment="1">
      <alignment horizontal="center" vertical="center"/>
    </xf>
    <xf numFmtId="4" fontId="10" fillId="0" borderId="7" xfId="102" applyNumberFormat="1" applyFont="1" applyFill="1" applyBorder="1" applyAlignment="1" applyProtection="1">
      <alignment horizontal="right" vertical="center"/>
      <protection locked="0"/>
    </xf>
    <xf numFmtId="0" fontId="10"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10" fillId="0" borderId="7" xfId="102" applyFont="1" applyFill="1" applyBorder="1" applyAlignment="1">
      <alignment horizontal="left" vertical="center" wrapText="1" indent="1"/>
    </xf>
    <xf numFmtId="0" fontId="13" fillId="0" borderId="0" xfId="105" applyFont="1" applyFill="1"/>
    <xf numFmtId="0" fontId="66" fillId="0" borderId="0" xfId="105" applyFont="1" applyFill="1"/>
    <xf numFmtId="0" fontId="66" fillId="0" borderId="0" xfId="105" applyFont="1" applyFill="1" applyAlignment="1">
      <alignment horizontal="left"/>
    </xf>
    <xf numFmtId="0" fontId="13" fillId="0" borderId="0" xfId="105" applyFont="1" applyFill="1" applyAlignment="1">
      <alignment horizontal="left"/>
    </xf>
    <xf numFmtId="0" fontId="90" fillId="0" borderId="7" xfId="102" applyFont="1" applyFill="1" applyBorder="1"/>
    <xf numFmtId="4" fontId="12"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2" fillId="0" borderId="7" xfId="105" applyFont="1" applyFill="1" applyBorder="1" applyAlignment="1">
      <alignment vertical="center" wrapText="1"/>
    </xf>
    <xf numFmtId="4" fontId="12" fillId="0" borderId="7" xfId="105" applyNumberFormat="1" applyFont="1" applyFill="1" applyBorder="1" applyAlignment="1" applyProtection="1">
      <alignment horizontal="right" vertical="center"/>
      <protection locked="0"/>
    </xf>
    <xf numFmtId="49" fontId="13" fillId="0" borderId="0" xfId="105" applyNumberFormat="1" applyFont="1" applyFill="1"/>
    <xf numFmtId="0" fontId="69" fillId="0" borderId="0" xfId="105" applyFont="1" applyFill="1" applyAlignment="1">
      <alignment horizontal="left" vertical="center" wrapText="1" indent="1"/>
    </xf>
    <xf numFmtId="0" fontId="69"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10" fillId="0" borderId="0" xfId="112" applyNumberFormat="1" applyFont="1" applyFill="1" applyAlignment="1">
      <alignment horizontal="left" vertical="center"/>
    </xf>
    <xf numFmtId="0" fontId="10" fillId="0" borderId="0" xfId="107" applyFont="1" applyFill="1" applyAlignment="1">
      <alignment vertical="center"/>
    </xf>
    <xf numFmtId="0" fontId="10" fillId="0" borderId="0" xfId="107" applyFont="1" applyFill="1" applyAlignment="1">
      <alignment horizontal="left" vertical="center"/>
    </xf>
    <xf numFmtId="49" fontId="77" fillId="0" borderId="9" xfId="112" quotePrefix="1" applyNumberFormat="1" applyFont="1" applyFill="1" applyBorder="1" applyAlignment="1">
      <alignment horizontal="left" vertical="center" indent="1"/>
    </xf>
    <xf numFmtId="49" fontId="77" fillId="0" borderId="9" xfId="112" applyNumberFormat="1" applyFont="1" applyFill="1" applyBorder="1" applyAlignment="1">
      <alignment horizontal="left" vertical="center" wrapText="1" indent="4"/>
    </xf>
    <xf numFmtId="49" fontId="77" fillId="0" borderId="0" xfId="112" quotePrefix="1" applyNumberFormat="1" applyFont="1" applyFill="1" applyAlignment="1">
      <alignment horizontal="left" vertical="center" wrapText="1" indent="4"/>
    </xf>
    <xf numFmtId="49" fontId="77"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7" xfId="113" applyFont="1" applyFill="1" applyBorder="1" applyAlignment="1">
      <alignment horizontal="center" vertical="center" wrapText="1"/>
    </xf>
    <xf numFmtId="0" fontId="90" fillId="0" borderId="7" xfId="113" applyFont="1" applyFill="1" applyBorder="1"/>
    <xf numFmtId="0" fontId="63" fillId="0" borderId="0" xfId="112" applyFont="1" applyFill="1" applyAlignment="1">
      <alignment horizontal="center" vertical="center"/>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10" fillId="0" borderId="7" xfId="112" applyNumberFormat="1" applyFont="1" applyFill="1" applyBorder="1" applyAlignment="1">
      <alignment horizontal="center" vertical="center" wrapText="1"/>
    </xf>
    <xf numFmtId="0" fontId="10" fillId="0" borderId="7" xfId="105" applyFont="1" applyFill="1" applyBorder="1" applyAlignment="1">
      <alignment vertical="center" wrapText="1"/>
    </xf>
    <xf numFmtId="0" fontId="10"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10" fillId="0" borderId="0" xfId="99" applyNumberFormat="1" applyFill="1" applyAlignment="1">
      <alignment vertical="center"/>
    </xf>
    <xf numFmtId="49" fontId="63"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0" fontId="63" fillId="0" borderId="0" xfId="114" applyFont="1" applyFill="1" applyAlignment="1">
      <alignment horizontal="left" vertical="center"/>
    </xf>
    <xf numFmtId="0" fontId="10" fillId="0" borderId="7" xfId="112" applyFont="1" applyFill="1" applyBorder="1" applyAlignment="1">
      <alignment horizontal="center" vertical="center" wrapText="1"/>
    </xf>
    <xf numFmtId="0" fontId="10"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10" fillId="0" borderId="7" xfId="113" applyFont="1" applyFill="1" applyBorder="1" applyAlignment="1">
      <alignment horizontal="center" vertical="center" wrapText="1"/>
    </xf>
    <xf numFmtId="0" fontId="2"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10" fillId="0" borderId="14" xfId="113" applyNumberFormat="1" applyFont="1" applyFill="1" applyBorder="1" applyAlignment="1" applyProtection="1">
      <alignment horizontal="left" vertical="top" wrapText="1"/>
      <protection locked="0"/>
    </xf>
    <xf numFmtId="49" fontId="75" fillId="0" borderId="14" xfId="113" applyNumberFormat="1" applyFont="1" applyFill="1" applyBorder="1" applyAlignment="1" applyProtection="1">
      <alignment horizontal="left" vertical="top" wrapText="1"/>
      <protection locked="0"/>
    </xf>
    <xf numFmtId="0" fontId="63" fillId="0" borderId="0" xfId="114" applyFont="1" applyFill="1" applyAlignment="1">
      <alignment vertical="center"/>
    </xf>
    <xf numFmtId="0" fontId="10" fillId="0" borderId="0" xfId="114" applyNumberFormat="1" applyFont="1" applyFill="1" applyAlignment="1">
      <alignment horizontal="left" vertical="center"/>
    </xf>
    <xf numFmtId="49" fontId="77" fillId="0" borderId="9" xfId="114" quotePrefix="1" applyNumberFormat="1" applyFont="1" applyFill="1" applyBorder="1" applyAlignment="1">
      <alignment horizontal="left" vertical="center" indent="1"/>
    </xf>
    <xf numFmtId="49" fontId="77" fillId="0" borderId="9" xfId="114" applyNumberFormat="1" applyFont="1" applyFill="1" applyBorder="1" applyAlignment="1">
      <alignment horizontal="left" vertical="center" wrapText="1" indent="4"/>
    </xf>
    <xf numFmtId="49" fontId="77" fillId="0" borderId="0" xfId="114" quotePrefix="1" applyNumberFormat="1" applyFont="1" applyFill="1" applyAlignment="1">
      <alignment horizontal="left" vertical="center" wrapText="1" indent="4"/>
    </xf>
    <xf numFmtId="49" fontId="77"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7" xfId="114" applyFont="1" applyFill="1" applyBorder="1" applyAlignment="1">
      <alignment horizontal="center" vertical="center" wrapText="1"/>
    </xf>
    <xf numFmtId="0" fontId="90" fillId="0" borderId="7" xfId="114" applyFont="1" applyFill="1" applyBorder="1"/>
    <xf numFmtId="0" fontId="63" fillId="0" borderId="0" xfId="114" applyFont="1" applyFill="1" applyAlignment="1">
      <alignment horizontal="center" vertical="center" wrapText="1"/>
    </xf>
    <xf numFmtId="0" fontId="63" fillId="0" borderId="0" xfId="114" applyFont="1" applyFill="1" applyAlignment="1">
      <alignment horizontal="center" vertical="center"/>
    </xf>
    <xf numFmtId="49" fontId="10"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4" fontId="10" fillId="0" borderId="7" xfId="105" applyNumberFormat="1" applyFont="1" applyFill="1" applyBorder="1" applyAlignment="1">
      <alignment horizontal="right" vertical="center"/>
    </xf>
    <xf numFmtId="0" fontId="69" fillId="0" borderId="0" xfId="106" applyFont="1" applyFill="1" applyAlignment="1">
      <alignment vertical="center"/>
    </xf>
    <xf numFmtId="0" fontId="10"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10" fillId="0" borderId="7" xfId="114" applyFont="1" applyFill="1" applyBorder="1" applyAlignment="1">
      <alignment horizontal="center" vertical="center" wrapText="1"/>
    </xf>
    <xf numFmtId="0" fontId="2" fillId="0" borderId="7" xfId="114" applyFill="1" applyBorder="1" applyAlignment="1">
      <alignment vertical="center"/>
    </xf>
    <xf numFmtId="49" fontId="0" fillId="0" borderId="14" xfId="114" applyNumberFormat="1" applyFont="1" applyFill="1" applyBorder="1" applyAlignment="1" applyProtection="1">
      <alignment horizontal="left" vertical="top" wrapText="1"/>
      <protection locked="0"/>
    </xf>
    <xf numFmtId="49" fontId="10" fillId="0" borderId="14" xfId="114" applyNumberFormat="1" applyFont="1" applyFill="1" applyBorder="1" applyAlignment="1" applyProtection="1">
      <alignment horizontal="left" vertical="top" wrapText="1"/>
      <protection locked="0"/>
    </xf>
    <xf numFmtId="49" fontId="75" fillId="0" borderId="14" xfId="114" applyNumberFormat="1" applyFont="1" applyFill="1" applyBorder="1" applyAlignment="1" applyProtection="1">
      <alignment horizontal="left" vertical="top" wrapText="1"/>
      <protection locked="0"/>
    </xf>
    <xf numFmtId="0" fontId="2" fillId="0" borderId="0" xfId="114" applyFill="1"/>
    <xf numFmtId="0" fontId="63" fillId="0" borderId="9" xfId="114" applyFont="1" applyFill="1" applyBorder="1" applyAlignment="1">
      <alignment vertical="center"/>
    </xf>
    <xf numFmtId="0" fontId="2" fillId="0" borderId="9" xfId="114" applyFill="1" applyBorder="1" applyAlignment="1">
      <alignment vertical="center"/>
    </xf>
    <xf numFmtId="0" fontId="63" fillId="0" borderId="0" xfId="114" applyFont="1" applyFill="1" applyProtection="1">
      <protection hidden="1"/>
    </xf>
    <xf numFmtId="0" fontId="90" fillId="0" borderId="0" xfId="114" applyFont="1" applyFill="1"/>
    <xf numFmtId="0" fontId="0" fillId="0" borderId="6" xfId="114" applyFont="1" applyFill="1" applyBorder="1" applyAlignment="1">
      <alignment horizontal="left" vertical="center"/>
    </xf>
    <xf numFmtId="4" fontId="12" fillId="0" borderId="6" xfId="114" applyNumberFormat="1" applyFont="1" applyFill="1" applyBorder="1" applyAlignment="1">
      <alignment horizontal="right" vertical="center"/>
    </xf>
    <xf numFmtId="49" fontId="10" fillId="0" borderId="7" xfId="114" applyNumberFormat="1" applyFont="1" applyFill="1" applyBorder="1" applyAlignment="1">
      <alignment horizontal="center" vertical="center"/>
    </xf>
    <xf numFmtId="0" fontId="10" fillId="0" borderId="7" xfId="114" applyFont="1" applyFill="1" applyBorder="1" applyAlignment="1">
      <alignment horizontal="left" vertical="center" wrapText="1"/>
    </xf>
    <xf numFmtId="0" fontId="10" fillId="0" borderId="7" xfId="114" applyFont="1" applyFill="1" applyBorder="1" applyAlignment="1">
      <alignment horizontal="center" vertical="center"/>
    </xf>
    <xf numFmtId="4" fontId="10"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7" fillId="0" borderId="30" xfId="114" applyFont="1" applyFill="1" applyBorder="1" applyAlignment="1">
      <alignment horizontal="left" vertical="center" wrapText="1"/>
    </xf>
    <xf numFmtId="0" fontId="63" fillId="0" borderId="7" xfId="114" applyFont="1" applyFill="1" applyBorder="1"/>
    <xf numFmtId="4" fontId="10" fillId="0" borderId="7" xfId="114" applyNumberFormat="1" applyFont="1" applyFill="1" applyBorder="1" applyAlignment="1">
      <alignment horizontal="center" vertical="center"/>
    </xf>
    <xf numFmtId="0" fontId="12" fillId="0" borderId="7" xfId="102" applyFont="1" applyFill="1" applyBorder="1" applyAlignment="1">
      <alignment horizontal="center" vertical="center" wrapText="1"/>
    </xf>
    <xf numFmtId="0" fontId="12" fillId="0" borderId="7" xfId="102" applyFont="1" applyFill="1" applyBorder="1" applyAlignment="1">
      <alignment horizontal="left" vertical="center" wrapText="1"/>
    </xf>
    <xf numFmtId="4" fontId="77" fillId="0" borderId="7" xfId="102" applyNumberFormat="1" applyFont="1" applyFill="1" applyBorder="1" applyAlignment="1">
      <alignment horizontal="right" vertical="center" wrapText="1"/>
    </xf>
    <xf numFmtId="0" fontId="10"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10"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69"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59"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7" fillId="0" borderId="0" xfId="107" applyFont="1" applyFill="1"/>
    <xf numFmtId="4" fontId="77"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10" fillId="0" borderId="7" xfId="106" applyFont="1" applyFill="1" applyBorder="1" applyAlignment="1">
      <alignment horizontal="center" vertical="center" wrapText="1"/>
    </xf>
    <xf numFmtId="0" fontId="63" fillId="0" borderId="7" xfId="106" applyFont="1" applyFill="1" applyBorder="1"/>
    <xf numFmtId="49" fontId="10" fillId="0" borderId="7" xfId="106" applyNumberFormat="1" applyFont="1" applyFill="1" applyBorder="1" applyAlignment="1" applyProtection="1">
      <alignment horizontal="left" vertical="top" wrapText="1"/>
      <protection locked="0"/>
    </xf>
    <xf numFmtId="49" fontId="74" fillId="0" borderId="0" xfId="99" applyFont="1" applyFill="1" applyBorder="1" applyAlignment="1">
      <alignment horizontal="left" vertical="center" wrapText="1"/>
    </xf>
    <xf numFmtId="0" fontId="81" fillId="0" borderId="0" xfId="107" applyFont="1" applyFill="1" applyAlignment="1">
      <alignment horizontal="left" vertical="top" wrapText="1"/>
    </xf>
    <xf numFmtId="0" fontId="10" fillId="0" borderId="0" xfId="107" applyNumberFormat="1" applyFont="1" applyFill="1" applyAlignment="1">
      <alignment horizontal="left" vertical="center"/>
    </xf>
    <xf numFmtId="49" fontId="10" fillId="0" borderId="7" xfId="107" applyNumberFormat="1" applyFont="1" applyFill="1" applyBorder="1" applyAlignment="1">
      <alignment horizontal="center" vertical="center" wrapText="1"/>
    </xf>
    <xf numFmtId="49" fontId="12" fillId="0" borderId="7" xfId="107" applyNumberFormat="1" applyFont="1" applyFill="1" applyBorder="1" applyAlignment="1">
      <alignment horizontal="center" vertical="center" wrapText="1"/>
    </xf>
    <xf numFmtId="4" fontId="77" fillId="0" borderId="7" xfId="107" applyNumberFormat="1" applyFont="1" applyFill="1" applyBorder="1" applyAlignment="1">
      <alignment horizontal="right" vertical="center" wrapText="1"/>
    </xf>
    <xf numFmtId="4" fontId="20" fillId="0" borderId="7" xfId="107" applyNumberFormat="1" applyFont="1" applyFill="1" applyBorder="1" applyAlignment="1">
      <alignment horizontal="right" vertical="center" wrapText="1"/>
    </xf>
    <xf numFmtId="49" fontId="10"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4"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4"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4" fillId="0" borderId="7" xfId="107" applyNumberFormat="1" applyFont="1" applyFill="1" applyBorder="1" applyAlignment="1" applyProtection="1">
      <alignment horizontal="right" vertical="center" wrapText="1"/>
      <protection locked="0"/>
    </xf>
    <xf numFmtId="0" fontId="4" fillId="0" borderId="7" xfId="106" applyFont="1" applyFill="1" applyBorder="1" applyAlignment="1">
      <alignment vertical="center"/>
    </xf>
    <xf numFmtId="49" fontId="10" fillId="0" borderId="7" xfId="106" applyNumberFormat="1" applyFont="1" applyFill="1" applyBorder="1" applyAlignment="1">
      <alignment horizontal="left" vertical="top" wrapText="1"/>
    </xf>
    <xf numFmtId="49" fontId="75" fillId="0" borderId="7" xfId="106" applyNumberFormat="1" applyFont="1" applyFill="1" applyBorder="1" applyAlignment="1">
      <alignment horizontal="left" vertical="top" wrapText="1"/>
    </xf>
    <xf numFmtId="49" fontId="72" fillId="0" borderId="0" xfId="99" applyFont="1" applyFill="1" applyAlignment="1">
      <alignment vertical="center"/>
    </xf>
    <xf numFmtId="49" fontId="75" fillId="0" borderId="7" xfId="106" applyNumberFormat="1" applyFont="1" applyFill="1" applyBorder="1" applyAlignment="1" applyProtection="1">
      <alignment horizontal="left" vertical="top" wrapText="1"/>
      <protection locked="0"/>
    </xf>
    <xf numFmtId="49" fontId="0" fillId="0" borderId="0" xfId="0" applyFill="1">
      <alignment vertical="top"/>
    </xf>
    <xf numFmtId="0" fontId="81" fillId="0" borderId="0" xfId="107" applyFont="1" applyFill="1" applyAlignment="1">
      <alignment horizontal="left" vertical="center" wrapText="1"/>
    </xf>
    <xf numFmtId="0" fontId="10" fillId="0" borderId="7" xfId="97"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10" fillId="0" borderId="7" xfId="106"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63" fillId="0" borderId="0" xfId="106" applyFont="1" applyFill="1" applyAlignment="1">
      <alignment vertical="center"/>
    </xf>
    <xf numFmtId="0" fontId="0" fillId="0" borderId="7" xfId="0" applyNumberFormat="1" applyFont="1" applyFill="1" applyBorder="1" applyAlignment="1">
      <alignment horizontal="left" vertical="center"/>
    </xf>
    <xf numFmtId="0" fontId="77" fillId="0" borderId="7" xfId="107" applyFont="1" applyFill="1" applyBorder="1" applyAlignment="1">
      <alignment horizontal="center" vertical="center"/>
    </xf>
    <xf numFmtId="0" fontId="77" fillId="0" borderId="7" xfId="107" applyFont="1" applyFill="1" applyBorder="1" applyAlignment="1">
      <alignment horizontal="left" vertical="center" wrapText="1"/>
    </xf>
    <xf numFmtId="0" fontId="77" fillId="0" borderId="7" xfId="107" applyFont="1" applyFill="1" applyBorder="1" applyAlignment="1">
      <alignment horizontal="center" vertical="center" wrapText="1"/>
    </xf>
    <xf numFmtId="49" fontId="77" fillId="0" borderId="7" xfId="107" applyNumberFormat="1" applyFont="1" applyFill="1" applyBorder="1" applyAlignment="1" applyProtection="1">
      <alignment horizontal="left" vertical="center" wrapText="1"/>
      <protection locked="0"/>
    </xf>
    <xf numFmtId="49" fontId="77" fillId="0" borderId="7" xfId="107" applyNumberFormat="1" applyFont="1" applyFill="1" applyBorder="1" applyAlignment="1">
      <alignment horizontal="center" vertical="center"/>
    </xf>
    <xf numFmtId="4" fontId="77" fillId="0" borderId="7" xfId="107" applyNumberFormat="1" applyFont="1" applyFill="1" applyBorder="1" applyAlignment="1" applyProtection="1">
      <alignment horizontal="right" vertical="center" wrapText="1"/>
      <protection locked="0"/>
    </xf>
    <xf numFmtId="0" fontId="77"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7" xfId="107" applyFont="1" applyFill="1" applyBorder="1" applyAlignment="1">
      <alignment horizontal="center" vertical="center"/>
    </xf>
    <xf numFmtId="49" fontId="63" fillId="0" borderId="7" xfId="107" applyNumberFormat="1" applyFont="1" applyFill="1" applyBorder="1" applyAlignment="1" applyProtection="1">
      <alignment horizontal="left" vertical="center" wrapText="1"/>
      <protection locked="0"/>
    </xf>
    <xf numFmtId="4" fontId="14" fillId="0" borderId="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7" xfId="107" applyFont="1" applyFill="1" applyBorder="1" applyAlignment="1">
      <alignment horizontal="right" vertical="center" wrapText="1"/>
    </xf>
    <xf numFmtId="0" fontId="63" fillId="0" borderId="7" xfId="107" applyFont="1" applyFill="1" applyBorder="1" applyAlignment="1">
      <alignment horizontal="left" vertical="center" wrapText="1" indent="1"/>
    </xf>
    <xf numFmtId="0" fontId="63" fillId="0" borderId="7" xfId="108" quotePrefix="1" applyFont="1" applyFill="1" applyBorder="1" applyAlignment="1">
      <alignment horizontal="left" vertical="center" wrapText="1" indent="1"/>
    </xf>
    <xf numFmtId="0" fontId="63" fillId="0" borderId="7" xfId="107" applyFont="1" applyFill="1" applyBorder="1" applyAlignment="1">
      <alignment horizontal="left" vertical="center" wrapText="1"/>
    </xf>
    <xf numFmtId="0" fontId="63" fillId="0" borderId="7" xfId="107" applyFont="1" applyFill="1" applyBorder="1" applyAlignment="1">
      <alignment vertical="center" wrapText="1"/>
    </xf>
    <xf numFmtId="0" fontId="2" fillId="0" borderId="0" xfId="115" applyFill="1"/>
    <xf numFmtId="4" fontId="12" fillId="0" borderId="7" xfId="104" applyNumberFormat="1" applyFont="1" applyFill="1" applyBorder="1" applyAlignment="1" applyProtection="1">
      <alignment horizontal="right" vertical="center" wrapText="1"/>
      <protection locked="0"/>
    </xf>
    <xf numFmtId="4" fontId="12" fillId="0" borderId="7" xfId="104" applyNumberFormat="1" applyFont="1" applyFill="1" applyBorder="1" applyAlignment="1" applyProtection="1">
      <alignment horizontal="right" vertical="center" wrapText="1"/>
    </xf>
    <xf numFmtId="49" fontId="0" fillId="0" borderId="7" xfId="106" applyNumberFormat="1" applyFont="1" applyFill="1" applyBorder="1" applyAlignment="1" applyProtection="1">
      <alignment horizontal="left" vertical="top" wrapText="1"/>
      <protection locked="0"/>
    </xf>
    <xf numFmtId="0" fontId="69" fillId="0" borderId="0" xfId="106" applyFont="1" applyFill="1" applyAlignment="1">
      <alignment horizontal="center" vertical="center"/>
    </xf>
    <xf numFmtId="0" fontId="69" fillId="0" borderId="0" xfId="106" applyFont="1" applyFill="1" applyAlignment="1">
      <alignment vertical="center" wrapText="1"/>
    </xf>
    <xf numFmtId="0" fontId="13"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3" fillId="0" borderId="7" xfId="106"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69"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0" fontId="69" fillId="0" borderId="0" xfId="106" applyFont="1" applyFill="1" applyAlignment="1">
      <alignment horizontal="left" vertical="center" wrapText="1"/>
    </xf>
    <xf numFmtId="49" fontId="12" fillId="0" borderId="7" xfId="106" applyNumberFormat="1" applyFont="1" applyFill="1" applyBorder="1" applyAlignment="1">
      <alignment horizontal="center" vertical="center" wrapText="1"/>
    </xf>
    <xf numFmtId="0" fontId="12" fillId="0" borderId="7" xfId="106" applyFont="1" applyFill="1" applyBorder="1" applyAlignment="1">
      <alignment vertical="center" wrapText="1"/>
    </xf>
    <xf numFmtId="0" fontId="12" fillId="0" borderId="7" xfId="106" applyFont="1" applyFill="1" applyBorder="1" applyAlignment="1">
      <alignment horizontal="center" vertical="center" wrapText="1"/>
    </xf>
    <xf numFmtId="4" fontId="77" fillId="0" borderId="7" xfId="106" applyNumberFormat="1" applyFont="1" applyFill="1" applyBorder="1" applyAlignment="1">
      <alignment horizontal="right" vertical="center"/>
    </xf>
    <xf numFmtId="4" fontId="77"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0" fontId="69" fillId="0" borderId="0" xfId="106" applyFont="1" applyFill="1" applyAlignment="1">
      <alignment horizontal="left" vertical="center"/>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12" fillId="0" borderId="7" xfId="106" applyFont="1" applyFill="1" applyBorder="1" applyAlignment="1">
      <alignment horizontal="left" vertical="center" wrapText="1" indent="1"/>
    </xf>
    <xf numFmtId="49" fontId="77"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7" fillId="0" borderId="7" xfId="106" applyNumberFormat="1" applyFont="1" applyFill="1" applyBorder="1" applyAlignment="1">
      <alignment horizontal="center" vertical="center"/>
    </xf>
    <xf numFmtId="0" fontId="77" fillId="0" borderId="7" xfId="106" applyFont="1" applyFill="1" applyBorder="1" applyAlignment="1">
      <alignment horizontal="left" vertical="center" wrapText="1" indent="1"/>
    </xf>
    <xf numFmtId="0" fontId="77" fillId="0" borderId="7" xfId="106" applyFont="1" applyFill="1" applyBorder="1" applyAlignment="1">
      <alignment horizontal="center" vertical="center"/>
    </xf>
    <xf numFmtId="4" fontId="0" fillId="0" borderId="7" xfId="106" applyNumberFormat="1" applyFont="1" applyFill="1" applyBorder="1" applyAlignment="1" applyProtection="1">
      <alignment horizontal="right" vertical="center" wrapText="1"/>
      <protection locked="0"/>
    </xf>
    <xf numFmtId="0" fontId="10" fillId="0" borderId="7" xfId="106" applyFont="1" applyFill="1" applyBorder="1" applyAlignment="1">
      <alignment horizontal="left" vertical="center" wrapText="1" indent="1"/>
    </xf>
    <xf numFmtId="0" fontId="77"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77"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7" fillId="0" borderId="7" xfId="115" applyNumberFormat="1" applyFont="1" applyFill="1" applyBorder="1" applyAlignment="1">
      <alignment horizontal="right" vertical="center"/>
    </xf>
    <xf numFmtId="0" fontId="1" fillId="0" borderId="0" xfId="115" applyFont="1" applyFill="1"/>
    <xf numFmtId="169" fontId="77"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10" fillId="0" borderId="0" xfId="106" applyNumberFormat="1" applyFont="1" applyFill="1" applyAlignment="1">
      <alignment horizontal="left" vertical="center" indent="2"/>
    </xf>
    <xf numFmtId="0" fontId="105" fillId="0" borderId="0" xfId="107" applyFont="1" applyFill="1" applyAlignment="1">
      <alignment vertical="center"/>
    </xf>
    <xf numFmtId="49" fontId="77" fillId="0" borderId="31" xfId="106" applyNumberFormat="1" applyFont="1" applyFill="1" applyBorder="1" applyAlignment="1">
      <alignment horizontal="left" vertical="center"/>
    </xf>
    <xf numFmtId="49" fontId="77" fillId="0" borderId="32" xfId="106" applyNumberFormat="1" applyFont="1" applyFill="1" applyBorder="1" applyAlignment="1">
      <alignment horizontal="left" vertical="center" wrapText="1"/>
    </xf>
    <xf numFmtId="49" fontId="77" fillId="0" borderId="33" xfId="106" applyNumberFormat="1" applyFont="1" applyFill="1" applyBorder="1" applyAlignment="1">
      <alignment horizontal="left"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center" vertical="center" wrapText="1"/>
    </xf>
    <xf numFmtId="0" fontId="10" fillId="0" borderId="32" xfId="106" applyFont="1" applyFill="1" applyBorder="1" applyAlignment="1">
      <alignment horizontal="center" vertical="center" wrapText="1"/>
    </xf>
    <xf numFmtId="0" fontId="10" fillId="0" borderId="33" xfId="106" applyFont="1" applyFill="1" applyBorder="1" applyAlignment="1">
      <alignment horizontal="center"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right" vertical="center" wrapText="1"/>
    </xf>
    <xf numFmtId="0" fontId="10" fillId="0" borderId="33" xfId="106" applyFont="1" applyFill="1" applyBorder="1" applyAlignment="1">
      <alignment horizontal="right" vertical="center" wrapText="1"/>
    </xf>
    <xf numFmtId="0" fontId="12" fillId="0" borderId="31" xfId="106" applyNumberFormat="1" applyFont="1" applyFill="1" applyBorder="1" applyAlignment="1">
      <alignment horizontal="left" vertical="center" indent="1"/>
    </xf>
    <xf numFmtId="0" fontId="12" fillId="0" borderId="32" xfId="106" applyNumberFormat="1" applyFont="1" applyFill="1" applyBorder="1" applyAlignment="1">
      <alignment vertical="center" wrapText="1"/>
    </xf>
    <xf numFmtId="0" fontId="12" fillId="0" borderId="33" xfId="106" applyNumberFormat="1" applyFont="1" applyFill="1" applyBorder="1" applyAlignment="1">
      <alignment vertical="center" wrapText="1"/>
    </xf>
    <xf numFmtId="0" fontId="10" fillId="0" borderId="31" xfId="106" applyFont="1" applyFill="1" applyBorder="1" applyAlignment="1">
      <alignment horizontal="right" vertical="center" wrapText="1" indent="1"/>
    </xf>
    <xf numFmtId="0" fontId="10" fillId="0" borderId="33" xfId="106" applyFont="1" applyFill="1" applyBorder="1" applyAlignment="1">
      <alignment horizontal="right" vertical="center" wrapText="1" indent="1"/>
    </xf>
    <xf numFmtId="49" fontId="12" fillId="0" borderId="32" xfId="106" applyNumberFormat="1" applyFont="1" applyFill="1" applyBorder="1" applyAlignment="1">
      <alignment vertical="center" wrapText="1"/>
    </xf>
    <xf numFmtId="49" fontId="12" fillId="0" borderId="33" xfId="106" applyNumberFormat="1" applyFont="1" applyFill="1" applyBorder="1" applyAlignment="1">
      <alignment vertical="center" wrapText="1"/>
    </xf>
    <xf numFmtId="0" fontId="10" fillId="0" borderId="31" xfId="106" applyFont="1" applyFill="1" applyBorder="1" applyAlignment="1">
      <alignment horizontal="left" vertical="center" wrapText="1"/>
    </xf>
    <xf numFmtId="0" fontId="10" fillId="0" borderId="32" xfId="49" applyFont="1" applyFill="1" applyBorder="1" applyAlignment="1">
      <alignment horizontal="center" vertical="center"/>
    </xf>
    <xf numFmtId="0" fontId="10" fillId="0" borderId="32" xfId="106" applyFont="1" applyFill="1" applyBorder="1" applyAlignment="1">
      <alignment horizontal="left" vertical="center" indent="1"/>
    </xf>
    <xf numFmtId="0" fontId="10" fillId="0" borderId="33" xfId="106" applyFont="1" applyFill="1" applyBorder="1" applyAlignment="1">
      <alignment horizontal="left" vertical="center" indent="1"/>
    </xf>
    <xf numFmtId="0" fontId="77" fillId="0" borderId="0" xfId="106" applyFont="1" applyFill="1" applyAlignment="1">
      <alignment vertical="center"/>
    </xf>
    <xf numFmtId="0" fontId="12" fillId="0" borderId="30" xfId="106" applyFont="1" applyFill="1" applyBorder="1" applyAlignment="1">
      <alignment horizontal="left" vertical="center" wrapText="1"/>
    </xf>
    <xf numFmtId="0" fontId="12" fillId="0" borderId="30" xfId="49" applyFont="1" applyFill="1" applyBorder="1" applyAlignment="1">
      <alignment horizontal="center" vertical="center" wrapText="1"/>
    </xf>
    <xf numFmtId="4" fontId="77" fillId="0" borderId="30" xfId="106" applyNumberFormat="1" applyFont="1" applyFill="1" applyBorder="1" applyAlignment="1" applyProtection="1">
      <alignment horizontal="right" vertical="center"/>
      <protection locked="0"/>
    </xf>
    <xf numFmtId="4" fontId="12" fillId="0" borderId="30" xfId="106" applyNumberFormat="1" applyFont="1" applyFill="1" applyBorder="1" applyAlignment="1">
      <alignment vertical="center"/>
    </xf>
    <xf numFmtId="0" fontId="10" fillId="0" borderId="30" xfId="106" applyFont="1" applyFill="1" applyBorder="1" applyAlignment="1">
      <alignment horizontal="left" vertical="center" wrapText="1"/>
    </xf>
    <xf numFmtId="0" fontId="10" fillId="0" borderId="30" xfId="49"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pplyProtection="1">
      <alignment vertical="center"/>
    </xf>
    <xf numFmtId="0" fontId="10"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lignment vertical="center"/>
    </xf>
    <xf numFmtId="0" fontId="10" fillId="0" borderId="0" xfId="106" applyFont="1" applyFill="1" applyAlignment="1">
      <alignment horizontal="left" vertical="center" wrapText="1"/>
    </xf>
    <xf numFmtId="0" fontId="10" fillId="0" borderId="0" xfId="49" applyFont="1" applyFill="1" applyAlignment="1">
      <alignment horizontal="center" vertical="center" wrapText="1"/>
    </xf>
    <xf numFmtId="0" fontId="10" fillId="0" borderId="0" xfId="106" applyFont="1" applyFill="1" applyAlignment="1">
      <alignment vertical="center"/>
    </xf>
    <xf numFmtId="0" fontId="10" fillId="0" borderId="71"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10" fillId="0" borderId="7" xfId="106" applyFont="1" applyFill="1" applyBorder="1" applyAlignment="1" applyProtection="1">
      <alignment horizontal="left" vertical="center" wrapText="1"/>
      <protection locked="0"/>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0" xfId="106" applyFont="1" applyFill="1" applyBorder="1" applyAlignment="1">
      <alignment vertical="center" wrapText="1"/>
    </xf>
    <xf numFmtId="0" fontId="63" fillId="0" borderId="50"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2" xfId="106" applyFont="1" applyFill="1" applyBorder="1" applyAlignment="1">
      <alignment horizontal="center" vertical="center" wrapText="1"/>
    </xf>
    <xf numFmtId="0" fontId="63" fillId="0" borderId="29" xfId="107" applyFont="1" applyFill="1" applyBorder="1"/>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69" fillId="0" borderId="29" xfId="106" applyFont="1" applyFill="1" applyBorder="1" applyAlignment="1">
      <alignment vertical="center"/>
    </xf>
    <xf numFmtId="0" fontId="10" fillId="0" borderId="43" xfId="106" applyFont="1" applyFill="1" applyBorder="1" applyAlignment="1">
      <alignment horizontal="center" vertical="center" wrapText="1"/>
    </xf>
    <xf numFmtId="49" fontId="0" fillId="0" borderId="43" xfId="106" applyNumberFormat="1" applyFont="1" applyFill="1" applyBorder="1" applyAlignment="1" applyProtection="1">
      <alignment horizontal="left" vertical="center" wrapText="1"/>
      <protection locked="0"/>
    </xf>
    <xf numFmtId="49" fontId="10" fillId="0" borderId="43" xfId="106" applyNumberFormat="1" applyFont="1" applyFill="1" applyBorder="1" applyAlignment="1" applyProtection="1">
      <alignment horizontal="left" vertical="center" wrapText="1"/>
      <protection locked="0"/>
    </xf>
    <xf numFmtId="0" fontId="63" fillId="0" borderId="50" xfId="106" applyFont="1" applyFill="1" applyBorder="1" applyAlignment="1">
      <alignment vertical="center"/>
    </xf>
    <xf numFmtId="0" fontId="63" fillId="0" borderId="47" xfId="106" applyFont="1" applyFill="1" applyBorder="1" applyAlignment="1">
      <alignment horizontal="center" vertical="center" wrapText="1"/>
    </xf>
    <xf numFmtId="0" fontId="63" fillId="0" borderId="29" xfId="106" applyFont="1" applyFill="1" applyBorder="1" applyAlignment="1">
      <alignment vertical="center" wrapText="1"/>
    </xf>
    <xf numFmtId="0" fontId="63" fillId="0" borderId="29" xfId="106" applyFont="1" applyFill="1" applyBorder="1" applyAlignment="1">
      <alignment horizontal="center" vertical="center" wrapText="1"/>
    </xf>
    <xf numFmtId="0" fontId="63" fillId="0" borderId="29" xfId="106" applyFont="1" applyFill="1" applyBorder="1" applyAlignment="1">
      <alignment vertical="center"/>
    </xf>
    <xf numFmtId="49" fontId="10" fillId="0" borderId="47" xfId="106" applyNumberFormat="1" applyFont="1" applyFill="1" applyBorder="1" applyAlignment="1" applyProtection="1">
      <alignment horizontal="left" vertical="center" wrapText="1"/>
      <protection locked="0"/>
    </xf>
    <xf numFmtId="0" fontId="10" fillId="0" borderId="0" xfId="46" applyFont="1" applyFill="1" applyProtection="1"/>
    <xf numFmtId="0" fontId="10" fillId="0" borderId="0" xfId="46" applyFont="1" applyFill="1" applyBorder="1" applyProtection="1"/>
    <xf numFmtId="0" fontId="25"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0" fillId="0" borderId="10" xfId="46" applyNumberFormat="1" applyFont="1" applyFill="1" applyBorder="1" applyAlignment="1" applyProtection="1">
      <alignment horizontal="left" vertical="center" wrapText="1"/>
      <protection locked="0"/>
    </xf>
    <xf numFmtId="0" fontId="25" fillId="0" borderId="9" xfId="50" applyFont="1" applyFill="1" applyBorder="1" applyAlignment="1">
      <alignment horizontal="center" vertical="center"/>
    </xf>
    <xf numFmtId="0" fontId="10" fillId="0" borderId="0" xfId="46" applyFont="1" applyFill="1"/>
    <xf numFmtId="0" fontId="10" fillId="0" borderId="66" xfId="46" applyFont="1" applyFill="1" applyBorder="1" applyAlignment="1">
      <alignment horizontal="center" vertical="center"/>
    </xf>
    <xf numFmtId="0" fontId="10" fillId="0" borderId="65" xfId="46" applyFont="1" applyFill="1" applyBorder="1" applyAlignment="1">
      <alignment horizontal="center" vertical="center"/>
    </xf>
    <xf numFmtId="0" fontId="10" fillId="0" borderId="73" xfId="97" applyFont="1" applyBorder="1" applyAlignment="1">
      <alignment vertical="center"/>
    </xf>
    <xf numFmtId="0" fontId="10" fillId="0" borderId="0" xfId="97" applyFont="1" applyAlignment="1">
      <alignment horizontal="left" vertical="center" indent="2"/>
    </xf>
    <xf numFmtId="0" fontId="10" fillId="0" borderId="73" xfId="97" applyFont="1" applyBorder="1" applyAlignment="1">
      <alignment horizontal="center" vertical="center"/>
    </xf>
    <xf numFmtId="0" fontId="10" fillId="0" borderId="0" xfId="97" applyFont="1" applyAlignment="1">
      <alignment horizontal="center" vertical="center"/>
    </xf>
    <xf numFmtId="49" fontId="10" fillId="0" borderId="73" xfId="97" applyNumberFormat="1" applyFont="1" applyBorder="1" applyAlignment="1">
      <alignment horizontal="center" vertical="center"/>
    </xf>
    <xf numFmtId="49" fontId="10" fillId="0" borderId="73"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2"/>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64">
        <v>45233.459606481483</v>
      </c>
      <c r="B3" s="40" t="s">
        <v>1765</v>
      </c>
      <c r="C3" s="40" t="s">
        <v>1766</v>
      </c>
    </row>
    <row r="4" spans="1:4">
      <c r="A4" s="664">
        <v>45233.459629629629</v>
      </c>
      <c r="B4" s="40" t="s">
        <v>1767</v>
      </c>
      <c r="C4" s="40" t="s">
        <v>1766</v>
      </c>
    </row>
    <row r="5" spans="1:4">
      <c r="A5" s="664">
        <v>45279.722939814812</v>
      </c>
      <c r="B5" s="40" t="s">
        <v>1765</v>
      </c>
      <c r="C5" s="40" t="s">
        <v>1766</v>
      </c>
    </row>
    <row r="6" spans="1:4">
      <c r="A6" s="664">
        <v>45279.722951388889</v>
      </c>
      <c r="B6" s="40" t="s">
        <v>1767</v>
      </c>
      <c r="C6" s="40" t="s">
        <v>1766</v>
      </c>
    </row>
    <row r="7" spans="1:4">
      <c r="A7" s="664">
        <v>45279.723344907405</v>
      </c>
      <c r="B7" s="40" t="s">
        <v>1765</v>
      </c>
      <c r="C7" s="40" t="s">
        <v>1766</v>
      </c>
    </row>
    <row r="8" spans="1:4">
      <c r="A8" s="664">
        <v>45279.723368055558</v>
      </c>
      <c r="B8" s="40" t="s">
        <v>1767</v>
      </c>
      <c r="C8" s="40" t="s">
        <v>1766</v>
      </c>
    </row>
    <row r="9" spans="1:4">
      <c r="A9" s="664">
        <v>45280.420312499999</v>
      </c>
      <c r="B9" s="40" t="s">
        <v>1765</v>
      </c>
      <c r="C9" s="40" t="s">
        <v>1766</v>
      </c>
    </row>
    <row r="10" spans="1:4">
      <c r="A10" s="664">
        <v>45280.420370370368</v>
      </c>
      <c r="B10" s="40" t="s">
        <v>1767</v>
      </c>
      <c r="C10" s="40" t="s">
        <v>1766</v>
      </c>
    </row>
    <row r="11" spans="1:4">
      <c r="A11" s="664">
        <v>45280.433738425927</v>
      </c>
      <c r="B11" s="40" t="s">
        <v>1765</v>
      </c>
      <c r="C11" s="40" t="s">
        <v>1766</v>
      </c>
    </row>
    <row r="12" spans="1:4">
      <c r="A12" s="664">
        <v>45280.433761574073</v>
      </c>
      <c r="B12" s="40" t="s">
        <v>1767</v>
      </c>
      <c r="C12" s="40" t="s">
        <v>1766</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01" t="s">
        <v>678</v>
      </c>
      <c r="M12" s="302"/>
      <c r="N12" s="302"/>
    </row>
    <row r="14" spans="12:14" s="298" customFormat="1" ht="30" customHeight="1">
      <c r="L14" s="253" t="s">
        <v>16</v>
      </c>
      <c r="M14" s="253" t="s">
        <v>679</v>
      </c>
      <c r="N14" s="253" t="s">
        <v>680</v>
      </c>
    </row>
    <row r="15" spans="12:14" ht="33.75">
      <c r="L15" s="253">
        <v>1</v>
      </c>
      <c r="M15" s="303" t="s">
        <v>509</v>
      </c>
      <c r="N15" s="303" t="s">
        <v>681</v>
      </c>
    </row>
    <row r="16" spans="12:14" ht="69" customHeight="1">
      <c r="L16" s="253">
        <v>2</v>
      </c>
      <c r="M16" s="303" t="s">
        <v>510</v>
      </c>
      <c r="N16" s="303" t="s">
        <v>1160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election activeCell="Q22" sqref="Q22"/>
    </sheetView>
  </sheetViews>
  <sheetFormatPr defaultRowHeight="12.75"/>
  <cols>
    <col min="1" max="10" width="0" style="437" hidden="1" customWidth="1"/>
    <col min="11" max="11" width="3.7109375" style="437" customWidth="1"/>
    <col min="12" max="12" width="11.7109375" style="437" customWidth="1"/>
    <col min="13" max="13" width="32.85546875" style="437" customWidth="1"/>
    <col min="14" max="14" width="116.140625" style="437" customWidth="1"/>
    <col min="15" max="15" width="9.140625" style="438" customWidth="1"/>
    <col min="16" max="16384" width="9.140625" style="437"/>
  </cols>
  <sheetData>
    <row r="1" spans="12:15" hidden="1">
      <c r="L1" s="438"/>
      <c r="M1" s="438"/>
      <c r="N1" s="438"/>
    </row>
    <row r="2" spans="12:15" hidden="1">
      <c r="L2" s="438"/>
      <c r="M2" s="438"/>
      <c r="N2" s="438"/>
    </row>
    <row r="3" spans="12:15" hidden="1">
      <c r="L3" s="438"/>
      <c r="M3" s="438"/>
      <c r="N3" s="438"/>
    </row>
    <row r="4" spans="12:15" hidden="1">
      <c r="L4" s="438"/>
      <c r="M4" s="438"/>
      <c r="N4" s="438"/>
    </row>
    <row r="5" spans="12:15" hidden="1">
      <c r="L5" s="438"/>
      <c r="M5" s="438"/>
      <c r="N5" s="438"/>
    </row>
    <row r="6" spans="12:15" hidden="1">
      <c r="L6" s="438"/>
      <c r="M6" s="438"/>
      <c r="N6" s="438"/>
    </row>
    <row r="7" spans="12:15" hidden="1">
      <c r="L7" s="438"/>
      <c r="M7" s="438"/>
      <c r="N7" s="438"/>
    </row>
    <row r="8" spans="12:15" hidden="1">
      <c r="L8" s="438"/>
      <c r="M8" s="438"/>
      <c r="N8" s="438"/>
    </row>
    <row r="9" spans="12:15" hidden="1">
      <c r="L9" s="438"/>
      <c r="M9" s="438"/>
      <c r="N9" s="438"/>
    </row>
    <row r="10" spans="12:15" hidden="1">
      <c r="L10" s="438"/>
      <c r="M10" s="438"/>
      <c r="N10" s="438"/>
    </row>
    <row r="11" spans="12:15">
      <c r="L11" s="438"/>
      <c r="M11" s="438"/>
      <c r="N11" s="438"/>
    </row>
    <row r="12" spans="12:15" ht="24.95" customHeight="1">
      <c r="L12" s="439" t="s">
        <v>1215</v>
      </c>
      <c r="M12" s="440"/>
      <c r="N12" s="440"/>
    </row>
    <row r="13" spans="12:15" ht="16.5" customHeight="1">
      <c r="L13" s="726" t="s">
        <v>1243</v>
      </c>
      <c r="M13" s="438"/>
      <c r="N13" s="438"/>
    </row>
    <row r="14" spans="12:15" ht="27.95" customHeight="1">
      <c r="L14" s="727" t="s">
        <v>1212</v>
      </c>
      <c r="M14" s="728" t="s">
        <v>1076</v>
      </c>
      <c r="N14" s="729" t="s">
        <v>1242</v>
      </c>
      <c r="O14" s="441"/>
    </row>
    <row r="15" spans="12:15" ht="27.95" customHeight="1">
      <c r="L15" s="727" t="s">
        <v>1212</v>
      </c>
      <c r="M15" s="728" t="s">
        <v>1213</v>
      </c>
      <c r="N15" s="729" t="s">
        <v>1231</v>
      </c>
      <c r="O15" s="441"/>
    </row>
    <row r="16" spans="12:15" ht="27.95" customHeight="1">
      <c r="L16" s="727" t="s">
        <v>1212</v>
      </c>
      <c r="M16" s="728" t="s">
        <v>1216</v>
      </c>
      <c r="N16" s="729" t="s">
        <v>1241</v>
      </c>
      <c r="O16" s="441"/>
    </row>
    <row r="17" spans="12:15" ht="27.95" customHeight="1">
      <c r="L17" s="727" t="s">
        <v>1212</v>
      </c>
      <c r="M17" s="728" t="s">
        <v>1217</v>
      </c>
      <c r="N17" s="729" t="s">
        <v>1234</v>
      </c>
      <c r="O17" s="441"/>
    </row>
    <row r="18" spans="12:15" ht="27.95" customHeight="1">
      <c r="L18" s="727" t="s">
        <v>1212</v>
      </c>
      <c r="M18" s="728" t="s">
        <v>1218</v>
      </c>
      <c r="N18" s="729" t="s">
        <v>1235</v>
      </c>
      <c r="O18" s="441"/>
    </row>
    <row r="19" spans="12:15" ht="27.95" customHeight="1">
      <c r="L19" s="727" t="s">
        <v>1212</v>
      </c>
      <c r="M19" s="728" t="s">
        <v>1219</v>
      </c>
      <c r="N19" s="729" t="s">
        <v>1236</v>
      </c>
      <c r="O19" s="441"/>
    </row>
    <row r="20" spans="12:15" ht="27.95" customHeight="1">
      <c r="L20" s="727" t="s">
        <v>1212</v>
      </c>
      <c r="M20" s="728" t="s">
        <v>1220</v>
      </c>
      <c r="N20" s="729" t="s">
        <v>1237</v>
      </c>
      <c r="O20" s="441"/>
    </row>
    <row r="21" spans="12:15" ht="27.95" customHeight="1">
      <c r="L21" s="727" t="s">
        <v>1212</v>
      </c>
      <c r="M21" s="728" t="s">
        <v>1214</v>
      </c>
      <c r="N21" s="729" t="s">
        <v>1238</v>
      </c>
      <c r="O21" s="441"/>
    </row>
    <row r="22" spans="12:15" ht="27.95" customHeight="1">
      <c r="L22" s="727" t="s">
        <v>1212</v>
      </c>
      <c r="M22" s="728" t="s">
        <v>282</v>
      </c>
      <c r="N22" s="729" t="s">
        <v>1239</v>
      </c>
      <c r="O22" s="441"/>
    </row>
    <row r="23" spans="12:15" ht="27.95" customHeight="1">
      <c r="L23" s="727" t="s">
        <v>1212</v>
      </c>
      <c r="M23" s="728" t="s">
        <v>1221</v>
      </c>
      <c r="N23" s="729" t="s">
        <v>1240</v>
      </c>
      <c r="O23" s="441"/>
    </row>
    <row r="24" spans="12:15" ht="27.95" customHeight="1">
      <c r="L24" s="727" t="s">
        <v>1212</v>
      </c>
      <c r="M24" s="728" t="s">
        <v>1282</v>
      </c>
      <c r="N24" s="730" t="s">
        <v>1474</v>
      </c>
      <c r="O24" s="441"/>
    </row>
    <row r="25" spans="12:15" ht="27.95" customHeight="1">
      <c r="L25" s="727" t="s">
        <v>1212</v>
      </c>
      <c r="M25" s="728" t="s">
        <v>1297</v>
      </c>
      <c r="N25" s="730" t="s">
        <v>1332</v>
      </c>
      <c r="O25" s="441"/>
    </row>
    <row r="26" spans="12:15" ht="27.95" customHeight="1">
      <c r="L26" s="727" t="s">
        <v>1212</v>
      </c>
      <c r="M26" s="728" t="s">
        <v>1315</v>
      </c>
      <c r="N26" s="730" t="s">
        <v>1333</v>
      </c>
      <c r="O26" s="441"/>
    </row>
    <row r="27" spans="12:15" ht="27.95" customHeight="1">
      <c r="L27" s="727" t="s">
        <v>1212</v>
      </c>
      <c r="M27" s="728" t="s">
        <v>1222</v>
      </c>
      <c r="N27" s="729" t="s">
        <v>1334</v>
      </c>
      <c r="O27" s="441"/>
    </row>
    <row r="28" spans="12:15" ht="27.95" customHeight="1">
      <c r="L28" s="727" t="s">
        <v>1212</v>
      </c>
      <c r="M28" s="728" t="s">
        <v>1223</v>
      </c>
      <c r="N28" s="729" t="s">
        <v>1335</v>
      </c>
      <c r="O28" s="441"/>
    </row>
    <row r="29" spans="12:15" ht="27.95" customHeight="1">
      <c r="L29" s="727" t="s">
        <v>1212</v>
      </c>
      <c r="M29" s="728" t="s">
        <v>1224</v>
      </c>
      <c r="N29" s="729" t="s">
        <v>1336</v>
      </c>
      <c r="O29" s="441"/>
    </row>
    <row r="30" spans="12:15" ht="27.95" customHeight="1">
      <c r="L30" s="727" t="s">
        <v>1212</v>
      </c>
      <c r="M30" s="728" t="s">
        <v>1225</v>
      </c>
      <c r="N30" s="729" t="s">
        <v>1337</v>
      </c>
      <c r="O30" s="441"/>
    </row>
    <row r="31" spans="12:15" ht="27.95" customHeight="1">
      <c r="L31" s="727" t="s">
        <v>1212</v>
      </c>
      <c r="M31" s="728" t="s">
        <v>1226</v>
      </c>
      <c r="N31" s="729" t="s">
        <v>1338</v>
      </c>
      <c r="O31" s="441"/>
    </row>
    <row r="32" spans="12:15" ht="27.95" customHeight="1">
      <c r="L32" s="727" t="s">
        <v>1212</v>
      </c>
      <c r="M32" s="728" t="s">
        <v>1227</v>
      </c>
      <c r="N32" s="729" t="s">
        <v>1339</v>
      </c>
      <c r="O32" s="441"/>
    </row>
    <row r="33" spans="12:15" ht="27.95" customHeight="1">
      <c r="L33" s="727" t="s">
        <v>1212</v>
      </c>
      <c r="M33" s="728" t="s">
        <v>1228</v>
      </c>
      <c r="N33" s="729" t="s">
        <v>1340</v>
      </c>
      <c r="O33" s="441"/>
    </row>
    <row r="34" spans="12:15" ht="27.95" customHeight="1">
      <c r="L34" s="727" t="s">
        <v>1212</v>
      </c>
      <c r="M34" s="728" t="s">
        <v>1229</v>
      </c>
      <c r="N34" s="729" t="s">
        <v>1343</v>
      </c>
      <c r="O34" s="441"/>
    </row>
    <row r="35" spans="12:15" ht="27.95" customHeight="1">
      <c r="L35" s="727" t="s">
        <v>1212</v>
      </c>
      <c r="M35" s="728" t="s">
        <v>1230</v>
      </c>
      <c r="N35" s="729" t="s">
        <v>1344</v>
      </c>
      <c r="O35" s="441"/>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1"/>
  <sheetViews>
    <sheetView showGridLines="0" tabSelected="1" view="pageBreakPreview" topLeftCell="D128" zoomScale="80" zoomScaleNormal="100" zoomScaleSheetLayoutView="80" workbookViewId="0">
      <selection activeCell="G154" sqref="G154"/>
    </sheetView>
  </sheetViews>
  <sheetFormatPr defaultColWidth="9.140625" defaultRowHeight="19.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634" customWidth="1"/>
    <col min="10" max="10" width="59.42578125" style="52" hidden="1" customWidth="1"/>
    <col min="11" max="14" width="16.7109375" style="52" hidden="1" customWidth="1"/>
    <col min="15" max="16" width="9.140625" style="52" customWidth="1"/>
    <col min="17" max="16384" width="9.140625" style="52"/>
  </cols>
  <sheetData>
    <row r="1" spans="1:16" hidden="1">
      <c r="A1" s="733"/>
      <c r="B1" s="733"/>
      <c r="C1" s="733"/>
      <c r="D1" s="733"/>
      <c r="E1" s="734"/>
      <c r="F1" s="734"/>
      <c r="G1" s="734"/>
      <c r="H1" s="734"/>
      <c r="I1" s="735"/>
      <c r="J1" s="733"/>
      <c r="K1" s="733"/>
      <c r="L1" s="733"/>
      <c r="M1" s="733"/>
      <c r="N1" s="733"/>
      <c r="O1" s="733"/>
      <c r="P1" s="733"/>
    </row>
    <row r="2" spans="1:16" hidden="1">
      <c r="A2" s="733"/>
      <c r="B2" s="733"/>
      <c r="C2" s="733"/>
      <c r="D2" s="733"/>
      <c r="E2" s="734"/>
      <c r="F2" s="734"/>
      <c r="G2" s="734"/>
      <c r="H2" s="734"/>
      <c r="I2" s="735"/>
      <c r="J2" s="733"/>
      <c r="K2" s="733"/>
      <c r="L2" s="733"/>
      <c r="M2" s="733"/>
      <c r="N2" s="733"/>
      <c r="O2" s="733"/>
      <c r="P2" s="733"/>
    </row>
    <row r="3" spans="1:16" hidden="1">
      <c r="A3" s="733"/>
      <c r="B3" s="733"/>
      <c r="C3" s="733"/>
      <c r="D3" s="733"/>
      <c r="E3" s="734"/>
      <c r="F3" s="734"/>
      <c r="G3" s="734"/>
      <c r="H3" s="734"/>
      <c r="I3" s="735"/>
      <c r="J3" s="733"/>
      <c r="K3" s="733"/>
      <c r="L3" s="733"/>
      <c r="M3" s="733"/>
      <c r="N3" s="733"/>
      <c r="O3" s="733"/>
      <c r="P3" s="733"/>
    </row>
    <row r="4" spans="1:16" hidden="1">
      <c r="A4" s="733"/>
      <c r="B4" s="733"/>
      <c r="C4" s="733"/>
      <c r="D4" s="733"/>
      <c r="E4" s="734"/>
      <c r="F4" s="734"/>
      <c r="G4" s="734"/>
      <c r="H4" s="734"/>
      <c r="I4" s="735"/>
      <c r="J4" s="733"/>
      <c r="K4" s="733"/>
      <c r="L4" s="733"/>
      <c r="M4" s="733"/>
      <c r="N4" s="733"/>
      <c r="O4" s="733"/>
      <c r="P4" s="733"/>
    </row>
    <row r="5" spans="1:16" hidden="1">
      <c r="A5" s="733"/>
      <c r="B5" s="733"/>
      <c r="C5" s="733"/>
      <c r="D5" s="733"/>
      <c r="E5" s="734"/>
      <c r="F5" s="734"/>
      <c r="G5" s="734"/>
      <c r="H5" s="734"/>
      <c r="I5" s="735"/>
      <c r="J5" s="733"/>
      <c r="K5" s="733"/>
      <c r="L5" s="733"/>
      <c r="M5" s="733"/>
      <c r="N5" s="733"/>
      <c r="O5" s="733"/>
      <c r="P5" s="733"/>
    </row>
    <row r="6" spans="1:16" ht="11.25">
      <c r="A6" s="733"/>
      <c r="B6" s="733"/>
      <c r="C6" s="733"/>
      <c r="D6" s="733"/>
      <c r="E6" s="734"/>
      <c r="F6" s="734"/>
      <c r="G6" s="734"/>
      <c r="H6" s="734"/>
      <c r="I6" s="733"/>
      <c r="J6" s="733"/>
      <c r="K6" s="733"/>
      <c r="L6" s="733"/>
      <c r="M6" s="733"/>
      <c r="N6" s="733"/>
      <c r="O6" s="733"/>
      <c r="P6" s="733"/>
    </row>
    <row r="7" spans="1:16">
      <c r="A7" s="733"/>
      <c r="B7" s="733"/>
      <c r="C7" s="731"/>
      <c r="D7" s="733"/>
      <c r="E7" s="695" t="s">
        <v>105</v>
      </c>
      <c r="F7" s="696"/>
      <c r="G7" s="697"/>
      <c r="H7" s="736" t="s">
        <v>19</v>
      </c>
      <c r="I7" s="735" t="s">
        <v>804</v>
      </c>
      <c r="J7" s="733"/>
      <c r="K7" s="733"/>
      <c r="L7" s="733"/>
      <c r="M7" s="733"/>
      <c r="N7" s="733"/>
      <c r="O7" s="733"/>
      <c r="P7" s="733"/>
    </row>
    <row r="8" spans="1:16">
      <c r="A8" s="733"/>
      <c r="B8" s="733"/>
      <c r="C8" s="731"/>
      <c r="D8" s="733"/>
      <c r="E8" s="695" t="s">
        <v>106</v>
      </c>
      <c r="F8" s="696"/>
      <c r="G8" s="697"/>
      <c r="H8" s="737">
        <v>2024</v>
      </c>
      <c r="I8" s="738"/>
      <c r="J8" s="733"/>
      <c r="K8" s="733"/>
      <c r="L8" s="733"/>
      <c r="M8" s="733"/>
      <c r="N8" s="733"/>
      <c r="O8" s="733"/>
      <c r="P8" s="733"/>
    </row>
    <row r="9" spans="1:16">
      <c r="A9" s="733"/>
      <c r="B9" s="733"/>
      <c r="C9" s="731"/>
      <c r="D9" s="733"/>
      <c r="E9" s="695" t="s">
        <v>894</v>
      </c>
      <c r="F9" s="696"/>
      <c r="G9" s="697"/>
      <c r="H9" s="739">
        <v>2024</v>
      </c>
      <c r="I9" s="738">
        <v>2028</v>
      </c>
      <c r="J9" s="731">
        <v>2028</v>
      </c>
      <c r="K9" s="733"/>
      <c r="L9" s="733"/>
      <c r="M9" s="733"/>
      <c r="N9" s="733"/>
      <c r="O9" s="733"/>
      <c r="P9" s="733"/>
    </row>
    <row r="10" spans="1:16">
      <c r="A10" s="733"/>
      <c r="B10" s="733"/>
      <c r="C10" s="731"/>
      <c r="D10" s="733"/>
      <c r="E10" s="695" t="s">
        <v>251</v>
      </c>
      <c r="F10" s="696"/>
      <c r="G10" s="697"/>
      <c r="H10" s="737">
        <v>5</v>
      </c>
      <c r="I10" s="738"/>
      <c r="J10" s="733"/>
      <c r="K10" s="733"/>
      <c r="L10" s="733"/>
      <c r="M10" s="733"/>
      <c r="N10" s="733"/>
      <c r="O10" s="733"/>
      <c r="P10" s="733"/>
    </row>
    <row r="11" spans="1:16" ht="16.5" hidden="1" customHeight="1">
      <c r="A11" s="733"/>
      <c r="B11" s="733"/>
      <c r="C11" s="731"/>
      <c r="D11" s="733"/>
      <c r="E11" s="695" t="s">
        <v>1166</v>
      </c>
      <c r="F11" s="696"/>
      <c r="G11" s="697"/>
      <c r="H11" s="737">
        <v>5</v>
      </c>
      <c r="I11" s="738"/>
      <c r="J11" s="733"/>
      <c r="K11" s="733"/>
      <c r="L11" s="733"/>
      <c r="M11" s="733"/>
      <c r="N11" s="733"/>
      <c r="O11" s="733"/>
      <c r="P11" s="733"/>
    </row>
    <row r="12" spans="1:16" ht="7.5" customHeight="1">
      <c r="A12" s="733"/>
      <c r="B12" s="733"/>
      <c r="C12" s="731"/>
      <c r="D12" s="733"/>
      <c r="E12" s="734"/>
      <c r="F12" s="734"/>
      <c r="G12" s="734"/>
      <c r="H12" s="734"/>
      <c r="I12" s="735"/>
      <c r="J12" s="733"/>
      <c r="K12" s="733"/>
      <c r="L12" s="733"/>
      <c r="M12" s="733"/>
      <c r="N12" s="733"/>
      <c r="O12" s="733"/>
      <c r="P12" s="733"/>
    </row>
    <row r="13" spans="1:16" ht="7.5" customHeight="1">
      <c r="A13" s="733"/>
      <c r="B13" s="733"/>
      <c r="C13" s="731"/>
      <c r="D13" s="733"/>
      <c r="E13" s="734"/>
      <c r="F13" s="734"/>
      <c r="G13" s="734"/>
      <c r="H13" s="734"/>
      <c r="I13" s="735"/>
      <c r="J13" s="733"/>
      <c r="K13" s="733"/>
      <c r="L13" s="733"/>
      <c r="M13" s="733"/>
      <c r="N13" s="733"/>
      <c r="O13" s="733"/>
      <c r="P13" s="733"/>
    </row>
    <row r="14" spans="1:16">
      <c r="A14" s="733"/>
      <c r="B14" s="733"/>
      <c r="C14" s="731"/>
      <c r="D14" s="733"/>
      <c r="E14" s="740" t="s">
        <v>186</v>
      </c>
      <c r="F14" s="740"/>
      <c r="G14" s="740"/>
      <c r="H14" s="740"/>
      <c r="I14" s="741"/>
      <c r="J14" s="742"/>
      <c r="K14" s="742"/>
      <c r="L14" s="742"/>
      <c r="M14" s="742"/>
      <c r="N14" s="742"/>
      <c r="O14" s="742"/>
      <c r="P14" s="742"/>
    </row>
    <row r="15" spans="1:16">
      <c r="A15" s="733"/>
      <c r="B15" s="733"/>
      <c r="C15" s="731"/>
      <c r="D15" s="733"/>
      <c r="E15" s="743" t="s">
        <v>885</v>
      </c>
      <c r="F15" s="743"/>
      <c r="G15" s="743"/>
      <c r="H15" s="743"/>
      <c r="I15" s="741"/>
      <c r="J15" s="742"/>
      <c r="K15" s="742"/>
      <c r="L15" s="742"/>
      <c r="M15" s="742"/>
      <c r="N15" s="742"/>
      <c r="O15" s="742"/>
      <c r="P15" s="742"/>
    </row>
    <row r="16" spans="1:16">
      <c r="A16" s="733"/>
      <c r="B16" s="733"/>
      <c r="C16" s="731"/>
      <c r="D16" s="733"/>
      <c r="E16" s="740" t="s">
        <v>187</v>
      </c>
      <c r="F16" s="740"/>
      <c r="G16" s="740"/>
      <c r="H16" s="740"/>
      <c r="I16" s="741"/>
      <c r="J16" s="742"/>
      <c r="K16" s="742"/>
      <c r="L16" s="742"/>
      <c r="M16" s="742"/>
      <c r="N16" s="742"/>
      <c r="O16" s="742"/>
      <c r="P16" s="742"/>
    </row>
    <row r="17" spans="1:16">
      <c r="A17" s="733"/>
      <c r="B17" s="733"/>
      <c r="C17" s="731"/>
      <c r="D17" s="733">
        <v>26476526</v>
      </c>
      <c r="E17" s="744" t="s">
        <v>2040</v>
      </c>
      <c r="F17" s="744"/>
      <c r="G17" s="744"/>
      <c r="H17" s="744"/>
      <c r="I17" s="745"/>
      <c r="J17" s="742"/>
      <c r="K17" s="742"/>
      <c r="L17" s="742"/>
      <c r="M17" s="742"/>
      <c r="N17" s="742"/>
      <c r="O17" s="733" t="s">
        <v>3010</v>
      </c>
      <c r="P17" s="742"/>
    </row>
    <row r="18" spans="1:16">
      <c r="A18" s="733"/>
      <c r="B18" s="733"/>
      <c r="C18" s="731"/>
      <c r="D18" s="733"/>
      <c r="E18" s="746" t="s">
        <v>3011</v>
      </c>
      <c r="F18" s="746"/>
      <c r="G18" s="746"/>
      <c r="H18" s="746"/>
      <c r="I18" s="745"/>
      <c r="J18" s="742"/>
      <c r="K18" s="742"/>
      <c r="L18" s="742"/>
      <c r="M18" s="742"/>
      <c r="N18" s="742"/>
      <c r="O18" s="742"/>
      <c r="P18" s="742"/>
    </row>
    <row r="19" spans="1:16">
      <c r="A19" s="733"/>
      <c r="B19" s="733"/>
      <c r="C19" s="731"/>
      <c r="D19" s="733"/>
      <c r="E19" s="747" t="s">
        <v>3012</v>
      </c>
      <c r="F19" s="747"/>
      <c r="G19" s="747"/>
      <c r="H19" s="747"/>
      <c r="I19" s="748"/>
      <c r="J19" s="742"/>
      <c r="K19" s="742"/>
      <c r="L19" s="742"/>
      <c r="M19" s="742"/>
      <c r="N19" s="742"/>
      <c r="O19" s="742"/>
      <c r="P19" s="742"/>
    </row>
    <row r="20" spans="1:16" ht="11.25" customHeight="1">
      <c r="A20" s="733"/>
      <c r="B20" s="733"/>
      <c r="C20" s="731"/>
      <c r="D20" s="733"/>
      <c r="E20" s="749"/>
      <c r="F20" s="750"/>
      <c r="G20" s="750"/>
      <c r="H20" s="751"/>
      <c r="I20" s="752"/>
      <c r="J20" s="753"/>
      <c r="K20" s="754"/>
      <c r="L20" s="755"/>
      <c r="M20" s="755"/>
      <c r="N20" s="754"/>
      <c r="O20" s="753"/>
      <c r="P20" s="753"/>
    </row>
    <row r="21" spans="1:16">
      <c r="A21" s="733"/>
      <c r="B21" s="733"/>
      <c r="C21" s="731"/>
      <c r="D21" s="733"/>
      <c r="E21" s="756" t="s">
        <v>1210</v>
      </c>
      <c r="F21" s="756"/>
      <c r="G21" s="756"/>
      <c r="H21" s="756"/>
      <c r="I21" s="757"/>
      <c r="J21" s="758"/>
      <c r="K21" s="758"/>
      <c r="L21" s="758"/>
      <c r="M21" s="758"/>
      <c r="N21" s="758"/>
      <c r="O21" s="759"/>
      <c r="P21" s="759"/>
    </row>
    <row r="22" spans="1:16" ht="25.5">
      <c r="A22" s="733"/>
      <c r="B22" s="733"/>
      <c r="C22" s="731"/>
      <c r="D22" s="733"/>
      <c r="E22" s="760" t="s">
        <v>188</v>
      </c>
      <c r="F22" s="760"/>
      <c r="G22" s="760"/>
      <c r="H22" s="761" t="s">
        <v>2951</v>
      </c>
      <c r="I22" s="762"/>
      <c r="J22" s="759"/>
      <c r="K22" s="759"/>
      <c r="L22" s="759"/>
      <c r="M22" s="733"/>
      <c r="N22" s="733"/>
      <c r="O22" s="733"/>
      <c r="P22" s="733"/>
    </row>
    <row r="23" spans="1:16" ht="25.5">
      <c r="A23" s="733"/>
      <c r="B23" s="733"/>
      <c r="C23" s="731"/>
      <c r="D23" s="733"/>
      <c r="E23" s="760" t="s">
        <v>189</v>
      </c>
      <c r="F23" s="760"/>
      <c r="G23" s="760"/>
      <c r="H23" s="761" t="s">
        <v>2952</v>
      </c>
      <c r="I23" s="762"/>
      <c r="J23" s="733"/>
      <c r="K23" s="733"/>
      <c r="L23" s="733"/>
      <c r="M23" s="733"/>
      <c r="N23" s="733"/>
      <c r="O23" s="733"/>
      <c r="P23" s="733"/>
    </row>
    <row r="24" spans="1:16">
      <c r="A24" s="733"/>
      <c r="B24" s="733"/>
      <c r="C24" s="731"/>
      <c r="D24" s="733"/>
      <c r="E24" s="760" t="s">
        <v>190</v>
      </c>
      <c r="F24" s="760"/>
      <c r="G24" s="760"/>
      <c r="H24" s="763"/>
      <c r="I24" s="764"/>
      <c r="J24" s="733"/>
      <c r="K24" s="733"/>
      <c r="L24" s="733"/>
      <c r="M24" s="733"/>
      <c r="N24" s="733"/>
      <c r="O24" s="733"/>
      <c r="P24" s="733"/>
    </row>
    <row r="25" spans="1:16">
      <c r="A25" s="733"/>
      <c r="B25" s="733"/>
      <c r="C25" s="731"/>
      <c r="D25" s="733"/>
      <c r="E25" s="760" t="s">
        <v>191</v>
      </c>
      <c r="F25" s="760"/>
      <c r="G25" s="760"/>
      <c r="H25" s="765" t="s">
        <v>2953</v>
      </c>
      <c r="I25" s="764"/>
      <c r="J25" s="733"/>
      <c r="K25" s="733"/>
      <c r="L25" s="733"/>
      <c r="M25" s="733"/>
      <c r="N25" s="733"/>
      <c r="O25" s="733"/>
      <c r="P25" s="733"/>
    </row>
    <row r="26" spans="1:16">
      <c r="A26" s="733"/>
      <c r="B26" s="733"/>
      <c r="C26" s="731"/>
      <c r="D26" s="733"/>
      <c r="E26" s="760" t="s">
        <v>107</v>
      </c>
      <c r="F26" s="760"/>
      <c r="G26" s="760"/>
      <c r="H26" s="766" t="s">
        <v>2041</v>
      </c>
      <c r="I26" s="764"/>
      <c r="J26" s="733"/>
      <c r="K26" s="733"/>
      <c r="L26" s="733"/>
      <c r="M26" s="733"/>
      <c r="N26" s="733"/>
      <c r="O26" s="733"/>
      <c r="P26" s="733"/>
    </row>
    <row r="27" spans="1:16">
      <c r="A27" s="733"/>
      <c r="B27" s="733"/>
      <c r="C27" s="731"/>
      <c r="D27" s="733"/>
      <c r="E27" s="760" t="s">
        <v>108</v>
      </c>
      <c r="F27" s="760"/>
      <c r="G27" s="760"/>
      <c r="H27" s="766" t="s">
        <v>1846</v>
      </c>
      <c r="I27" s="764"/>
      <c r="J27" s="733"/>
      <c r="K27" s="733"/>
      <c r="L27" s="733"/>
      <c r="M27" s="733"/>
      <c r="N27" s="733"/>
      <c r="O27" s="733"/>
      <c r="P27" s="733"/>
    </row>
    <row r="28" spans="1:16">
      <c r="A28" s="733"/>
      <c r="B28" s="733"/>
      <c r="C28" s="731"/>
      <c r="D28" s="733"/>
      <c r="E28" s="760" t="s">
        <v>192</v>
      </c>
      <c r="F28" s="760"/>
      <c r="G28" s="760"/>
      <c r="H28" s="767"/>
      <c r="I28" s="764"/>
      <c r="J28" s="733" t="s">
        <v>1679</v>
      </c>
      <c r="K28" s="733"/>
      <c r="L28" s="733"/>
      <c r="M28" s="733"/>
      <c r="N28" s="733"/>
      <c r="O28" s="733"/>
      <c r="P28" s="733"/>
    </row>
    <row r="29" spans="1:16">
      <c r="A29" s="733"/>
      <c r="B29" s="733"/>
      <c r="C29" s="731"/>
      <c r="D29" s="733"/>
      <c r="E29" s="760" t="s">
        <v>193</v>
      </c>
      <c r="F29" s="760"/>
      <c r="G29" s="760"/>
      <c r="H29" s="763" t="s">
        <v>968</v>
      </c>
      <c r="I29" s="764"/>
      <c r="J29" s="733" t="s">
        <v>1680</v>
      </c>
      <c r="K29" s="733"/>
      <c r="L29" s="733"/>
      <c r="M29" s="733"/>
      <c r="N29" s="733"/>
      <c r="O29" s="733"/>
      <c r="P29" s="733"/>
    </row>
    <row r="30" spans="1:16" ht="22.5">
      <c r="A30" s="733"/>
      <c r="B30" s="733"/>
      <c r="C30" s="731"/>
      <c r="D30" s="733"/>
      <c r="E30" s="760" t="s">
        <v>194</v>
      </c>
      <c r="F30" s="760"/>
      <c r="G30" s="760"/>
      <c r="H30" s="768" t="s">
        <v>2947</v>
      </c>
      <c r="I30" s="745"/>
      <c r="J30" s="733" t="s">
        <v>1681</v>
      </c>
      <c r="K30" s="733"/>
      <c r="L30" s="733"/>
      <c r="M30" s="733"/>
      <c r="N30" s="733"/>
      <c r="O30" s="733"/>
      <c r="P30" s="733"/>
    </row>
    <row r="31" spans="1:16" ht="22.5">
      <c r="A31" s="733"/>
      <c r="B31" s="733"/>
      <c r="C31" s="731"/>
      <c r="D31" s="733"/>
      <c r="E31" s="760" t="s">
        <v>195</v>
      </c>
      <c r="F31" s="760"/>
      <c r="G31" s="760"/>
      <c r="H31" s="768" t="s">
        <v>2947</v>
      </c>
      <c r="I31" s="745"/>
      <c r="J31" s="733" t="s">
        <v>1682</v>
      </c>
      <c r="K31" s="733"/>
      <c r="L31" s="733"/>
      <c r="M31" s="733"/>
      <c r="N31" s="733"/>
      <c r="O31" s="733"/>
      <c r="P31" s="733"/>
    </row>
    <row r="32" spans="1:16">
      <c r="A32" s="733"/>
      <c r="B32" s="733"/>
      <c r="C32" s="731"/>
      <c r="D32" s="733"/>
      <c r="E32" s="760" t="s">
        <v>196</v>
      </c>
      <c r="F32" s="760"/>
      <c r="G32" s="760"/>
      <c r="H32" s="768" t="s">
        <v>2948</v>
      </c>
      <c r="I32" s="745"/>
      <c r="J32" s="733" t="s">
        <v>1685</v>
      </c>
      <c r="K32" s="733"/>
      <c r="L32" s="733"/>
      <c r="M32" s="733"/>
      <c r="N32" s="733"/>
      <c r="O32" s="733"/>
      <c r="P32" s="733"/>
    </row>
    <row r="33" spans="1:16">
      <c r="A33" s="733"/>
      <c r="B33" s="733"/>
      <c r="C33" s="731"/>
      <c r="D33" s="733"/>
      <c r="E33" s="760" t="s">
        <v>148</v>
      </c>
      <c r="F33" s="760"/>
      <c r="G33" s="760"/>
      <c r="H33" s="768" t="s">
        <v>2949</v>
      </c>
      <c r="I33" s="745"/>
      <c r="J33" s="733" t="s">
        <v>1726</v>
      </c>
      <c r="K33" s="733"/>
      <c r="L33" s="733"/>
      <c r="M33" s="733"/>
      <c r="N33" s="733"/>
      <c r="O33" s="733"/>
      <c r="P33" s="733"/>
    </row>
    <row r="34" spans="1:16">
      <c r="A34" s="733"/>
      <c r="B34" s="733"/>
      <c r="C34" s="731"/>
      <c r="D34" s="733"/>
      <c r="E34" s="760" t="s">
        <v>197</v>
      </c>
      <c r="F34" s="760"/>
      <c r="G34" s="760"/>
      <c r="H34" s="769" t="s">
        <v>2967</v>
      </c>
      <c r="I34" s="745"/>
      <c r="J34" s="733" t="s">
        <v>1727</v>
      </c>
      <c r="K34" s="733"/>
      <c r="L34" s="733"/>
      <c r="M34" s="733"/>
      <c r="N34" s="733"/>
      <c r="O34" s="733"/>
      <c r="P34" s="733"/>
    </row>
    <row r="35" spans="1:16">
      <c r="A35" s="733"/>
      <c r="B35" s="733"/>
      <c r="C35" s="731"/>
      <c r="D35" s="733"/>
      <c r="E35" s="760" t="s">
        <v>198</v>
      </c>
      <c r="F35" s="760"/>
      <c r="G35" s="760"/>
      <c r="H35" s="768" t="s">
        <v>2950</v>
      </c>
      <c r="I35" s="745"/>
      <c r="J35" s="733" t="s">
        <v>1728</v>
      </c>
      <c r="K35" s="733"/>
      <c r="L35" s="733"/>
      <c r="M35" s="733"/>
      <c r="N35" s="733"/>
      <c r="O35" s="733"/>
      <c r="P35" s="733"/>
    </row>
    <row r="36" spans="1:16">
      <c r="A36" s="733"/>
      <c r="B36" s="733"/>
      <c r="C36" s="731"/>
      <c r="D36" s="733"/>
      <c r="E36" s="760" t="s">
        <v>199</v>
      </c>
      <c r="F36" s="760"/>
      <c r="G36" s="760"/>
      <c r="H36" s="768" t="s">
        <v>21</v>
      </c>
      <c r="I36" s="745"/>
      <c r="J36" s="733" t="s">
        <v>1729</v>
      </c>
      <c r="K36" s="733"/>
      <c r="L36" s="733"/>
      <c r="M36" s="733"/>
      <c r="N36" s="733"/>
      <c r="O36" s="733"/>
      <c r="P36" s="733"/>
    </row>
    <row r="37" spans="1:16">
      <c r="A37" s="733"/>
      <c r="B37" s="733"/>
      <c r="C37" s="731"/>
      <c r="D37" s="733"/>
      <c r="E37" s="760" t="s">
        <v>200</v>
      </c>
      <c r="F37" s="760"/>
      <c r="G37" s="770" t="s">
        <v>201</v>
      </c>
      <c r="H37" s="771" t="s">
        <v>20</v>
      </c>
      <c r="I37" s="745"/>
      <c r="J37" s="733" t="s">
        <v>1548</v>
      </c>
      <c r="K37" s="733"/>
      <c r="L37" s="733"/>
      <c r="M37" s="733"/>
      <c r="N37" s="733"/>
      <c r="O37" s="733"/>
      <c r="P37" s="733"/>
    </row>
    <row r="38" spans="1:16">
      <c r="A38" s="733"/>
      <c r="B38" s="733"/>
      <c r="C38" s="731"/>
      <c r="D38" s="733"/>
      <c r="E38" s="760"/>
      <c r="F38" s="760"/>
      <c r="G38" s="770" t="s">
        <v>202</v>
      </c>
      <c r="H38" s="771" t="s">
        <v>699</v>
      </c>
      <c r="I38" s="745"/>
      <c r="J38" s="733" t="s">
        <v>1550</v>
      </c>
      <c r="K38" s="733"/>
      <c r="L38" s="733"/>
      <c r="M38" s="733"/>
      <c r="N38" s="733"/>
      <c r="O38" s="733"/>
      <c r="P38" s="733"/>
    </row>
    <row r="39" spans="1:16">
      <c r="A39" s="733"/>
      <c r="B39" s="733"/>
      <c r="C39" s="731"/>
      <c r="D39" s="733"/>
      <c r="E39" s="760"/>
      <c r="F39" s="760"/>
      <c r="G39" s="770" t="s">
        <v>203</v>
      </c>
      <c r="H39" s="771" t="s">
        <v>722</v>
      </c>
      <c r="I39" s="745"/>
      <c r="J39" s="733" t="s">
        <v>1555</v>
      </c>
      <c r="K39" s="733"/>
      <c r="L39" s="733"/>
      <c r="M39" s="733"/>
      <c r="N39" s="733"/>
      <c r="O39" s="733"/>
      <c r="P39" s="733"/>
    </row>
    <row r="40" spans="1:16" ht="25.5">
      <c r="A40" s="733"/>
      <c r="B40" s="733"/>
      <c r="C40" s="731"/>
      <c r="D40" s="733"/>
      <c r="E40" s="760" t="s">
        <v>204</v>
      </c>
      <c r="F40" s="760"/>
      <c r="G40" s="760"/>
      <c r="H40" s="771" t="s">
        <v>20</v>
      </c>
      <c r="I40" s="772"/>
      <c r="J40" s="733" t="s">
        <v>1499</v>
      </c>
      <c r="K40" s="733"/>
      <c r="L40" s="733"/>
      <c r="M40" s="733"/>
      <c r="N40" s="733"/>
      <c r="O40" s="733"/>
      <c r="P40" s="733"/>
    </row>
    <row r="41" spans="1:16">
      <c r="A41" s="733"/>
      <c r="B41" s="733"/>
      <c r="C41" s="731"/>
      <c r="D41" s="733"/>
      <c r="E41" s="760" t="s">
        <v>205</v>
      </c>
      <c r="F41" s="760"/>
      <c r="G41" s="760"/>
      <c r="H41" s="771" t="s">
        <v>21</v>
      </c>
      <c r="I41" s="745"/>
      <c r="J41" s="733" t="s">
        <v>1500</v>
      </c>
      <c r="K41" s="733"/>
      <c r="L41" s="733"/>
      <c r="M41" s="733"/>
      <c r="N41" s="733"/>
      <c r="O41" s="733"/>
      <c r="P41" s="733"/>
    </row>
    <row r="42" spans="1:16" ht="25.5">
      <c r="A42" s="733"/>
      <c r="B42" s="733"/>
      <c r="C42" s="731"/>
      <c r="D42" s="733"/>
      <c r="E42" s="760" t="s">
        <v>206</v>
      </c>
      <c r="F42" s="760"/>
      <c r="G42" s="760"/>
      <c r="H42" s="771" t="s">
        <v>20</v>
      </c>
      <c r="I42" s="772"/>
      <c r="J42" s="733" t="s">
        <v>1501</v>
      </c>
      <c r="K42" s="733"/>
      <c r="L42" s="733"/>
      <c r="M42" s="733"/>
      <c r="N42" s="733"/>
      <c r="O42" s="733"/>
      <c r="P42" s="733"/>
    </row>
    <row r="43" spans="1:16">
      <c r="A43" s="733" t="s">
        <v>1399</v>
      </c>
      <c r="B43" s="733"/>
      <c r="C43" s="731"/>
      <c r="D43" s="733"/>
      <c r="E43" s="760" t="s">
        <v>207</v>
      </c>
      <c r="F43" s="760"/>
      <c r="G43" s="760"/>
      <c r="H43" s="771" t="s">
        <v>21</v>
      </c>
      <c r="I43" s="745"/>
      <c r="J43" s="733" t="s">
        <v>1558</v>
      </c>
      <c r="K43" s="733"/>
      <c r="L43" s="733"/>
      <c r="M43" s="733"/>
      <c r="N43" s="733"/>
      <c r="O43" s="733"/>
      <c r="P43" s="733"/>
    </row>
    <row r="44" spans="1:16" hidden="1">
      <c r="A44" s="733"/>
      <c r="B44" s="733"/>
      <c r="C44" s="731"/>
      <c r="D44" s="733"/>
      <c r="E44" s="698" t="s">
        <v>208</v>
      </c>
      <c r="F44" s="698"/>
      <c r="G44" s="698"/>
      <c r="H44" s="773" t="s">
        <v>1122</v>
      </c>
      <c r="I44" s="745"/>
      <c r="J44" s="733"/>
      <c r="K44" s="733"/>
      <c r="L44" s="733"/>
      <c r="M44" s="733"/>
      <c r="N44" s="733"/>
      <c r="O44" s="733"/>
      <c r="P44" s="733"/>
    </row>
    <row r="45" spans="1:16">
      <c r="A45" s="733"/>
      <c r="B45" s="733"/>
      <c r="C45" s="731"/>
      <c r="D45" s="733"/>
      <c r="E45" s="760" t="s">
        <v>209</v>
      </c>
      <c r="F45" s="760"/>
      <c r="G45" s="760"/>
      <c r="H45" s="771" t="s">
        <v>20</v>
      </c>
      <c r="I45" s="745"/>
      <c r="J45" s="733" t="s">
        <v>1730</v>
      </c>
      <c r="K45" s="733"/>
      <c r="L45" s="733"/>
      <c r="M45" s="733"/>
      <c r="N45" s="733"/>
      <c r="O45" s="733"/>
      <c r="P45" s="733"/>
    </row>
    <row r="46" spans="1:16">
      <c r="A46" s="733" t="s">
        <v>1400</v>
      </c>
      <c r="B46" s="733"/>
      <c r="C46" s="731"/>
      <c r="D46" s="733"/>
      <c r="E46" s="760" t="s">
        <v>210</v>
      </c>
      <c r="F46" s="760"/>
      <c r="G46" s="760"/>
      <c r="H46" s="771" t="s">
        <v>21</v>
      </c>
      <c r="I46" s="745"/>
      <c r="J46" s="733" t="s">
        <v>1731</v>
      </c>
      <c r="K46" s="733"/>
      <c r="L46" s="733"/>
      <c r="M46" s="733"/>
      <c r="N46" s="733"/>
      <c r="O46" s="733"/>
      <c r="P46" s="733"/>
    </row>
    <row r="47" spans="1:16" hidden="1">
      <c r="A47" s="733"/>
      <c r="B47" s="733"/>
      <c r="C47" s="731"/>
      <c r="D47" s="733"/>
      <c r="E47" s="774" t="s">
        <v>211</v>
      </c>
      <c r="F47" s="760" t="s">
        <v>212</v>
      </c>
      <c r="G47" s="760"/>
      <c r="H47" s="775" t="s">
        <v>1122</v>
      </c>
      <c r="I47" s="745"/>
      <c r="J47" s="733"/>
      <c r="K47" s="733"/>
      <c r="L47" s="733"/>
      <c r="M47" s="733"/>
      <c r="N47" s="733"/>
      <c r="O47" s="733"/>
      <c r="P47" s="733"/>
    </row>
    <row r="48" spans="1:16" hidden="1">
      <c r="A48" s="733"/>
      <c r="B48" s="733"/>
      <c r="C48" s="731"/>
      <c r="D48" s="733"/>
      <c r="E48" s="774"/>
      <c r="F48" s="760" t="s">
        <v>213</v>
      </c>
      <c r="G48" s="760"/>
      <c r="H48" s="776" t="s">
        <v>1122</v>
      </c>
      <c r="I48" s="745"/>
      <c r="J48" s="733"/>
      <c r="K48" s="733"/>
      <c r="L48" s="733"/>
      <c r="M48" s="733"/>
      <c r="N48" s="733"/>
      <c r="O48" s="733"/>
      <c r="P48" s="733"/>
    </row>
    <row r="49" spans="1:16" hidden="1">
      <c r="A49" s="733"/>
      <c r="B49" s="733"/>
      <c r="C49" s="731"/>
      <c r="D49" s="733"/>
      <c r="E49" s="774"/>
      <c r="F49" s="760" t="s">
        <v>214</v>
      </c>
      <c r="G49" s="760"/>
      <c r="H49" s="775" t="s">
        <v>1122</v>
      </c>
      <c r="I49" s="745"/>
      <c r="J49" s="733"/>
      <c r="K49" s="733"/>
      <c r="L49" s="733"/>
      <c r="M49" s="733"/>
      <c r="N49" s="733"/>
      <c r="O49" s="733"/>
      <c r="P49" s="733"/>
    </row>
    <row r="50" spans="1:16" hidden="1">
      <c r="A50" s="733"/>
      <c r="B50" s="733"/>
      <c r="C50" s="731"/>
      <c r="D50" s="733"/>
      <c r="E50" s="774"/>
      <c r="F50" s="760" t="s">
        <v>215</v>
      </c>
      <c r="G50" s="760"/>
      <c r="H50" s="777"/>
      <c r="I50" s="745"/>
      <c r="J50" s="733"/>
      <c r="K50" s="733"/>
      <c r="L50" s="733"/>
      <c r="M50" s="733"/>
      <c r="N50" s="733"/>
      <c r="O50" s="733"/>
      <c r="P50" s="733"/>
    </row>
    <row r="51" spans="1:16" hidden="1">
      <c r="A51" s="733"/>
      <c r="B51" s="733"/>
      <c r="C51" s="731"/>
      <c r="D51" s="733"/>
      <c r="E51" s="774"/>
      <c r="F51" s="698" t="s">
        <v>216</v>
      </c>
      <c r="G51" s="698"/>
      <c r="H51" s="773" t="s">
        <v>1122</v>
      </c>
      <c r="I51" s="745"/>
      <c r="J51" s="778"/>
      <c r="K51" s="733"/>
      <c r="L51" s="733"/>
      <c r="M51" s="733"/>
      <c r="N51" s="733"/>
      <c r="O51" s="733"/>
      <c r="P51" s="733"/>
    </row>
    <row r="52" spans="1:16">
      <c r="A52" s="733" t="s">
        <v>1401</v>
      </c>
      <c r="B52" s="733"/>
      <c r="C52" s="731"/>
      <c r="D52" s="733"/>
      <c r="E52" s="760" t="s">
        <v>217</v>
      </c>
      <c r="F52" s="760"/>
      <c r="G52" s="760"/>
      <c r="H52" s="771" t="s">
        <v>21</v>
      </c>
      <c r="I52" s="745"/>
      <c r="J52" s="733" t="s">
        <v>1732</v>
      </c>
      <c r="K52" s="733"/>
      <c r="L52" s="733"/>
      <c r="M52" s="733"/>
      <c r="N52" s="733"/>
      <c r="O52" s="733"/>
      <c r="P52" s="733"/>
    </row>
    <row r="53" spans="1:16" hidden="1">
      <c r="A53" s="733"/>
      <c r="B53" s="733"/>
      <c r="C53" s="731"/>
      <c r="D53" s="733"/>
      <c r="E53" s="774" t="s">
        <v>211</v>
      </c>
      <c r="F53" s="760" t="s">
        <v>212</v>
      </c>
      <c r="G53" s="760"/>
      <c r="H53" s="775" t="s">
        <v>1122</v>
      </c>
      <c r="I53" s="745"/>
      <c r="J53" s="733"/>
      <c r="K53" s="733"/>
      <c r="L53" s="733"/>
      <c r="M53" s="733"/>
      <c r="N53" s="733"/>
      <c r="O53" s="733"/>
      <c r="P53" s="733"/>
    </row>
    <row r="54" spans="1:16" hidden="1">
      <c r="A54" s="733"/>
      <c r="B54" s="733"/>
      <c r="C54" s="731"/>
      <c r="D54" s="733"/>
      <c r="E54" s="774"/>
      <c r="F54" s="760" t="s">
        <v>213</v>
      </c>
      <c r="G54" s="760"/>
      <c r="H54" s="776" t="s">
        <v>1122</v>
      </c>
      <c r="I54" s="745"/>
      <c r="J54" s="733"/>
      <c r="K54" s="733"/>
      <c r="L54" s="733"/>
      <c r="M54" s="733"/>
      <c r="N54" s="733"/>
      <c r="O54" s="733"/>
      <c r="P54" s="733"/>
    </row>
    <row r="55" spans="1:16" hidden="1">
      <c r="A55" s="733"/>
      <c r="B55" s="733"/>
      <c r="C55" s="731"/>
      <c r="D55" s="733"/>
      <c r="E55" s="774"/>
      <c r="F55" s="760" t="s">
        <v>214</v>
      </c>
      <c r="G55" s="760"/>
      <c r="H55" s="775" t="s">
        <v>1122</v>
      </c>
      <c r="I55" s="745"/>
      <c r="J55" s="733"/>
      <c r="K55" s="733"/>
      <c r="L55" s="733"/>
      <c r="M55" s="733"/>
      <c r="N55" s="733"/>
      <c r="O55" s="733"/>
      <c r="P55" s="733"/>
    </row>
    <row r="56" spans="1:16" hidden="1">
      <c r="A56" s="733"/>
      <c r="B56" s="733"/>
      <c r="C56" s="731"/>
      <c r="D56" s="733"/>
      <c r="E56" s="774"/>
      <c r="F56" s="760" t="s">
        <v>215</v>
      </c>
      <c r="G56" s="760"/>
      <c r="H56" s="777"/>
      <c r="I56" s="745"/>
      <c r="J56" s="733"/>
      <c r="K56" s="733"/>
      <c r="L56" s="733"/>
      <c r="M56" s="733"/>
      <c r="N56" s="733"/>
      <c r="O56" s="733"/>
      <c r="P56" s="733"/>
    </row>
    <row r="57" spans="1:16" hidden="1">
      <c r="A57" s="733"/>
      <c r="B57" s="733"/>
      <c r="C57" s="731"/>
      <c r="D57" s="733"/>
      <c r="E57" s="774"/>
      <c r="F57" s="698" t="s">
        <v>216</v>
      </c>
      <c r="G57" s="698"/>
      <c r="H57" s="773" t="s">
        <v>1122</v>
      </c>
      <c r="I57" s="745"/>
      <c r="J57" s="778"/>
      <c r="K57" s="733"/>
      <c r="L57" s="733"/>
      <c r="M57" s="733"/>
      <c r="N57" s="733"/>
      <c r="O57" s="733"/>
      <c r="P57" s="733"/>
    </row>
    <row r="58" spans="1:16">
      <c r="A58" s="733" t="s">
        <v>1402</v>
      </c>
      <c r="B58" s="733"/>
      <c r="C58" s="731"/>
      <c r="D58" s="733"/>
      <c r="E58" s="760" t="s">
        <v>218</v>
      </c>
      <c r="F58" s="760"/>
      <c r="G58" s="760"/>
      <c r="H58" s="771" t="s">
        <v>21</v>
      </c>
      <c r="I58" s="745"/>
      <c r="J58" s="733" t="s">
        <v>1733</v>
      </c>
      <c r="K58" s="733"/>
      <c r="L58" s="733"/>
      <c r="M58" s="733"/>
      <c r="N58" s="733"/>
      <c r="O58" s="733"/>
      <c r="P58" s="733"/>
    </row>
    <row r="59" spans="1:16" hidden="1">
      <c r="A59" s="733"/>
      <c r="B59" s="733"/>
      <c r="C59" s="731"/>
      <c r="D59" s="733"/>
      <c r="E59" s="774" t="s">
        <v>211</v>
      </c>
      <c r="F59" s="760" t="s">
        <v>212</v>
      </c>
      <c r="G59" s="760"/>
      <c r="H59" s="775" t="s">
        <v>1122</v>
      </c>
      <c r="I59" s="745"/>
      <c r="J59" s="733"/>
      <c r="K59" s="733"/>
      <c r="L59" s="733"/>
      <c r="M59" s="733"/>
      <c r="N59" s="733"/>
      <c r="O59" s="733"/>
      <c r="P59" s="733"/>
    </row>
    <row r="60" spans="1:16" hidden="1">
      <c r="A60" s="733"/>
      <c r="B60" s="733"/>
      <c r="C60" s="731"/>
      <c r="D60" s="733"/>
      <c r="E60" s="774"/>
      <c r="F60" s="760" t="s">
        <v>213</v>
      </c>
      <c r="G60" s="760"/>
      <c r="H60" s="776" t="s">
        <v>1122</v>
      </c>
      <c r="I60" s="745"/>
      <c r="J60" s="733"/>
      <c r="K60" s="733"/>
      <c r="L60" s="733"/>
      <c r="M60" s="733"/>
      <c r="N60" s="733"/>
      <c r="O60" s="733"/>
      <c r="P60" s="733"/>
    </row>
    <row r="61" spans="1:16" hidden="1">
      <c r="A61" s="733"/>
      <c r="B61" s="733"/>
      <c r="C61" s="731"/>
      <c r="D61" s="733"/>
      <c r="E61" s="774"/>
      <c r="F61" s="760" t="s">
        <v>214</v>
      </c>
      <c r="G61" s="760"/>
      <c r="H61" s="775" t="s">
        <v>1122</v>
      </c>
      <c r="I61" s="745"/>
      <c r="J61" s="733"/>
      <c r="K61" s="733"/>
      <c r="L61" s="733"/>
      <c r="M61" s="733"/>
      <c r="N61" s="733"/>
      <c r="O61" s="733"/>
      <c r="P61" s="733"/>
    </row>
    <row r="62" spans="1:16" hidden="1">
      <c r="A62" s="733"/>
      <c r="B62" s="733"/>
      <c r="C62" s="731"/>
      <c r="D62" s="733"/>
      <c r="E62" s="774"/>
      <c r="F62" s="760" t="s">
        <v>215</v>
      </c>
      <c r="G62" s="760"/>
      <c r="H62" s="777"/>
      <c r="I62" s="745"/>
      <c r="J62" s="733"/>
      <c r="K62" s="733"/>
      <c r="L62" s="733"/>
      <c r="M62" s="733"/>
      <c r="N62" s="733"/>
      <c r="O62" s="733"/>
      <c r="P62" s="733"/>
    </row>
    <row r="63" spans="1:16" hidden="1">
      <c r="A63" s="733"/>
      <c r="B63" s="733"/>
      <c r="C63" s="731"/>
      <c r="D63" s="733"/>
      <c r="E63" s="774"/>
      <c r="F63" s="698" t="s">
        <v>216</v>
      </c>
      <c r="G63" s="698"/>
      <c r="H63" s="773" t="s">
        <v>1122</v>
      </c>
      <c r="I63" s="745"/>
      <c r="J63" s="778"/>
      <c r="K63" s="733"/>
      <c r="L63" s="733"/>
      <c r="M63" s="733"/>
      <c r="N63" s="733"/>
      <c r="O63" s="733"/>
      <c r="P63" s="733"/>
    </row>
    <row r="64" spans="1:16" ht="25.5">
      <c r="A64" s="733" t="s">
        <v>1403</v>
      </c>
      <c r="B64" s="733"/>
      <c r="C64" s="731"/>
      <c r="D64" s="733"/>
      <c r="E64" s="760" t="s">
        <v>3013</v>
      </c>
      <c r="F64" s="760"/>
      <c r="G64" s="760"/>
      <c r="H64" s="771" t="s">
        <v>21</v>
      </c>
      <c r="I64" s="772"/>
      <c r="J64" s="733" t="s">
        <v>1734</v>
      </c>
      <c r="K64" s="733"/>
      <c r="L64" s="733"/>
      <c r="M64" s="733"/>
      <c r="N64" s="733"/>
      <c r="O64" s="733"/>
      <c r="P64" s="733"/>
    </row>
    <row r="65" spans="1:16" hidden="1">
      <c r="A65" s="733"/>
      <c r="B65" s="733"/>
      <c r="C65" s="731"/>
      <c r="D65" s="733"/>
      <c r="E65" s="774" t="s">
        <v>211</v>
      </c>
      <c r="F65" s="760" t="s">
        <v>212</v>
      </c>
      <c r="G65" s="760"/>
      <c r="H65" s="775" t="s">
        <v>1122</v>
      </c>
      <c r="I65" s="745"/>
      <c r="J65" s="733"/>
      <c r="K65" s="733"/>
      <c r="L65" s="733"/>
      <c r="M65" s="733"/>
      <c r="N65" s="733"/>
      <c r="O65" s="733"/>
      <c r="P65" s="733"/>
    </row>
    <row r="66" spans="1:16" hidden="1">
      <c r="A66" s="733"/>
      <c r="B66" s="733"/>
      <c r="C66" s="731"/>
      <c r="D66" s="733"/>
      <c r="E66" s="774"/>
      <c r="F66" s="760" t="s">
        <v>213</v>
      </c>
      <c r="G66" s="760"/>
      <c r="H66" s="776" t="s">
        <v>1122</v>
      </c>
      <c r="I66" s="745"/>
      <c r="J66" s="733"/>
      <c r="K66" s="733"/>
      <c r="L66" s="733"/>
      <c r="M66" s="733"/>
      <c r="N66" s="733"/>
      <c r="O66" s="733"/>
      <c r="P66" s="733"/>
    </row>
    <row r="67" spans="1:16" hidden="1">
      <c r="A67" s="733"/>
      <c r="B67" s="733"/>
      <c r="C67" s="731"/>
      <c r="D67" s="733"/>
      <c r="E67" s="774"/>
      <c r="F67" s="760" t="s">
        <v>214</v>
      </c>
      <c r="G67" s="760"/>
      <c r="H67" s="775" t="s">
        <v>1122</v>
      </c>
      <c r="I67" s="745"/>
      <c r="J67" s="733"/>
      <c r="K67" s="733"/>
      <c r="L67" s="733"/>
      <c r="M67" s="733"/>
      <c r="N67" s="733"/>
      <c r="O67" s="733"/>
      <c r="P67" s="733"/>
    </row>
    <row r="68" spans="1:16" hidden="1">
      <c r="A68" s="733"/>
      <c r="B68" s="733"/>
      <c r="C68" s="731"/>
      <c r="D68" s="733"/>
      <c r="E68" s="774"/>
      <c r="F68" s="760" t="s">
        <v>215</v>
      </c>
      <c r="G68" s="760"/>
      <c r="H68" s="777"/>
      <c r="I68" s="745"/>
      <c r="J68" s="733"/>
      <c r="K68" s="733"/>
      <c r="L68" s="733"/>
      <c r="M68" s="733"/>
      <c r="N68" s="733"/>
      <c r="O68" s="733"/>
      <c r="P68" s="733"/>
    </row>
    <row r="69" spans="1:16" hidden="1">
      <c r="A69" s="733"/>
      <c r="B69" s="733"/>
      <c r="C69" s="731"/>
      <c r="D69" s="733"/>
      <c r="E69" s="774"/>
      <c r="F69" s="760" t="s">
        <v>219</v>
      </c>
      <c r="G69" s="760"/>
      <c r="H69" s="777"/>
      <c r="I69" s="745"/>
      <c r="J69" s="733"/>
      <c r="K69" s="733"/>
      <c r="L69" s="733"/>
      <c r="M69" s="733"/>
      <c r="N69" s="733"/>
      <c r="O69" s="733"/>
      <c r="P69" s="733"/>
    </row>
    <row r="70" spans="1:16" hidden="1">
      <c r="A70" s="733"/>
      <c r="B70" s="733"/>
      <c r="C70" s="731"/>
      <c r="D70" s="733"/>
      <c r="E70" s="774"/>
      <c r="F70" s="760" t="s">
        <v>220</v>
      </c>
      <c r="G70" s="760"/>
      <c r="H70" s="777"/>
      <c r="I70" s="745"/>
      <c r="J70" s="733"/>
      <c r="K70" s="733"/>
      <c r="L70" s="733"/>
      <c r="M70" s="733"/>
      <c r="N70" s="733"/>
      <c r="O70" s="733"/>
      <c r="P70" s="733"/>
    </row>
    <row r="71" spans="1:16" ht="25.5">
      <c r="A71" s="733" t="s">
        <v>1404</v>
      </c>
      <c r="B71" s="733"/>
      <c r="C71" s="731"/>
      <c r="D71" s="733"/>
      <c r="E71" s="760" t="s">
        <v>3014</v>
      </c>
      <c r="F71" s="760"/>
      <c r="G71" s="760"/>
      <c r="H71" s="771" t="s">
        <v>21</v>
      </c>
      <c r="I71" s="772"/>
      <c r="J71" s="733" t="s">
        <v>1735</v>
      </c>
      <c r="K71" s="733"/>
      <c r="L71" s="733"/>
      <c r="M71" s="733"/>
      <c r="N71" s="733"/>
      <c r="O71" s="733"/>
      <c r="P71" s="733"/>
    </row>
    <row r="72" spans="1:16" hidden="1">
      <c r="A72" s="733"/>
      <c r="B72" s="733"/>
      <c r="C72" s="731"/>
      <c r="D72" s="733"/>
      <c r="E72" s="774" t="s">
        <v>211</v>
      </c>
      <c r="F72" s="760" t="s">
        <v>212</v>
      </c>
      <c r="G72" s="760"/>
      <c r="H72" s="775" t="s">
        <v>1122</v>
      </c>
      <c r="I72" s="745"/>
      <c r="J72" s="733"/>
      <c r="K72" s="733"/>
      <c r="L72" s="733"/>
      <c r="M72" s="733"/>
      <c r="N72" s="733"/>
      <c r="O72" s="733"/>
      <c r="P72" s="733"/>
    </row>
    <row r="73" spans="1:16" hidden="1">
      <c r="A73" s="733"/>
      <c r="B73" s="733"/>
      <c r="C73" s="731"/>
      <c r="D73" s="733"/>
      <c r="E73" s="774"/>
      <c r="F73" s="760" t="s">
        <v>213</v>
      </c>
      <c r="G73" s="760"/>
      <c r="H73" s="776" t="s">
        <v>1122</v>
      </c>
      <c r="I73" s="745"/>
      <c r="J73" s="733"/>
      <c r="K73" s="733"/>
      <c r="L73" s="733"/>
      <c r="M73" s="733"/>
      <c r="N73" s="733"/>
      <c r="O73" s="733"/>
      <c r="P73" s="733"/>
    </row>
    <row r="74" spans="1:16" hidden="1">
      <c r="A74" s="733"/>
      <c r="B74" s="733"/>
      <c r="C74" s="731"/>
      <c r="D74" s="733"/>
      <c r="E74" s="774"/>
      <c r="F74" s="760" t="s">
        <v>214</v>
      </c>
      <c r="G74" s="760"/>
      <c r="H74" s="775" t="s">
        <v>1122</v>
      </c>
      <c r="I74" s="745"/>
      <c r="J74" s="733"/>
      <c r="K74" s="733"/>
      <c r="L74" s="733"/>
      <c r="M74" s="733"/>
      <c r="N74" s="733"/>
      <c r="O74" s="733"/>
      <c r="P74" s="733"/>
    </row>
    <row r="75" spans="1:16" hidden="1">
      <c r="A75" s="733"/>
      <c r="B75" s="733"/>
      <c r="C75" s="731"/>
      <c r="D75" s="733"/>
      <c r="E75" s="774"/>
      <c r="F75" s="760" t="s">
        <v>215</v>
      </c>
      <c r="G75" s="760"/>
      <c r="H75" s="777"/>
      <c r="I75" s="745"/>
      <c r="J75" s="733"/>
      <c r="K75" s="733"/>
      <c r="L75" s="733"/>
      <c r="M75" s="733"/>
      <c r="N75" s="733"/>
      <c r="O75" s="733"/>
      <c r="P75" s="733"/>
    </row>
    <row r="76" spans="1:16" hidden="1">
      <c r="A76" s="733"/>
      <c r="B76" s="733"/>
      <c r="C76" s="731"/>
      <c r="D76" s="733"/>
      <c r="E76" s="774"/>
      <c r="F76" s="760" t="s">
        <v>219</v>
      </c>
      <c r="G76" s="760"/>
      <c r="H76" s="777"/>
      <c r="I76" s="745"/>
      <c r="J76" s="733"/>
      <c r="K76" s="733"/>
      <c r="L76" s="733"/>
      <c r="M76" s="733"/>
      <c r="N76" s="733"/>
      <c r="O76" s="733"/>
      <c r="P76" s="733"/>
    </row>
    <row r="77" spans="1:16" hidden="1">
      <c r="A77" s="733"/>
      <c r="B77" s="733"/>
      <c r="C77" s="731"/>
      <c r="D77" s="733"/>
      <c r="E77" s="774"/>
      <c r="F77" s="760" t="s">
        <v>220</v>
      </c>
      <c r="G77" s="760"/>
      <c r="H77" s="777"/>
      <c r="I77" s="745"/>
      <c r="J77" s="733"/>
      <c r="K77" s="733"/>
      <c r="L77" s="733"/>
      <c r="M77" s="733"/>
      <c r="N77" s="733"/>
      <c r="O77" s="733"/>
      <c r="P77" s="733"/>
    </row>
    <row r="78" spans="1:16" ht="25.5">
      <c r="A78" s="733" t="s">
        <v>1405</v>
      </c>
      <c r="B78" s="733"/>
      <c r="C78" s="731"/>
      <c r="D78" s="733"/>
      <c r="E78" s="760" t="s">
        <v>3015</v>
      </c>
      <c r="F78" s="760"/>
      <c r="G78" s="760"/>
      <c r="H78" s="771" t="s">
        <v>21</v>
      </c>
      <c r="I78" s="772"/>
      <c r="J78" s="733" t="s">
        <v>1736</v>
      </c>
      <c r="K78" s="733"/>
      <c r="L78" s="733"/>
      <c r="M78" s="733"/>
      <c r="N78" s="733"/>
      <c r="O78" s="733"/>
      <c r="P78" s="733"/>
    </row>
    <row r="79" spans="1:16" hidden="1">
      <c r="A79" s="733"/>
      <c r="B79" s="733"/>
      <c r="C79" s="731"/>
      <c r="D79" s="733"/>
      <c r="E79" s="774" t="s">
        <v>211</v>
      </c>
      <c r="F79" s="760" t="s">
        <v>212</v>
      </c>
      <c r="G79" s="760"/>
      <c r="H79" s="775" t="s">
        <v>1122</v>
      </c>
      <c r="I79" s="745"/>
      <c r="J79" s="733"/>
      <c r="K79" s="733"/>
      <c r="L79" s="733"/>
      <c r="M79" s="733"/>
      <c r="N79" s="733"/>
      <c r="O79" s="733"/>
      <c r="P79" s="733"/>
    </row>
    <row r="80" spans="1:16" hidden="1">
      <c r="A80" s="733"/>
      <c r="B80" s="733"/>
      <c r="C80" s="731"/>
      <c r="D80" s="733"/>
      <c r="E80" s="774"/>
      <c r="F80" s="760" t="s">
        <v>213</v>
      </c>
      <c r="G80" s="760"/>
      <c r="H80" s="776" t="s">
        <v>1122</v>
      </c>
      <c r="I80" s="745"/>
      <c r="J80" s="733"/>
      <c r="K80" s="733"/>
      <c r="L80" s="733"/>
      <c r="M80" s="733"/>
      <c r="N80" s="733"/>
      <c r="O80" s="733"/>
      <c r="P80" s="733"/>
    </row>
    <row r="81" spans="1:16" hidden="1">
      <c r="A81" s="733"/>
      <c r="B81" s="733"/>
      <c r="C81" s="731"/>
      <c r="D81" s="733"/>
      <c r="E81" s="774"/>
      <c r="F81" s="760" t="s">
        <v>214</v>
      </c>
      <c r="G81" s="760"/>
      <c r="H81" s="775" t="s">
        <v>1122</v>
      </c>
      <c r="I81" s="745"/>
      <c r="J81" s="733"/>
      <c r="K81" s="733"/>
      <c r="L81" s="733"/>
      <c r="M81" s="733"/>
      <c r="N81" s="733"/>
      <c r="O81" s="733"/>
      <c r="P81" s="733"/>
    </row>
    <row r="82" spans="1:16" hidden="1">
      <c r="A82" s="733"/>
      <c r="B82" s="733"/>
      <c r="C82" s="731"/>
      <c r="D82" s="733"/>
      <c r="E82" s="774"/>
      <c r="F82" s="760" t="s">
        <v>215</v>
      </c>
      <c r="G82" s="760"/>
      <c r="H82" s="777"/>
      <c r="I82" s="745"/>
      <c r="J82" s="733"/>
      <c r="K82" s="733"/>
      <c r="L82" s="733"/>
      <c r="M82" s="733"/>
      <c r="N82" s="733"/>
      <c r="O82" s="733"/>
      <c r="P82" s="733"/>
    </row>
    <row r="83" spans="1:16" hidden="1">
      <c r="A83" s="733"/>
      <c r="B83" s="733"/>
      <c r="C83" s="731"/>
      <c r="D83" s="733"/>
      <c r="E83" s="774"/>
      <c r="F83" s="760" t="s">
        <v>221</v>
      </c>
      <c r="G83" s="760"/>
      <c r="H83" s="777"/>
      <c r="I83" s="745"/>
      <c r="J83" s="733"/>
      <c r="K83" s="733"/>
      <c r="L83" s="733"/>
      <c r="M83" s="733"/>
      <c r="N83" s="733"/>
      <c r="O83" s="733"/>
      <c r="P83" s="733"/>
    </row>
    <row r="84" spans="1:16" hidden="1">
      <c r="A84" s="733"/>
      <c r="B84" s="733"/>
      <c r="C84" s="731"/>
      <c r="D84" s="733"/>
      <c r="E84" s="774"/>
      <c r="F84" s="760" t="s">
        <v>1114</v>
      </c>
      <c r="G84" s="760"/>
      <c r="H84" s="777"/>
      <c r="I84" s="745"/>
      <c r="J84" s="733"/>
      <c r="K84" s="733"/>
      <c r="L84" s="733"/>
      <c r="M84" s="733"/>
      <c r="N84" s="733"/>
      <c r="O84" s="733"/>
      <c r="P84" s="733"/>
    </row>
    <row r="85" spans="1:16">
      <c r="A85" s="733"/>
      <c r="B85" s="733"/>
      <c r="C85" s="731"/>
      <c r="D85" s="733"/>
      <c r="E85" s="760" t="s">
        <v>222</v>
      </c>
      <c r="F85" s="760"/>
      <c r="G85" s="760"/>
      <c r="H85" s="779"/>
      <c r="I85" s="745"/>
      <c r="J85" s="733" t="s">
        <v>1737</v>
      </c>
      <c r="K85" s="733"/>
      <c r="L85" s="733"/>
      <c r="M85" s="733"/>
      <c r="N85" s="733"/>
      <c r="O85" s="733"/>
      <c r="P85" s="733"/>
    </row>
    <row r="86" spans="1:16" ht="25.5">
      <c r="A86" s="733" t="s">
        <v>1399</v>
      </c>
      <c r="B86" s="733"/>
      <c r="C86" s="731"/>
      <c r="D86" s="733"/>
      <c r="E86" s="760" t="s">
        <v>1764</v>
      </c>
      <c r="F86" s="760"/>
      <c r="G86" s="760"/>
      <c r="H86" s="771" t="s">
        <v>21</v>
      </c>
      <c r="I86" s="772"/>
      <c r="J86" s="731" t="s">
        <v>1738</v>
      </c>
      <c r="K86" s="733"/>
      <c r="L86" s="733"/>
      <c r="M86" s="733"/>
      <c r="N86" s="733"/>
      <c r="O86" s="733"/>
      <c r="P86" s="733"/>
    </row>
    <row r="87" spans="1:16" ht="11.25" customHeight="1">
      <c r="A87" s="733"/>
      <c r="B87" s="733"/>
      <c r="C87" s="731"/>
      <c r="D87" s="733"/>
      <c r="E87" s="734"/>
      <c r="F87" s="734"/>
      <c r="G87" s="734"/>
      <c r="H87" s="780"/>
      <c r="I87" s="745"/>
      <c r="J87" s="733"/>
      <c r="K87" s="733"/>
      <c r="L87" s="733"/>
      <c r="M87" s="733"/>
      <c r="N87" s="733"/>
      <c r="O87" s="733"/>
      <c r="P87" s="733"/>
    </row>
    <row r="88" spans="1:16">
      <c r="A88" s="733"/>
      <c r="B88" s="733"/>
      <c r="C88" s="731"/>
      <c r="D88" s="733"/>
      <c r="E88" s="760" t="s">
        <v>223</v>
      </c>
      <c r="F88" s="760"/>
      <c r="G88" s="770" t="s">
        <v>224</v>
      </c>
      <c r="H88" s="781" t="s">
        <v>2967</v>
      </c>
      <c r="I88" s="745"/>
      <c r="J88" s="733" t="s">
        <v>1502</v>
      </c>
      <c r="K88" s="733"/>
      <c r="L88" s="733"/>
      <c r="M88" s="733"/>
      <c r="N88" s="733"/>
      <c r="O88" s="733"/>
      <c r="P88" s="733"/>
    </row>
    <row r="89" spans="1:16">
      <c r="A89" s="733"/>
      <c r="B89" s="733"/>
      <c r="C89" s="731"/>
      <c r="D89" s="733"/>
      <c r="E89" s="760"/>
      <c r="F89" s="760"/>
      <c r="G89" s="770" t="s">
        <v>225</v>
      </c>
      <c r="H89" s="781" t="s">
        <v>2950</v>
      </c>
      <c r="I89" s="745"/>
      <c r="J89" s="733" t="s">
        <v>1503</v>
      </c>
      <c r="K89" s="733"/>
      <c r="L89" s="733"/>
      <c r="M89" s="733"/>
      <c r="N89" s="733"/>
      <c r="O89" s="733"/>
      <c r="P89" s="733"/>
    </row>
    <row r="90" spans="1:16">
      <c r="A90" s="733"/>
      <c r="B90" s="733"/>
      <c r="C90" s="731"/>
      <c r="D90" s="733"/>
      <c r="E90" s="760"/>
      <c r="F90" s="760"/>
      <c r="G90" s="770" t="s">
        <v>226</v>
      </c>
      <c r="H90" s="781" t="s">
        <v>2968</v>
      </c>
      <c r="I90" s="745"/>
      <c r="J90" s="733" t="s">
        <v>1543</v>
      </c>
      <c r="K90" s="733"/>
      <c r="L90" s="733"/>
      <c r="M90" s="733"/>
      <c r="N90" s="733"/>
      <c r="O90" s="733"/>
      <c r="P90" s="733"/>
    </row>
    <row r="91" spans="1:16">
      <c r="A91" s="733"/>
      <c r="B91" s="733"/>
      <c r="C91" s="731"/>
      <c r="D91" s="733"/>
      <c r="E91" s="760"/>
      <c r="F91" s="760"/>
      <c r="G91" s="770" t="s">
        <v>227</v>
      </c>
      <c r="H91" s="781" t="s">
        <v>2949</v>
      </c>
      <c r="I91" s="745"/>
      <c r="J91" s="733" t="s">
        <v>1560</v>
      </c>
      <c r="K91" s="733"/>
      <c r="L91" s="733"/>
      <c r="M91" s="733"/>
      <c r="N91" s="733"/>
      <c r="O91" s="733"/>
      <c r="P91" s="733"/>
    </row>
    <row r="92" spans="1:16" ht="11.25" customHeight="1">
      <c r="A92" s="733"/>
      <c r="B92" s="733"/>
      <c r="C92" s="731"/>
      <c r="D92" s="733"/>
      <c r="E92" s="782"/>
      <c r="F92" s="782"/>
      <c r="G92" s="782"/>
      <c r="H92" s="783"/>
      <c r="I92" s="745"/>
      <c r="J92" s="733"/>
      <c r="K92" s="733"/>
      <c r="L92" s="733"/>
      <c r="M92" s="733"/>
      <c r="N92" s="733"/>
      <c r="O92" s="733"/>
      <c r="P92" s="733"/>
    </row>
    <row r="93" spans="1:16" ht="11.25" customHeight="1">
      <c r="A93" s="733"/>
      <c r="B93" s="733"/>
      <c r="C93" s="731"/>
      <c r="D93" s="733"/>
      <c r="E93" s="784" t="s">
        <v>228</v>
      </c>
      <c r="F93" s="784"/>
      <c r="G93" s="784"/>
      <c r="H93" s="784"/>
      <c r="I93" s="745"/>
      <c r="J93" s="733"/>
      <c r="K93" s="733"/>
      <c r="L93" s="733"/>
      <c r="M93" s="733"/>
      <c r="N93" s="733"/>
      <c r="O93" s="733"/>
      <c r="P93" s="733"/>
    </row>
    <row r="94" spans="1:16" ht="15">
      <c r="A94" s="733"/>
      <c r="B94" s="733"/>
      <c r="C94" s="731"/>
      <c r="D94" s="733"/>
      <c r="E94" s="785" t="s">
        <v>229</v>
      </c>
      <c r="F94" s="785"/>
      <c r="G94" s="785"/>
      <c r="H94" s="785"/>
      <c r="I94" s="786"/>
      <c r="J94" s="733"/>
      <c r="K94" s="733"/>
      <c r="L94" s="733"/>
      <c r="M94" s="733"/>
      <c r="N94" s="733"/>
      <c r="O94" s="733"/>
      <c r="P94" s="733"/>
    </row>
    <row r="95" spans="1:16" ht="15">
      <c r="A95" s="733"/>
      <c r="B95" s="733"/>
      <c r="C95" s="731"/>
      <c r="D95" s="733"/>
      <c r="E95" s="785" t="s">
        <v>230</v>
      </c>
      <c r="F95" s="785"/>
      <c r="G95" s="785"/>
      <c r="H95" s="785"/>
      <c r="I95" s="786"/>
      <c r="J95" s="733"/>
      <c r="K95" s="733"/>
      <c r="L95" s="733"/>
      <c r="M95" s="733"/>
      <c r="N95" s="733"/>
      <c r="O95" s="733"/>
      <c r="P95" s="733"/>
    </row>
    <row r="96" spans="1:16" ht="15">
      <c r="A96" s="733"/>
      <c r="B96" s="733"/>
      <c r="C96" s="731"/>
      <c r="D96" s="733"/>
      <c r="E96" s="785" t="s">
        <v>231</v>
      </c>
      <c r="F96" s="785"/>
      <c r="G96" s="785"/>
      <c r="H96" s="785"/>
      <c r="I96" s="786"/>
      <c r="J96" s="733"/>
      <c r="K96" s="733"/>
      <c r="L96" s="733"/>
      <c r="M96" s="733"/>
      <c r="N96" s="733"/>
      <c r="O96" s="733"/>
      <c r="P96" s="733"/>
    </row>
    <row r="97" spans="1:16" ht="15">
      <c r="A97" s="733"/>
      <c r="B97" s="733"/>
      <c r="C97" s="731"/>
      <c r="D97" s="733"/>
      <c r="E97" s="785" t="s">
        <v>232</v>
      </c>
      <c r="F97" s="785"/>
      <c r="G97" s="785"/>
      <c r="H97" s="785"/>
      <c r="I97" s="786"/>
      <c r="J97" s="733"/>
      <c r="K97" s="733"/>
      <c r="L97" s="733"/>
      <c r="M97" s="733"/>
      <c r="N97" s="733"/>
      <c r="O97" s="733"/>
      <c r="P97" s="733"/>
    </row>
    <row r="98" spans="1:16" ht="15">
      <c r="A98" s="733"/>
      <c r="B98" s="733"/>
      <c r="C98" s="731"/>
      <c r="D98" s="733"/>
      <c r="E98" s="785" t="s">
        <v>233</v>
      </c>
      <c r="F98" s="785"/>
      <c r="G98" s="785"/>
      <c r="H98" s="785"/>
      <c r="I98" s="786"/>
      <c r="J98" s="733"/>
      <c r="K98" s="733"/>
      <c r="L98" s="733"/>
      <c r="M98" s="733"/>
      <c r="N98" s="733"/>
      <c r="O98" s="733"/>
      <c r="P98" s="733"/>
    </row>
    <row r="99" spans="1:16" ht="22.5">
      <c r="A99" s="733"/>
      <c r="B99" s="733"/>
      <c r="C99" s="731"/>
      <c r="D99" s="733"/>
      <c r="E99" s="785" t="s">
        <v>234</v>
      </c>
      <c r="F99" s="785"/>
      <c r="G99" s="785"/>
      <c r="H99" s="785"/>
      <c r="I99" s="787"/>
      <c r="J99" s="733"/>
      <c r="K99" s="733"/>
      <c r="L99" s="733"/>
      <c r="M99" s="733"/>
      <c r="N99" s="733"/>
      <c r="O99" s="733"/>
      <c r="P99" s="733"/>
    </row>
    <row r="100" spans="1:16" ht="15">
      <c r="A100" s="733"/>
      <c r="B100" s="733"/>
      <c r="C100" s="731"/>
      <c r="D100" s="733"/>
      <c r="E100" s="785" t="s">
        <v>235</v>
      </c>
      <c r="F100" s="785"/>
      <c r="G100" s="785"/>
      <c r="H100" s="785"/>
      <c r="I100" s="786"/>
      <c r="J100" s="733"/>
      <c r="K100" s="733"/>
      <c r="L100" s="733"/>
      <c r="M100" s="733"/>
      <c r="N100" s="733"/>
      <c r="O100" s="733"/>
      <c r="P100" s="733"/>
    </row>
    <row r="101" spans="1:16" ht="22.5">
      <c r="A101" s="733"/>
      <c r="B101" s="733"/>
      <c r="C101" s="731"/>
      <c r="D101" s="733"/>
      <c r="E101" s="785" t="s">
        <v>236</v>
      </c>
      <c r="F101" s="785"/>
      <c r="G101" s="785"/>
      <c r="H101" s="785"/>
      <c r="I101" s="787"/>
      <c r="J101" s="733"/>
      <c r="K101" s="733"/>
      <c r="L101" s="733"/>
      <c r="M101" s="733"/>
      <c r="N101" s="733"/>
      <c r="O101" s="733"/>
      <c r="P101" s="733"/>
    </row>
    <row r="102" spans="1:16" ht="15">
      <c r="A102" s="733"/>
      <c r="B102" s="733"/>
      <c r="C102" s="731"/>
      <c r="D102" s="733"/>
      <c r="E102" s="785" t="s">
        <v>237</v>
      </c>
      <c r="F102" s="785"/>
      <c r="G102" s="785"/>
      <c r="H102" s="785"/>
      <c r="I102" s="786"/>
      <c r="J102" s="733"/>
      <c r="K102" s="733"/>
      <c r="L102" s="733"/>
      <c r="M102" s="733"/>
      <c r="N102" s="733"/>
      <c r="O102" s="733"/>
      <c r="P102" s="733"/>
    </row>
    <row r="103" spans="1:16" ht="15">
      <c r="A103" s="733"/>
      <c r="B103" s="733"/>
      <c r="C103" s="731"/>
      <c r="D103" s="733"/>
      <c r="E103" s="785" t="s">
        <v>238</v>
      </c>
      <c r="F103" s="785"/>
      <c r="G103" s="785"/>
      <c r="H103" s="785"/>
      <c r="I103" s="786"/>
      <c r="J103" s="733"/>
      <c r="K103" s="733"/>
      <c r="L103" s="733"/>
      <c r="M103" s="733"/>
      <c r="N103" s="733"/>
      <c r="O103" s="733"/>
      <c r="P103" s="733"/>
    </row>
    <row r="104" spans="1:16" ht="22.5">
      <c r="A104" s="733"/>
      <c r="B104" s="733"/>
      <c r="C104" s="731"/>
      <c r="D104" s="733"/>
      <c r="E104" s="785" t="s">
        <v>239</v>
      </c>
      <c r="F104" s="785"/>
      <c r="G104" s="785"/>
      <c r="H104" s="785"/>
      <c r="I104" s="787"/>
      <c r="J104" s="733"/>
      <c r="K104" s="733"/>
      <c r="L104" s="733"/>
      <c r="M104" s="733"/>
      <c r="N104" s="733"/>
      <c r="O104" s="733"/>
      <c r="P104" s="733"/>
    </row>
    <row r="105" spans="1:16" ht="22.5">
      <c r="A105" s="733"/>
      <c r="B105" s="733"/>
      <c r="C105" s="731"/>
      <c r="D105" s="733"/>
      <c r="E105" s="785" t="s">
        <v>240</v>
      </c>
      <c r="F105" s="785"/>
      <c r="G105" s="785"/>
      <c r="H105" s="785"/>
      <c r="I105" s="787"/>
      <c r="J105" s="733"/>
      <c r="K105" s="733"/>
      <c r="L105" s="733"/>
      <c r="M105" s="733"/>
      <c r="N105" s="733"/>
      <c r="O105" s="733"/>
      <c r="P105" s="733"/>
    </row>
    <row r="106" spans="1:16" ht="15">
      <c r="A106" s="733"/>
      <c r="B106" s="733"/>
      <c r="C106" s="731"/>
      <c r="D106" s="733"/>
      <c r="E106" s="785" t="s">
        <v>241</v>
      </c>
      <c r="F106" s="785"/>
      <c r="G106" s="785"/>
      <c r="H106" s="785"/>
      <c r="I106" s="786"/>
      <c r="J106" s="733"/>
      <c r="K106" s="733"/>
      <c r="L106" s="733"/>
      <c r="M106" s="733"/>
      <c r="N106" s="733"/>
      <c r="O106" s="733"/>
      <c r="P106" s="733"/>
    </row>
    <row r="107" spans="1:16" ht="15">
      <c r="A107" s="733"/>
      <c r="B107" s="733"/>
      <c r="C107" s="731"/>
      <c r="D107" s="733"/>
      <c r="E107" s="785" t="s">
        <v>242</v>
      </c>
      <c r="F107" s="785"/>
      <c r="G107" s="785"/>
      <c r="H107" s="785"/>
      <c r="I107" s="786"/>
      <c r="J107" s="733"/>
      <c r="K107" s="733"/>
      <c r="L107" s="733"/>
      <c r="M107" s="733"/>
      <c r="N107" s="733"/>
      <c r="O107" s="733"/>
      <c r="P107" s="733"/>
    </row>
    <row r="108" spans="1:16" ht="12" customHeight="1">
      <c r="A108" s="733"/>
      <c r="B108" s="733"/>
      <c r="C108" s="731"/>
      <c r="D108" s="733"/>
      <c r="E108" s="734"/>
      <c r="F108" s="734"/>
      <c r="G108" s="788"/>
      <c r="H108" s="788"/>
      <c r="I108" s="735"/>
      <c r="J108" s="733"/>
      <c r="K108" s="733"/>
      <c r="L108" s="733"/>
      <c r="M108" s="733"/>
      <c r="N108" s="733"/>
      <c r="O108" s="733"/>
      <c r="P108" s="733"/>
    </row>
    <row r="109" spans="1:16">
      <c r="A109" s="733"/>
      <c r="B109" s="733"/>
      <c r="C109" s="731"/>
      <c r="D109" s="733"/>
      <c r="E109" s="789" t="s">
        <v>1211</v>
      </c>
      <c r="F109" s="789"/>
      <c r="G109" s="790"/>
      <c r="H109" s="790"/>
      <c r="I109" s="757"/>
      <c r="J109" s="758"/>
      <c r="K109" s="758"/>
      <c r="L109" s="758"/>
      <c r="M109" s="758"/>
      <c r="N109" s="758"/>
      <c r="O109" s="759"/>
      <c r="P109" s="759"/>
    </row>
    <row r="110" spans="1:16" ht="25.5">
      <c r="A110" s="733"/>
      <c r="B110" s="733"/>
      <c r="C110" s="731"/>
      <c r="D110" s="733"/>
      <c r="E110" s="791" t="s">
        <v>243</v>
      </c>
      <c r="F110" s="792"/>
      <c r="G110" s="793" t="s">
        <v>1354</v>
      </c>
      <c r="H110" s="794" t="s">
        <v>21</v>
      </c>
      <c r="I110" s="772"/>
      <c r="J110" s="758" t="s">
        <v>1526</v>
      </c>
      <c r="K110" s="758"/>
      <c r="L110" s="758"/>
      <c r="M110" s="758"/>
      <c r="N110" s="758"/>
      <c r="O110" s="759"/>
      <c r="P110" s="759"/>
    </row>
    <row r="111" spans="1:16">
      <c r="A111" s="733"/>
      <c r="B111" s="733"/>
      <c r="C111" s="731"/>
      <c r="D111" s="733"/>
      <c r="E111" s="791"/>
      <c r="F111" s="792"/>
      <c r="G111" s="793" t="s">
        <v>213</v>
      </c>
      <c r="H111" s="795" t="s">
        <v>768</v>
      </c>
      <c r="I111" s="745"/>
      <c r="J111" s="758" t="s">
        <v>1527</v>
      </c>
      <c r="K111" s="758"/>
      <c r="L111" s="758"/>
      <c r="M111" s="758"/>
      <c r="N111" s="758"/>
      <c r="O111" s="759"/>
      <c r="P111" s="759"/>
    </row>
    <row r="112" spans="1:16">
      <c r="A112" s="733"/>
      <c r="B112" s="733"/>
      <c r="C112" s="731"/>
      <c r="D112" s="733"/>
      <c r="E112" s="792"/>
      <c r="F112" s="792"/>
      <c r="G112" s="793" t="s">
        <v>214</v>
      </c>
      <c r="H112" s="796" t="s">
        <v>2969</v>
      </c>
      <c r="I112" s="745"/>
      <c r="J112" s="733" t="s">
        <v>1534</v>
      </c>
      <c r="K112" s="733"/>
      <c r="L112" s="733"/>
      <c r="M112" s="733"/>
      <c r="N112" s="733"/>
      <c r="O112" s="733"/>
      <c r="P112" s="733"/>
    </row>
    <row r="113" spans="1:16">
      <c r="A113" s="733"/>
      <c r="B113" s="733"/>
      <c r="C113" s="731"/>
      <c r="D113" s="733"/>
      <c r="E113" s="792"/>
      <c r="F113" s="792"/>
      <c r="G113" s="793" t="s">
        <v>215</v>
      </c>
      <c r="H113" s="797">
        <v>44890</v>
      </c>
      <c r="I113" s="745"/>
      <c r="J113" s="733" t="s">
        <v>1537</v>
      </c>
      <c r="K113" s="733"/>
      <c r="L113" s="733"/>
      <c r="M113" s="733"/>
      <c r="N113" s="733"/>
      <c r="O113" s="733"/>
      <c r="P113" s="733"/>
    </row>
    <row r="114" spans="1:16" ht="15" customHeight="1">
      <c r="A114" s="733"/>
      <c r="B114" s="733"/>
      <c r="C114" s="731"/>
      <c r="D114" s="798" t="s">
        <v>1022</v>
      </c>
      <c r="E114" s="799" t="s">
        <v>3016</v>
      </c>
      <c r="F114" s="800"/>
      <c r="G114" s="801"/>
      <c r="H114" s="802"/>
      <c r="I114" s="735"/>
      <c r="J114" s="733"/>
      <c r="K114" s="733"/>
      <c r="L114" s="803"/>
      <c r="M114" s="733"/>
      <c r="N114" s="733"/>
      <c r="O114" s="733"/>
      <c r="P114" s="733"/>
    </row>
    <row r="115" spans="1:16">
      <c r="A115" s="735"/>
      <c r="B115" s="733"/>
      <c r="C115" s="731"/>
      <c r="D115" s="804" t="s">
        <v>18</v>
      </c>
      <c r="E115" s="799"/>
      <c r="F115" s="800"/>
      <c r="G115" s="805" t="s">
        <v>3017</v>
      </c>
      <c r="H115" s="806" t="s">
        <v>992</v>
      </c>
      <c r="I115" s="807"/>
      <c r="J115" s="733" t="s">
        <v>3018</v>
      </c>
      <c r="K115" s="733" t="s">
        <v>997</v>
      </c>
      <c r="L115" s="803" t="s">
        <v>1097</v>
      </c>
      <c r="M115" s="733">
        <v>0</v>
      </c>
      <c r="N115" s="733" t="s">
        <v>995</v>
      </c>
      <c r="O115" s="733"/>
      <c r="P115" s="733"/>
    </row>
    <row r="116" spans="1:16">
      <c r="A116" s="735"/>
      <c r="B116" s="733"/>
      <c r="C116" s="731"/>
      <c r="D116" s="808"/>
      <c r="E116" s="799"/>
      <c r="F116" s="800"/>
      <c r="G116" s="809" t="s">
        <v>1203</v>
      </c>
      <c r="H116" s="810" t="s">
        <v>2971</v>
      </c>
      <c r="I116" s="632"/>
      <c r="J116" s="733"/>
      <c r="K116" s="733"/>
      <c r="L116" s="733"/>
      <c r="M116" s="733"/>
      <c r="N116" s="733"/>
      <c r="O116" s="733"/>
      <c r="P116" s="733"/>
    </row>
    <row r="117" spans="1:16">
      <c r="A117" s="735"/>
      <c r="B117" s="733"/>
      <c r="C117" s="731"/>
      <c r="D117" s="808"/>
      <c r="E117" s="799"/>
      <c r="F117" s="800"/>
      <c r="G117" s="809" t="s">
        <v>244</v>
      </c>
      <c r="H117" s="794" t="s">
        <v>1097</v>
      </c>
      <c r="I117" s="632"/>
      <c r="J117" s="733"/>
      <c r="K117" s="733"/>
      <c r="L117" s="733"/>
      <c r="M117" s="733"/>
      <c r="N117" s="733"/>
      <c r="O117" s="733"/>
      <c r="P117" s="733"/>
    </row>
    <row r="118" spans="1:16">
      <c r="A118" s="735"/>
      <c r="B118" s="733"/>
      <c r="C118" s="731"/>
      <c r="D118" s="808"/>
      <c r="E118" s="799"/>
      <c r="F118" s="800"/>
      <c r="G118" s="809" t="s">
        <v>245</v>
      </c>
      <c r="H118" s="794" t="s">
        <v>995</v>
      </c>
      <c r="I118" s="632"/>
      <c r="J118" s="733"/>
      <c r="K118" s="733"/>
      <c r="L118" s="733"/>
      <c r="M118" s="733"/>
      <c r="N118" s="733"/>
      <c r="O118" s="733"/>
      <c r="P118" s="733"/>
    </row>
    <row r="119" spans="1:16" ht="22.5">
      <c r="A119" s="735"/>
      <c r="B119" s="733"/>
      <c r="C119" s="731"/>
      <c r="D119" s="808"/>
      <c r="E119" s="799"/>
      <c r="F119" s="800"/>
      <c r="G119" s="809" t="s">
        <v>246</v>
      </c>
      <c r="H119" s="810" t="s">
        <v>2970</v>
      </c>
      <c r="I119" s="732"/>
      <c r="J119" s="733"/>
      <c r="K119" s="733"/>
      <c r="L119" s="733"/>
      <c r="M119" s="733"/>
      <c r="N119" s="733"/>
      <c r="O119" s="733"/>
      <c r="P119" s="733"/>
    </row>
    <row r="120" spans="1:16">
      <c r="A120" s="735"/>
      <c r="B120" s="733"/>
      <c r="C120" s="731"/>
      <c r="D120" s="808"/>
      <c r="E120" s="799"/>
      <c r="F120" s="800"/>
      <c r="G120" s="811" t="s">
        <v>309</v>
      </c>
      <c r="H120" s="812" t="s">
        <v>997</v>
      </c>
      <c r="I120" s="632"/>
      <c r="J120" s="733"/>
      <c r="K120" s="733"/>
      <c r="L120" s="733"/>
      <c r="M120" s="733"/>
      <c r="N120" s="733"/>
      <c r="O120" s="733"/>
      <c r="P120" s="733"/>
    </row>
    <row r="121" spans="1:16">
      <c r="A121" s="735"/>
      <c r="B121" s="733"/>
      <c r="C121" s="731"/>
      <c r="D121" s="808"/>
      <c r="E121" s="799"/>
      <c r="F121" s="800"/>
      <c r="G121" s="811" t="s">
        <v>1000</v>
      </c>
      <c r="H121" s="810"/>
      <c r="I121" s="632"/>
      <c r="J121" s="733"/>
      <c r="K121" s="733"/>
      <c r="L121" s="733"/>
      <c r="M121" s="733"/>
      <c r="N121" s="733"/>
      <c r="O121" s="733"/>
      <c r="P121" s="733"/>
    </row>
    <row r="122" spans="1:16">
      <c r="A122" s="735"/>
      <c r="B122" s="733" t="b">
        <v>1</v>
      </c>
      <c r="C122" s="731"/>
      <c r="D122" s="808"/>
      <c r="E122" s="799"/>
      <c r="F122" s="800"/>
      <c r="G122" s="809" t="s">
        <v>247</v>
      </c>
      <c r="H122" s="813" t="s">
        <v>2972</v>
      </c>
      <c r="I122" s="632"/>
      <c r="J122" s="733"/>
      <c r="K122" s="733"/>
      <c r="L122" s="733"/>
      <c r="M122" s="733"/>
      <c r="N122" s="733"/>
      <c r="O122" s="733"/>
      <c r="P122" s="733"/>
    </row>
    <row r="123" spans="1:16">
      <c r="A123" s="735"/>
      <c r="B123" s="733" t="b">
        <v>1</v>
      </c>
      <c r="C123" s="731"/>
      <c r="D123" s="808"/>
      <c r="E123" s="799"/>
      <c r="F123" s="800"/>
      <c r="G123" s="809" t="s">
        <v>248</v>
      </c>
      <c r="H123" s="797">
        <v>44676</v>
      </c>
      <c r="I123" s="632"/>
      <c r="J123" s="733"/>
      <c r="K123" s="733"/>
      <c r="L123" s="733"/>
      <c r="M123" s="733"/>
      <c r="N123" s="733"/>
      <c r="O123" s="733"/>
      <c r="P123" s="733"/>
    </row>
    <row r="124" spans="1:16">
      <c r="A124" s="735"/>
      <c r="B124" s="733" t="b">
        <v>1</v>
      </c>
      <c r="C124" s="731"/>
      <c r="D124" s="808"/>
      <c r="E124" s="799"/>
      <c r="F124" s="800"/>
      <c r="G124" s="809" t="s">
        <v>1149</v>
      </c>
      <c r="H124" s="813"/>
      <c r="I124" s="632"/>
      <c r="J124" s="733"/>
      <c r="K124" s="733"/>
      <c r="L124" s="733"/>
      <c r="M124" s="733"/>
      <c r="N124" s="733"/>
      <c r="O124" s="733"/>
      <c r="P124" s="733"/>
    </row>
    <row r="125" spans="1:16">
      <c r="A125" s="735"/>
      <c r="B125" s="733" t="b">
        <v>1</v>
      </c>
      <c r="C125" s="731"/>
      <c r="D125" s="808"/>
      <c r="E125" s="799"/>
      <c r="F125" s="800"/>
      <c r="G125" s="809" t="s">
        <v>249</v>
      </c>
      <c r="H125" s="771" t="s">
        <v>753</v>
      </c>
      <c r="I125" s="632"/>
      <c r="J125" s="733"/>
      <c r="K125" s="733"/>
      <c r="L125" s="733"/>
      <c r="M125" s="733"/>
      <c r="N125" s="733"/>
      <c r="O125" s="733"/>
      <c r="P125" s="733"/>
    </row>
    <row r="126" spans="1:16" ht="22.5">
      <c r="A126" s="735"/>
      <c r="B126" s="733" t="b">
        <v>1</v>
      </c>
      <c r="C126" s="731"/>
      <c r="D126" s="808"/>
      <c r="E126" s="799"/>
      <c r="F126" s="800"/>
      <c r="G126" s="814" t="s">
        <v>3019</v>
      </c>
      <c r="H126" s="794">
        <v>2024</v>
      </c>
      <c r="I126" s="632"/>
      <c r="J126" s="733"/>
      <c r="K126" s="733"/>
      <c r="L126" s="733"/>
      <c r="M126" s="733"/>
      <c r="N126" s="733"/>
      <c r="O126" s="733"/>
      <c r="P126" s="733"/>
    </row>
    <row r="127" spans="1:16">
      <c r="A127" s="735"/>
      <c r="B127" s="733" t="b">
        <v>1</v>
      </c>
      <c r="C127" s="731"/>
      <c r="D127" s="808"/>
      <c r="E127" s="799"/>
      <c r="F127" s="800"/>
      <c r="G127" s="809" t="s">
        <v>251</v>
      </c>
      <c r="H127" s="815">
        <v>5</v>
      </c>
      <c r="I127" s="632"/>
      <c r="J127" s="733"/>
      <c r="K127" s="733"/>
      <c r="L127" s="733"/>
      <c r="M127" s="733"/>
      <c r="N127" s="733"/>
      <c r="O127" s="733"/>
      <c r="P127" s="733"/>
    </row>
    <row r="128" spans="1:16">
      <c r="A128" s="733"/>
      <c r="B128" s="733"/>
      <c r="C128" s="731"/>
      <c r="D128" s="733"/>
      <c r="E128" s="816" t="s">
        <v>252</v>
      </c>
      <c r="F128" s="817"/>
      <c r="G128" s="818" t="s">
        <v>253</v>
      </c>
      <c r="H128" s="796" t="s">
        <v>2973</v>
      </c>
      <c r="I128" s="745"/>
      <c r="J128" s="733" t="s">
        <v>1529</v>
      </c>
      <c r="K128" s="733"/>
      <c r="L128" s="733"/>
      <c r="M128" s="733"/>
      <c r="N128" s="733"/>
      <c r="O128" s="733"/>
      <c r="P128" s="733"/>
    </row>
    <row r="129" spans="1:16">
      <c r="A129" s="733"/>
      <c r="B129" s="733"/>
      <c r="C129" s="731"/>
      <c r="D129" s="733"/>
      <c r="E129" s="816"/>
      <c r="F129" s="817"/>
      <c r="G129" s="818" t="s">
        <v>254</v>
      </c>
      <c r="H129" s="779"/>
      <c r="I129" s="745"/>
      <c r="J129" s="733" t="s">
        <v>1562</v>
      </c>
      <c r="K129" s="733"/>
      <c r="L129" s="733"/>
      <c r="M129" s="733"/>
      <c r="N129" s="733"/>
      <c r="O129" s="733"/>
      <c r="P129" s="733"/>
    </row>
    <row r="130" spans="1:16">
      <c r="A130" s="733"/>
      <c r="B130" s="733"/>
      <c r="C130" s="731"/>
      <c r="D130" s="733"/>
      <c r="E130" s="816"/>
      <c r="F130" s="817"/>
      <c r="G130" s="818" t="s">
        <v>255</v>
      </c>
      <c r="H130" s="779"/>
      <c r="I130" s="745"/>
      <c r="J130" s="733" t="s">
        <v>1563</v>
      </c>
      <c r="K130" s="733"/>
      <c r="L130" s="733"/>
      <c r="M130" s="733"/>
      <c r="N130" s="733"/>
      <c r="O130" s="733"/>
      <c r="P130" s="733"/>
    </row>
    <row r="131" spans="1:16">
      <c r="A131" s="733"/>
      <c r="B131" s="733"/>
      <c r="C131" s="731"/>
      <c r="D131" s="733"/>
      <c r="E131" s="816"/>
      <c r="F131" s="817"/>
      <c r="G131" s="818" t="s">
        <v>256</v>
      </c>
      <c r="H131" s="779"/>
      <c r="I131" s="745"/>
      <c r="J131" s="733" t="s">
        <v>1564</v>
      </c>
      <c r="K131" s="733"/>
      <c r="L131" s="733"/>
      <c r="M131" s="733"/>
      <c r="N131" s="733"/>
      <c r="O131" s="733"/>
      <c r="P131" s="733"/>
    </row>
    <row r="132" spans="1:16">
      <c r="A132" s="733"/>
      <c r="B132" s="733"/>
      <c r="C132" s="731"/>
      <c r="D132" s="733"/>
      <c r="E132" s="816"/>
      <c r="F132" s="817"/>
      <c r="G132" s="818" t="s">
        <v>257</v>
      </c>
      <c r="H132" s="779"/>
      <c r="I132" s="745"/>
      <c r="J132" s="733" t="s">
        <v>1739</v>
      </c>
      <c r="K132" s="733"/>
      <c r="L132" s="733"/>
      <c r="M132" s="733"/>
      <c r="N132" s="733"/>
      <c r="O132" s="733"/>
      <c r="P132" s="733"/>
    </row>
    <row r="133" spans="1:16">
      <c r="A133" s="733"/>
      <c r="B133" s="733"/>
      <c r="C133" s="731"/>
      <c r="D133" s="733"/>
      <c r="E133" s="816"/>
      <c r="F133" s="817"/>
      <c r="G133" s="818" t="s">
        <v>258</v>
      </c>
      <c r="H133" s="812" t="s">
        <v>753</v>
      </c>
      <c r="I133" s="745"/>
      <c r="J133" s="733"/>
      <c r="K133" s="733"/>
      <c r="L133" s="733"/>
      <c r="M133" s="733"/>
      <c r="N133" s="733"/>
      <c r="O133" s="733"/>
      <c r="P133" s="733"/>
    </row>
    <row r="134" spans="1:16">
      <c r="A134" s="733"/>
      <c r="B134" s="733"/>
      <c r="C134" s="731"/>
      <c r="D134" s="733"/>
      <c r="E134" s="816"/>
      <c r="F134" s="817"/>
      <c r="G134" s="818" t="s">
        <v>106</v>
      </c>
      <c r="H134" s="819">
        <v>2024</v>
      </c>
      <c r="I134" s="745"/>
      <c r="J134" s="733"/>
      <c r="K134" s="733"/>
      <c r="L134" s="733"/>
      <c r="M134" s="733"/>
      <c r="N134" s="733"/>
      <c r="O134" s="733"/>
      <c r="P134" s="733"/>
    </row>
    <row r="135" spans="1:16">
      <c r="A135" s="733"/>
      <c r="B135" s="733"/>
      <c r="C135" s="731"/>
      <c r="D135" s="733"/>
      <c r="E135" s="816"/>
      <c r="F135" s="817"/>
      <c r="G135" s="818" t="s">
        <v>894</v>
      </c>
      <c r="H135" s="819">
        <v>2024</v>
      </c>
      <c r="I135" s="745"/>
      <c r="J135" s="733"/>
      <c r="K135" s="733"/>
      <c r="L135" s="733"/>
      <c r="M135" s="733"/>
      <c r="N135" s="733"/>
      <c r="O135" s="733"/>
      <c r="P135" s="733"/>
    </row>
    <row r="136" spans="1:16">
      <c r="A136" s="733"/>
      <c r="B136" s="733"/>
      <c r="C136" s="731"/>
      <c r="D136" s="733"/>
      <c r="E136" s="820"/>
      <c r="F136" s="821"/>
      <c r="G136" s="818" t="s">
        <v>251</v>
      </c>
      <c r="H136" s="819">
        <v>5</v>
      </c>
      <c r="I136" s="745"/>
      <c r="J136" s="733"/>
      <c r="K136" s="733"/>
      <c r="L136" s="733"/>
      <c r="M136" s="733"/>
      <c r="N136" s="733"/>
      <c r="O136" s="733"/>
      <c r="P136" s="733"/>
    </row>
    <row r="137" spans="1:16" ht="25.5">
      <c r="A137" s="733"/>
      <c r="B137" s="733"/>
      <c r="C137" s="731"/>
      <c r="D137" s="733"/>
      <c r="E137" s="822" t="s">
        <v>259</v>
      </c>
      <c r="F137" s="823"/>
      <c r="G137" s="824"/>
      <c r="H137" s="771" t="s">
        <v>20</v>
      </c>
      <c r="I137" s="772"/>
      <c r="J137" s="733"/>
      <c r="K137" s="733"/>
      <c r="L137" s="733"/>
      <c r="M137" s="733"/>
      <c r="N137" s="733"/>
      <c r="O137" s="733"/>
      <c r="P137" s="733"/>
    </row>
    <row r="138" spans="1:16">
      <c r="A138" s="733"/>
      <c r="B138" s="733"/>
      <c r="C138" s="731"/>
      <c r="D138" s="733"/>
      <c r="E138" s="734"/>
      <c r="F138" s="734"/>
      <c r="G138" s="734"/>
      <c r="H138" s="734"/>
      <c r="I138" s="735"/>
      <c r="J138" s="733"/>
      <c r="K138" s="733"/>
      <c r="L138" s="733"/>
      <c r="M138" s="733"/>
      <c r="N138" s="733"/>
      <c r="O138" s="733"/>
      <c r="P138" s="733"/>
    </row>
    <row r="140" spans="1:16">
      <c r="E140" s="1336">
        <f>$H$130</f>
        <v>0</v>
      </c>
      <c r="F140" s="1331"/>
      <c r="G140" s="1335">
        <f>$H$129</f>
        <v>0</v>
      </c>
      <c r="H140" s="1333"/>
    </row>
    <row r="141" spans="1:16">
      <c r="E141" s="1332" t="s">
        <v>3259</v>
      </c>
      <c r="G141" s="1334" t="s">
        <v>3260</v>
      </c>
      <c r="H141" s="1334" t="s">
        <v>3261</v>
      </c>
    </row>
  </sheetData>
  <sheetProtection formatColumns="0" formatRows="0" autoFilter="0"/>
  <mergeCells count="105">
    <mergeCell ref="E52:G52"/>
    <mergeCell ref="E53:E57"/>
    <mergeCell ref="F53:G53"/>
    <mergeCell ref="F54:G54"/>
    <mergeCell ref="F55:G55"/>
    <mergeCell ref="F56:G56"/>
    <mergeCell ref="F57:G5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E42:G42"/>
    <mergeCell ref="E43:G43"/>
    <mergeCell ref="E44:G44"/>
    <mergeCell ref="E45:G45"/>
    <mergeCell ref="E46:G46"/>
    <mergeCell ref="E47:E51"/>
    <mergeCell ref="F47:G47"/>
    <mergeCell ref="F48:G48"/>
    <mergeCell ref="F49:G49"/>
    <mergeCell ref="F50:G50"/>
    <mergeCell ref="F51:G51"/>
    <mergeCell ref="E7:G7"/>
    <mergeCell ref="E14:H14"/>
    <mergeCell ref="E15:H15"/>
    <mergeCell ref="E16:H16"/>
    <mergeCell ref="E17:H17"/>
    <mergeCell ref="E18:H18"/>
    <mergeCell ref="E24:G24"/>
    <mergeCell ref="E25:G25"/>
    <mergeCell ref="E19:H19"/>
    <mergeCell ref="E20:H20"/>
    <mergeCell ref="E11:G11"/>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110:F113"/>
    <mergeCell ref="E71:G71"/>
    <mergeCell ref="E72:E77"/>
    <mergeCell ref="F72:G72"/>
    <mergeCell ref="F73:G73"/>
    <mergeCell ref="F74:G74"/>
    <mergeCell ref="F75:G75"/>
    <mergeCell ref="F76:G76"/>
    <mergeCell ref="F77:G77"/>
    <mergeCell ref="E96:H96"/>
    <mergeCell ref="E78:G78"/>
    <mergeCell ref="E79:E84"/>
    <mergeCell ref="F79:G79"/>
    <mergeCell ref="F80:G80"/>
    <mergeCell ref="F81:G81"/>
    <mergeCell ref="F82:G82"/>
    <mergeCell ref="F83:G83"/>
    <mergeCell ref="F84:G84"/>
    <mergeCell ref="E86:G86"/>
    <mergeCell ref="D115:D127"/>
    <mergeCell ref="E128:F136"/>
    <mergeCell ref="E137:G137"/>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27"/>
    <mergeCell ref="E95:H95"/>
  </mergeCells>
  <dataValidations count="29">
    <dataValidation type="list" allowBlank="1" showInputMessage="1" showErrorMessage="1" errorTitle="Внимание" error="Пожалуйста, выберите значение из списка!" sqref="H37 H64 H52 H58 H71 H78 H40:H43 H45:H46 H137 H110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10 C127">
      <formula1>period_list</formula1>
    </dataValidation>
    <dataValidation type="textLength" operator="lessThanOrEqual" allowBlank="1" showInputMessage="1" showErrorMessage="1" sqref="C30:C36 C47 C49 C85 C53 C55 C112 C59 C61 C65 C67 C72 C74 C79 C81 C128:C132 C88:C91 C124 C122">
      <formula1>990</formula1>
    </dataValidation>
    <dataValidation type="list" showDropDown="1" sqref="C29">
      <formula1>okopf_list</formula1>
    </dataValidation>
    <dataValidation type="list" showDropDown="1" sqref="C37 C40:C43 C45:C46 C52 C58 C64 C71 C78 C137:C138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113 C82:C84 C68:C70 C123">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51 C44">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showInputMessage="1" showErrorMessage="1" errorTitle="Внимание" error="Пожалуйста, выберите значение из списка!" sqref="H9">
      <formula1>YEAR_LIST</formula1>
    </dataValidation>
    <dataValidation type="list" operator="lessThanOrEqual" showDropDown="1" sqref="C121">
      <formula1>dpr_list</formula1>
    </dataValidation>
    <dataValidation type="list" showDropDown="1" sqref="C126">
      <formula1>YEAR_LIST</formula1>
    </dataValidation>
    <dataValidation type="list" showDropDown="1" errorTitle="Ошибка" error="Выберите значение из списка" prompt="Выберите значение из списка" sqref="C118">
      <formula1>tariff_type_list</formula1>
    </dataValidation>
    <dataValidation type="list" allowBlank="1" showInputMessage="1" showErrorMessage="1" errorTitle="Ошибка" error="Выберите значение из списка" prompt="Выберите значение из списка" sqref="H126">
      <formula1>YEAR_LIST</formula1>
    </dataValidation>
    <dataValidation type="list" showDropDown="1" showInputMessage="1" showErrorMessage="1" errorTitle="Внимание" error="Пожалуйста, выберите значение из списка!" sqref="C125">
      <formula1>TARIFF_CALC_METHOD</formula1>
    </dataValidation>
    <dataValidation type="list" allowBlank="1" showInputMessage="1" showErrorMessage="1" errorTitle="Ошибка" error="Выберите значение из списка" prompt="Выберите значение из списка" sqref="H127">
      <formula1>period_list</formula1>
    </dataValidation>
    <dataValidation type="list" allowBlank="1" showInputMessage="1" showErrorMessage="1" errorTitle="Ошибка" error="Выберите значение из списка" prompt="Выберите значение из списка" sqref="H117">
      <formula1>COLDVSNA_VTARIFF</formula1>
    </dataValidation>
    <dataValidation type="list" allowBlank="1" showInputMessage="1" showErrorMessage="1" errorTitle="Внимание" error="Пожалуйста, выберите значение из списка!" sqref="H125">
      <formula1>TARIFF_CALC_METHOD</formula1>
    </dataValidation>
    <dataValidation type="list" allowBlank="1" showInputMessage="1" showErrorMessage="1" errorTitle="Ошибка" error="Выберите значение из списка" prompt="Выберите значение из списка" sqref="H118">
      <formula1>tariff_type_list</formula1>
    </dataValidation>
    <dataValidation type="list" allowBlank="1" showInputMessage="1" showErrorMessage="1" errorTitle="Ошибка" error="Выберите значение из списка" prompt="Выберите значение из списка" sqref="H120">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16"/>
  <sheetViews>
    <sheetView showGridLines="0" view="pageBreakPreview" topLeftCell="A11" zoomScale="60" zoomScaleNormal="100" workbookViewId="0">
      <pane ySplit="4" topLeftCell="A15" activePane="bottomLeft" state="frozen"/>
      <selection activeCell="E105" sqref="E105:H105"/>
      <selection pane="bottomLeft" activeCell="M55" sqref="M55"/>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64" customWidth="1"/>
    <col min="17" max="17" width="32.140625" style="55" customWidth="1"/>
    <col min="18" max="16384" width="9.140625" style="55"/>
  </cols>
  <sheetData>
    <row r="1" spans="1:17" ht="12" hidden="1" customHeight="1">
      <c r="A1" s="825"/>
      <c r="B1" s="826"/>
      <c r="C1" s="826"/>
      <c r="D1" s="827"/>
      <c r="E1" s="826"/>
      <c r="F1" s="826"/>
      <c r="G1" s="826"/>
      <c r="H1" s="826"/>
      <c r="I1" s="826"/>
      <c r="J1" s="826"/>
      <c r="K1" s="826"/>
      <c r="L1" s="826"/>
      <c r="M1" s="826" t="s">
        <v>1005</v>
      </c>
      <c r="N1" s="826" t="s">
        <v>1006</v>
      </c>
      <c r="O1" s="826" t="s">
        <v>1007</v>
      </c>
      <c r="P1" s="826"/>
      <c r="Q1" s="826"/>
    </row>
    <row r="2" spans="1:17" ht="12" hidden="1" customHeight="1">
      <c r="A2" s="825"/>
      <c r="B2" s="826"/>
      <c r="C2" s="826"/>
      <c r="D2" s="827"/>
      <c r="E2" s="826"/>
      <c r="F2" s="826"/>
      <c r="G2" s="826"/>
      <c r="H2" s="826"/>
      <c r="I2" s="826"/>
      <c r="J2" s="826"/>
      <c r="K2" s="826"/>
      <c r="L2" s="826"/>
      <c r="M2" s="826"/>
      <c r="N2" s="826"/>
      <c r="O2" s="826"/>
      <c r="P2" s="826"/>
      <c r="Q2" s="826"/>
    </row>
    <row r="3" spans="1:17" ht="12" hidden="1" customHeight="1">
      <c r="A3" s="825"/>
      <c r="B3" s="826"/>
      <c r="C3" s="826"/>
      <c r="D3" s="827"/>
      <c r="E3" s="826"/>
      <c r="F3" s="826"/>
      <c r="G3" s="826"/>
      <c r="H3" s="826"/>
      <c r="I3" s="826"/>
      <c r="J3" s="826"/>
      <c r="K3" s="826"/>
      <c r="L3" s="826"/>
      <c r="M3" s="826"/>
      <c r="N3" s="826"/>
      <c r="O3" s="826"/>
      <c r="P3" s="826"/>
      <c r="Q3" s="826"/>
    </row>
    <row r="4" spans="1:17" ht="12" hidden="1" customHeight="1">
      <c r="A4" s="825"/>
      <c r="B4" s="826"/>
      <c r="C4" s="826"/>
      <c r="D4" s="827"/>
      <c r="E4" s="826"/>
      <c r="F4" s="826"/>
      <c r="G4" s="826"/>
      <c r="H4" s="826"/>
      <c r="I4" s="826"/>
      <c r="J4" s="826"/>
      <c r="K4" s="826"/>
      <c r="L4" s="826"/>
      <c r="M4" s="826"/>
      <c r="N4" s="826"/>
      <c r="O4" s="826"/>
      <c r="P4" s="826"/>
      <c r="Q4" s="826"/>
    </row>
    <row r="5" spans="1:17" ht="12" hidden="1" customHeight="1">
      <c r="A5" s="825"/>
      <c r="B5" s="826"/>
      <c r="C5" s="826"/>
      <c r="D5" s="827"/>
      <c r="E5" s="826"/>
      <c r="F5" s="826"/>
      <c r="G5" s="826"/>
      <c r="H5" s="826"/>
      <c r="I5" s="826"/>
      <c r="J5" s="826"/>
      <c r="K5" s="826"/>
      <c r="L5" s="826"/>
      <c r="M5" s="826"/>
      <c r="N5" s="826"/>
      <c r="O5" s="826"/>
      <c r="P5" s="826"/>
      <c r="Q5" s="826"/>
    </row>
    <row r="6" spans="1:17" ht="12" hidden="1" customHeight="1">
      <c r="A6" s="825"/>
      <c r="B6" s="826"/>
      <c r="C6" s="826"/>
      <c r="D6" s="827"/>
      <c r="E6" s="826"/>
      <c r="F6" s="826"/>
      <c r="G6" s="826"/>
      <c r="H6" s="826"/>
      <c r="I6" s="826"/>
      <c r="J6" s="826"/>
      <c r="K6" s="826"/>
      <c r="L6" s="826"/>
      <c r="M6" s="826"/>
      <c r="N6" s="826"/>
      <c r="O6" s="826"/>
      <c r="P6" s="826"/>
      <c r="Q6" s="826"/>
    </row>
    <row r="7" spans="1:17" ht="12" hidden="1" customHeight="1">
      <c r="A7" s="825"/>
      <c r="B7" s="826"/>
      <c r="C7" s="826"/>
      <c r="D7" s="827"/>
      <c r="E7" s="826"/>
      <c r="F7" s="826"/>
      <c r="G7" s="826"/>
      <c r="H7" s="826"/>
      <c r="I7" s="826"/>
      <c r="J7" s="826"/>
      <c r="K7" s="826"/>
      <c r="L7" s="826"/>
      <c r="M7" s="826"/>
      <c r="N7" s="826"/>
      <c r="O7" s="826"/>
      <c r="P7" s="826"/>
      <c r="Q7" s="826"/>
    </row>
    <row r="8" spans="1:17" ht="12" hidden="1" customHeight="1">
      <c r="A8" s="825"/>
      <c r="B8" s="826"/>
      <c r="C8" s="826"/>
      <c r="D8" s="827"/>
      <c r="E8" s="826"/>
      <c r="F8" s="826"/>
      <c r="G8" s="826"/>
      <c r="H8" s="826"/>
      <c r="I8" s="826"/>
      <c r="J8" s="826"/>
      <c r="K8" s="826"/>
      <c r="L8" s="826"/>
      <c r="M8" s="826"/>
      <c r="N8" s="826"/>
      <c r="O8" s="826"/>
      <c r="P8" s="826"/>
      <c r="Q8" s="826"/>
    </row>
    <row r="9" spans="1:17" ht="12" hidden="1" customHeight="1">
      <c r="A9" s="825"/>
      <c r="B9" s="826"/>
      <c r="C9" s="826"/>
      <c r="D9" s="827"/>
      <c r="E9" s="826"/>
      <c r="F9" s="826"/>
      <c r="G9" s="826"/>
      <c r="H9" s="826"/>
      <c r="I9" s="826"/>
      <c r="J9" s="826"/>
      <c r="K9" s="826"/>
      <c r="L9" s="826"/>
      <c r="M9" s="826"/>
      <c r="N9" s="826"/>
      <c r="O9" s="826"/>
      <c r="P9" s="826"/>
      <c r="Q9" s="826"/>
    </row>
    <row r="10" spans="1:17" ht="12" hidden="1" customHeight="1">
      <c r="A10" s="825"/>
      <c r="B10" s="826"/>
      <c r="C10" s="826"/>
      <c r="D10" s="827"/>
      <c r="E10" s="826"/>
      <c r="F10" s="826"/>
      <c r="G10" s="826"/>
      <c r="H10" s="826"/>
      <c r="I10" s="826"/>
      <c r="J10" s="826"/>
      <c r="K10" s="826"/>
      <c r="L10" s="826"/>
      <c r="M10" s="826"/>
      <c r="N10" s="826"/>
      <c r="O10" s="826"/>
      <c r="P10" s="826"/>
      <c r="Q10" s="826"/>
    </row>
    <row r="11" spans="1:17" ht="15" hidden="1" customHeight="1">
      <c r="A11" s="825"/>
      <c r="B11" s="826"/>
      <c r="C11" s="826"/>
      <c r="D11" s="827"/>
      <c r="E11" s="827"/>
      <c r="F11" s="827"/>
      <c r="G11" s="827"/>
      <c r="H11" s="827"/>
      <c r="I11" s="827"/>
      <c r="J11" s="827"/>
      <c r="K11" s="827"/>
      <c r="L11" s="828"/>
      <c r="M11" s="829"/>
      <c r="N11" s="828"/>
      <c r="O11" s="828"/>
      <c r="P11" s="828"/>
      <c r="Q11" s="826"/>
    </row>
    <row r="12" spans="1:17" ht="30" customHeight="1">
      <c r="A12" s="825"/>
      <c r="B12" s="826"/>
      <c r="C12" s="827"/>
      <c r="D12" s="827"/>
      <c r="E12" s="827"/>
      <c r="F12" s="827"/>
      <c r="G12" s="827"/>
      <c r="H12" s="827"/>
      <c r="I12" s="827"/>
      <c r="J12" s="827"/>
      <c r="K12" s="827"/>
      <c r="L12" s="699" t="s">
        <v>1231</v>
      </c>
      <c r="M12" s="700"/>
      <c r="N12" s="700"/>
      <c r="O12" s="700"/>
      <c r="P12" s="700"/>
      <c r="Q12" s="700"/>
    </row>
    <row r="13" spans="1:17">
      <c r="A13" s="825"/>
      <c r="B13" s="826"/>
      <c r="C13" s="826"/>
      <c r="D13" s="827"/>
      <c r="E13" s="830"/>
      <c r="F13" s="830"/>
      <c r="G13" s="830"/>
      <c r="H13" s="830"/>
      <c r="I13" s="830"/>
      <c r="J13" s="830"/>
      <c r="K13" s="830"/>
      <c r="L13" s="830"/>
      <c r="M13" s="830"/>
      <c r="N13" s="830"/>
      <c r="O13" s="831"/>
      <c r="P13" s="831"/>
      <c r="Q13" s="831"/>
    </row>
    <row r="14" spans="1:17" ht="28.5" customHeight="1">
      <c r="A14" s="832"/>
      <c r="B14" s="826"/>
      <c r="C14" s="826"/>
      <c r="D14" s="827"/>
      <c r="E14" s="830"/>
      <c r="F14" s="830"/>
      <c r="G14" s="830"/>
      <c r="H14" s="830"/>
      <c r="I14" s="830"/>
      <c r="J14" s="830"/>
      <c r="K14" s="830"/>
      <c r="L14" s="833" t="s">
        <v>16</v>
      </c>
      <c r="M14" s="834" t="s">
        <v>260</v>
      </c>
      <c r="N14" s="834" t="s">
        <v>261</v>
      </c>
      <c r="O14" s="834" t="s">
        <v>262</v>
      </c>
      <c r="P14" s="835" t="s">
        <v>1466</v>
      </c>
      <c r="Q14" s="836" t="s">
        <v>1149</v>
      </c>
    </row>
    <row r="15" spans="1:17">
      <c r="A15" s="837" t="s">
        <v>18</v>
      </c>
      <c r="B15" s="826"/>
      <c r="C15" s="826"/>
      <c r="D15" s="827"/>
      <c r="E15" s="838"/>
      <c r="F15" s="838"/>
      <c r="G15" s="838"/>
      <c r="H15" s="838"/>
      <c r="I15" s="838"/>
      <c r="J15" s="838"/>
      <c r="K15" s="838"/>
      <c r="L15" s="839" t="s">
        <v>3018</v>
      </c>
      <c r="M15" s="840"/>
      <c r="N15" s="840"/>
      <c r="O15" s="840"/>
      <c r="P15" s="840"/>
      <c r="Q15" s="840"/>
    </row>
    <row r="16" spans="1:17" ht="22.5">
      <c r="A16" s="841">
        <v>1</v>
      </c>
      <c r="B16" s="826"/>
      <c r="C16" s="826"/>
      <c r="D16" s="842"/>
      <c r="E16" s="843"/>
      <c r="F16" s="843"/>
      <c r="G16" s="843"/>
      <c r="H16" s="843"/>
      <c r="I16" s="843"/>
      <c r="J16" s="843"/>
      <c r="K16" s="843"/>
      <c r="L16" s="844" t="s">
        <v>18</v>
      </c>
      <c r="M16" s="845" t="s">
        <v>2635</v>
      </c>
      <c r="N16" s="845" t="s">
        <v>2651</v>
      </c>
      <c r="O16" s="846" t="s">
        <v>2652</v>
      </c>
      <c r="P16" s="847"/>
      <c r="Q16" s="847"/>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formula1>0</formula1>
      <formula2>10000000</formula2>
    </dataValidation>
    <dataValidation type="list" showInputMessage="1" showErrorMessage="1" errorTitle="Внимание" error="Пожалуйста, выберите МО из списка!" sqref="N16">
      <formula1>MO_LIST_4</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30"/>
  <sheetViews>
    <sheetView showGridLines="0" view="pageBreakPreview" zoomScale="60" zoomScaleNormal="100" workbookViewId="0">
      <pane xSplit="14" ySplit="15" topLeftCell="Q16" activePane="bottomRight" state="frozen"/>
      <selection activeCell="M11" sqref="M11"/>
      <selection pane="topRight" activeCell="M11" sqref="M11"/>
      <selection pane="bottomLeft" activeCell="M11" sqref="M11"/>
      <selection pane="bottomRight" activeCell="S25" sqref="S25"/>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20" width="17.140625" style="55" customWidth="1"/>
    <col min="21" max="16384" width="8.7109375" style="55"/>
  </cols>
  <sheetData>
    <row r="1" spans="1:19" ht="12" hidden="1" customHeight="1">
      <c r="A1" s="826"/>
      <c r="B1" s="826"/>
      <c r="C1" s="827"/>
      <c r="D1" s="827"/>
      <c r="E1" s="827"/>
      <c r="F1" s="827"/>
      <c r="G1" s="827"/>
      <c r="H1" s="827"/>
      <c r="I1" s="827"/>
      <c r="J1" s="827"/>
      <c r="K1" s="826"/>
      <c r="L1" s="826"/>
      <c r="M1" s="826"/>
      <c r="N1" s="826"/>
      <c r="O1" s="848">
        <v>2022</v>
      </c>
      <c r="P1" s="848">
        <v>2023</v>
      </c>
      <c r="Q1" s="848">
        <v>2024</v>
      </c>
      <c r="R1" s="848">
        <v>2024</v>
      </c>
      <c r="S1" s="848">
        <v>2024</v>
      </c>
    </row>
    <row r="2" spans="1:19" ht="12" hidden="1" customHeight="1">
      <c r="A2" s="826"/>
      <c r="B2" s="826"/>
      <c r="C2" s="827"/>
      <c r="D2" s="827"/>
      <c r="E2" s="827"/>
      <c r="F2" s="827"/>
      <c r="G2" s="827"/>
      <c r="H2" s="827"/>
      <c r="I2" s="827"/>
      <c r="J2" s="827"/>
      <c r="K2" s="827"/>
      <c r="L2" s="827"/>
      <c r="M2" s="849"/>
      <c r="N2" s="849"/>
      <c r="O2" s="850" t="s">
        <v>1482</v>
      </c>
      <c r="P2" s="850" t="s">
        <v>267</v>
      </c>
      <c r="Q2" s="851" t="s">
        <v>268</v>
      </c>
      <c r="R2" s="851" t="s">
        <v>267</v>
      </c>
      <c r="S2" s="850" t="s">
        <v>1482</v>
      </c>
    </row>
    <row r="3" spans="1:19" ht="12" hidden="1" customHeight="1">
      <c r="A3" s="826"/>
      <c r="B3" s="826"/>
      <c r="C3" s="827"/>
      <c r="D3" s="827"/>
      <c r="E3" s="827"/>
      <c r="F3" s="827"/>
      <c r="G3" s="827"/>
      <c r="H3" s="827"/>
      <c r="I3" s="827"/>
      <c r="J3" s="827"/>
      <c r="K3" s="827"/>
      <c r="L3" s="827"/>
      <c r="M3" s="849"/>
      <c r="N3" s="849"/>
      <c r="O3" s="849"/>
      <c r="P3" s="849"/>
      <c r="Q3" s="826"/>
      <c r="R3" s="826"/>
      <c r="S3" s="849"/>
    </row>
    <row r="4" spans="1:19" ht="12" hidden="1" customHeight="1">
      <c r="A4" s="826"/>
      <c r="B4" s="826"/>
      <c r="C4" s="827"/>
      <c r="D4" s="827"/>
      <c r="E4" s="827"/>
      <c r="F4" s="827"/>
      <c r="G4" s="827"/>
      <c r="H4" s="827"/>
      <c r="I4" s="827"/>
      <c r="J4" s="827"/>
      <c r="K4" s="827"/>
      <c r="L4" s="827"/>
      <c r="M4" s="849"/>
      <c r="N4" s="849"/>
      <c r="O4" s="849"/>
      <c r="P4" s="849"/>
      <c r="Q4" s="826"/>
      <c r="R4" s="826"/>
      <c r="S4" s="849"/>
    </row>
    <row r="5" spans="1:19" ht="12" hidden="1" customHeight="1">
      <c r="A5" s="826"/>
      <c r="B5" s="826"/>
      <c r="C5" s="827"/>
      <c r="D5" s="827"/>
      <c r="E5" s="827"/>
      <c r="F5" s="827"/>
      <c r="G5" s="827"/>
      <c r="H5" s="827"/>
      <c r="I5" s="827"/>
      <c r="J5" s="827"/>
      <c r="K5" s="827"/>
      <c r="L5" s="827"/>
      <c r="M5" s="849"/>
      <c r="N5" s="849"/>
      <c r="O5" s="849"/>
      <c r="P5" s="849"/>
      <c r="Q5" s="826"/>
      <c r="R5" s="826"/>
      <c r="S5" s="849"/>
    </row>
    <row r="6" spans="1:19" ht="12" hidden="1" customHeight="1">
      <c r="A6" s="826"/>
      <c r="B6" s="826"/>
      <c r="C6" s="827"/>
      <c r="D6" s="827"/>
      <c r="E6" s="827"/>
      <c r="F6" s="827"/>
      <c r="G6" s="827"/>
      <c r="H6" s="827"/>
      <c r="I6" s="827"/>
      <c r="J6" s="827"/>
      <c r="K6" s="827"/>
      <c r="L6" s="827"/>
      <c r="M6" s="849"/>
      <c r="N6" s="849"/>
      <c r="O6" s="849"/>
      <c r="P6" s="849"/>
      <c r="Q6" s="826"/>
      <c r="R6" s="826"/>
      <c r="S6" s="849"/>
    </row>
    <row r="7" spans="1:19" ht="12" hidden="1" customHeight="1">
      <c r="A7" s="826"/>
      <c r="B7" s="826"/>
      <c r="C7" s="827"/>
      <c r="D7" s="827"/>
      <c r="E7" s="827"/>
      <c r="F7" s="827"/>
      <c r="G7" s="827"/>
      <c r="H7" s="827"/>
      <c r="I7" s="827"/>
      <c r="J7" s="827"/>
      <c r="K7" s="827"/>
      <c r="L7" s="827"/>
      <c r="M7" s="849"/>
      <c r="N7" s="849"/>
      <c r="O7" s="849"/>
      <c r="P7" s="849"/>
      <c r="Q7" s="826"/>
      <c r="R7" s="826"/>
      <c r="S7" s="849"/>
    </row>
    <row r="8" spans="1:19" ht="12" hidden="1" customHeight="1">
      <c r="A8" s="826"/>
      <c r="B8" s="826"/>
      <c r="C8" s="827"/>
      <c r="D8" s="827"/>
      <c r="E8" s="827"/>
      <c r="F8" s="827"/>
      <c r="G8" s="827"/>
      <c r="H8" s="827"/>
      <c r="I8" s="827"/>
      <c r="J8" s="827"/>
      <c r="K8" s="827"/>
      <c r="L8" s="827"/>
      <c r="M8" s="849"/>
      <c r="N8" s="849"/>
      <c r="O8" s="849"/>
      <c r="P8" s="849"/>
      <c r="Q8" s="826"/>
      <c r="R8" s="826"/>
      <c r="S8" s="849"/>
    </row>
    <row r="9" spans="1:19" ht="12" hidden="1" customHeight="1">
      <c r="A9" s="826"/>
      <c r="B9" s="826"/>
      <c r="C9" s="827"/>
      <c r="D9" s="827"/>
      <c r="E9" s="827"/>
      <c r="F9" s="827"/>
      <c r="G9" s="827"/>
      <c r="H9" s="827"/>
      <c r="I9" s="827"/>
      <c r="J9" s="827"/>
      <c r="K9" s="827"/>
      <c r="L9" s="827"/>
      <c r="M9" s="849"/>
      <c r="N9" s="849"/>
      <c r="O9" s="849"/>
      <c r="P9" s="849"/>
      <c r="Q9" s="826"/>
      <c r="R9" s="826"/>
      <c r="S9" s="849"/>
    </row>
    <row r="10" spans="1:19" ht="12" hidden="1" customHeight="1">
      <c r="A10" s="826"/>
      <c r="B10" s="826"/>
      <c r="C10" s="827"/>
      <c r="D10" s="827"/>
      <c r="E10" s="827"/>
      <c r="F10" s="827"/>
      <c r="G10" s="827"/>
      <c r="H10" s="827"/>
      <c r="I10" s="827"/>
      <c r="J10" s="827"/>
      <c r="K10" s="827"/>
      <c r="L10" s="827"/>
      <c r="M10" s="849"/>
      <c r="N10" s="849"/>
      <c r="O10" s="849"/>
      <c r="P10" s="849"/>
      <c r="Q10" s="826"/>
      <c r="R10" s="826"/>
      <c r="S10" s="849"/>
    </row>
    <row r="11" spans="1:19" ht="15" hidden="1" customHeight="1">
      <c r="A11" s="826"/>
      <c r="B11" s="826"/>
      <c r="C11" s="827"/>
      <c r="D11" s="827"/>
      <c r="E11" s="827"/>
      <c r="F11" s="827"/>
      <c r="G11" s="827"/>
      <c r="H11" s="827"/>
      <c r="I11" s="827"/>
      <c r="J11" s="827"/>
      <c r="K11" s="852"/>
      <c r="L11" s="852"/>
      <c r="M11" s="829"/>
      <c r="N11" s="852"/>
      <c r="O11" s="852"/>
      <c r="P11" s="852"/>
      <c r="Q11" s="826"/>
      <c r="R11" s="826"/>
      <c r="S11" s="852"/>
    </row>
    <row r="12" spans="1:19" ht="21" customHeight="1">
      <c r="A12" s="826"/>
      <c r="B12" s="827"/>
      <c r="C12" s="827"/>
      <c r="D12" s="827"/>
      <c r="E12" s="827"/>
      <c r="F12" s="827"/>
      <c r="G12" s="827"/>
      <c r="H12" s="827"/>
      <c r="I12" s="827"/>
      <c r="J12" s="827"/>
      <c r="K12" s="827"/>
      <c r="L12" s="704" t="s">
        <v>1232</v>
      </c>
      <c r="M12" s="705"/>
      <c r="N12" s="705"/>
      <c r="O12" s="705"/>
      <c r="P12" s="705"/>
      <c r="Q12" s="705"/>
      <c r="R12" s="705"/>
      <c r="S12" s="705"/>
    </row>
    <row r="13" spans="1:19" ht="9" customHeight="1">
      <c r="A13" s="826"/>
      <c r="B13" s="826"/>
      <c r="C13" s="827"/>
      <c r="D13" s="827"/>
      <c r="E13" s="827"/>
      <c r="F13" s="827"/>
      <c r="G13" s="827"/>
      <c r="H13" s="827"/>
      <c r="I13" s="827"/>
      <c r="J13" s="827"/>
      <c r="K13" s="830"/>
      <c r="L13" s="830"/>
      <c r="M13" s="830"/>
      <c r="N13" s="830"/>
      <c r="O13" s="830"/>
      <c r="P13" s="853"/>
      <c r="Q13" s="853"/>
      <c r="R13" s="854"/>
      <c r="S13" s="854"/>
    </row>
    <row r="14" spans="1:19" ht="21" customHeight="1">
      <c r="A14" s="826"/>
      <c r="B14" s="826"/>
      <c r="C14" s="827"/>
      <c r="D14" s="827"/>
      <c r="E14" s="827"/>
      <c r="F14" s="827"/>
      <c r="G14" s="827"/>
      <c r="H14" s="827"/>
      <c r="I14" s="827"/>
      <c r="J14" s="827"/>
      <c r="K14" s="830"/>
      <c r="L14" s="855" t="s">
        <v>16</v>
      </c>
      <c r="M14" s="855" t="s">
        <v>121</v>
      </c>
      <c r="N14" s="855" t="s">
        <v>135</v>
      </c>
      <c r="O14" s="856" t="s">
        <v>3020</v>
      </c>
      <c r="P14" s="857" t="s">
        <v>3021</v>
      </c>
      <c r="Q14" s="857" t="s">
        <v>3022</v>
      </c>
      <c r="R14" s="857" t="s">
        <v>3022</v>
      </c>
      <c r="S14" s="706" t="s">
        <v>109</v>
      </c>
    </row>
    <row r="15" spans="1:19" s="65" customFormat="1" ht="36" customHeight="1">
      <c r="A15" s="858" t="s">
        <v>1121</v>
      </c>
      <c r="B15" s="858"/>
      <c r="C15" s="858"/>
      <c r="D15" s="858"/>
      <c r="E15" s="858"/>
      <c r="F15" s="858"/>
      <c r="G15" s="858"/>
      <c r="H15" s="858"/>
      <c r="I15" s="858"/>
      <c r="J15" s="858"/>
      <c r="K15" s="858"/>
      <c r="L15" s="855"/>
      <c r="M15" s="855"/>
      <c r="N15" s="855"/>
      <c r="O15" s="857" t="s">
        <v>267</v>
      </c>
      <c r="P15" s="857" t="s">
        <v>267</v>
      </c>
      <c r="Q15" s="857" t="s">
        <v>268</v>
      </c>
      <c r="R15" s="857" t="s">
        <v>267</v>
      </c>
      <c r="S15" s="707"/>
    </row>
    <row r="16" spans="1:19" s="65" customFormat="1">
      <c r="A16" s="859" t="s">
        <v>18</v>
      </c>
      <c r="B16" s="858"/>
      <c r="C16" s="858"/>
      <c r="D16" s="858"/>
      <c r="E16" s="858"/>
      <c r="F16" s="858"/>
      <c r="G16" s="858"/>
      <c r="H16" s="858"/>
      <c r="I16" s="858"/>
      <c r="J16" s="858"/>
      <c r="K16" s="858"/>
      <c r="L16" s="860" t="s">
        <v>3018</v>
      </c>
      <c r="M16" s="839"/>
      <c r="N16" s="840"/>
      <c r="O16" s="840"/>
      <c r="P16" s="840"/>
      <c r="Q16" s="840"/>
      <c r="R16" s="840"/>
      <c r="S16" s="840"/>
    </row>
    <row r="17" spans="1:19" s="65" customFormat="1">
      <c r="A17" s="859" t="s">
        <v>18</v>
      </c>
      <c r="B17" s="858" t="s">
        <v>1480</v>
      </c>
      <c r="C17" s="858" t="s">
        <v>1483</v>
      </c>
      <c r="D17" s="858" t="s">
        <v>3023</v>
      </c>
      <c r="E17" s="858"/>
      <c r="F17" s="858"/>
      <c r="G17" s="858"/>
      <c r="H17" s="858"/>
      <c r="I17" s="858"/>
      <c r="J17" s="858"/>
      <c r="K17" s="858"/>
      <c r="L17" s="861">
        <v>1</v>
      </c>
      <c r="M17" s="862" t="s">
        <v>269</v>
      </c>
      <c r="N17" s="863" t="s">
        <v>270</v>
      </c>
      <c r="O17" s="864">
        <v>4</v>
      </c>
      <c r="P17" s="864">
        <v>4</v>
      </c>
      <c r="Q17" s="864">
        <v>4</v>
      </c>
      <c r="R17" s="864">
        <v>4</v>
      </c>
      <c r="S17" s="865"/>
    </row>
    <row r="18" spans="1:19" s="65" customFormat="1">
      <c r="A18" s="859" t="s">
        <v>18</v>
      </c>
      <c r="B18" s="858" t="s">
        <v>1480</v>
      </c>
      <c r="C18" s="858" t="s">
        <v>1483</v>
      </c>
      <c r="D18" s="858" t="s">
        <v>3024</v>
      </c>
      <c r="E18" s="858"/>
      <c r="F18" s="858"/>
      <c r="G18" s="858"/>
      <c r="H18" s="858"/>
      <c r="I18" s="858"/>
      <c r="J18" s="858"/>
      <c r="K18" s="858"/>
      <c r="L18" s="861">
        <v>2</v>
      </c>
      <c r="M18" s="862" t="s">
        <v>271</v>
      </c>
      <c r="N18" s="863" t="s">
        <v>270</v>
      </c>
      <c r="O18" s="864">
        <v>4</v>
      </c>
      <c r="P18" s="864">
        <v>4</v>
      </c>
      <c r="Q18" s="864">
        <v>4</v>
      </c>
      <c r="R18" s="864">
        <v>4</v>
      </c>
      <c r="S18" s="865"/>
    </row>
    <row r="19" spans="1:19" s="65" customFormat="1">
      <c r="A19" s="859" t="s">
        <v>18</v>
      </c>
      <c r="B19" s="858" t="s">
        <v>1480</v>
      </c>
      <c r="C19" s="858" t="s">
        <v>1483</v>
      </c>
      <c r="D19" s="858" t="s">
        <v>3025</v>
      </c>
      <c r="E19" s="858"/>
      <c r="F19" s="858"/>
      <c r="G19" s="858"/>
      <c r="H19" s="858"/>
      <c r="I19" s="858"/>
      <c r="J19" s="858"/>
      <c r="K19" s="858"/>
      <c r="L19" s="861">
        <v>3</v>
      </c>
      <c r="M19" s="862" t="s">
        <v>272</v>
      </c>
      <c r="N19" s="863" t="s">
        <v>270</v>
      </c>
      <c r="O19" s="864">
        <v>0</v>
      </c>
      <c r="P19" s="864">
        <v>0</v>
      </c>
      <c r="Q19" s="864">
        <v>0</v>
      </c>
      <c r="R19" s="864">
        <v>0</v>
      </c>
      <c r="S19" s="865"/>
    </row>
    <row r="20" spans="1:19" s="65" customFormat="1">
      <c r="A20" s="859" t="s">
        <v>18</v>
      </c>
      <c r="B20" s="858" t="s">
        <v>1480</v>
      </c>
      <c r="C20" s="858" t="s">
        <v>1483</v>
      </c>
      <c r="D20" s="858" t="s">
        <v>3026</v>
      </c>
      <c r="E20" s="858"/>
      <c r="F20" s="858"/>
      <c r="G20" s="858"/>
      <c r="H20" s="858"/>
      <c r="I20" s="858"/>
      <c r="J20" s="858"/>
      <c r="K20" s="858"/>
      <c r="L20" s="861">
        <v>4</v>
      </c>
      <c r="M20" s="862" t="s">
        <v>273</v>
      </c>
      <c r="N20" s="863" t="s">
        <v>270</v>
      </c>
      <c r="O20" s="864">
        <v>3</v>
      </c>
      <c r="P20" s="864">
        <v>3</v>
      </c>
      <c r="Q20" s="864">
        <v>3</v>
      </c>
      <c r="R20" s="864">
        <v>3</v>
      </c>
      <c r="S20" s="865"/>
    </row>
    <row r="21" spans="1:19" s="65" customFormat="1">
      <c r="A21" s="859" t="s">
        <v>18</v>
      </c>
      <c r="B21" s="858" t="s">
        <v>1480</v>
      </c>
      <c r="C21" s="858" t="s">
        <v>1483</v>
      </c>
      <c r="D21" s="858" t="s">
        <v>3027</v>
      </c>
      <c r="E21" s="858"/>
      <c r="F21" s="858"/>
      <c r="G21" s="858"/>
      <c r="H21" s="858"/>
      <c r="I21" s="858"/>
      <c r="J21" s="858"/>
      <c r="K21" s="858"/>
      <c r="L21" s="861">
        <v>5</v>
      </c>
      <c r="M21" s="862" t="s">
        <v>274</v>
      </c>
      <c r="N21" s="863" t="s">
        <v>275</v>
      </c>
      <c r="O21" s="866">
        <v>4</v>
      </c>
      <c r="P21" s="866">
        <v>4</v>
      </c>
      <c r="Q21" s="866">
        <v>4</v>
      </c>
      <c r="R21" s="866">
        <v>4</v>
      </c>
      <c r="S21" s="865"/>
    </row>
    <row r="22" spans="1:19" s="65" customFormat="1">
      <c r="A22" s="859" t="s">
        <v>18</v>
      </c>
      <c r="B22" s="858" t="s">
        <v>1481</v>
      </c>
      <c r="C22" s="858" t="s">
        <v>1483</v>
      </c>
      <c r="D22" s="867" t="s">
        <v>1192</v>
      </c>
      <c r="E22" s="858"/>
      <c r="F22" s="858"/>
      <c r="G22" s="858"/>
      <c r="H22" s="858"/>
      <c r="I22" s="858"/>
      <c r="J22" s="858"/>
      <c r="K22" s="858"/>
      <c r="L22" s="861"/>
      <c r="M22" s="862" t="s">
        <v>1192</v>
      </c>
      <c r="N22" s="863"/>
      <c r="O22" s="868"/>
      <c r="P22" s="869"/>
      <c r="Q22" s="869"/>
      <c r="R22" s="869"/>
      <c r="S22" s="870"/>
    </row>
    <row r="23" spans="1:19" s="65" customFormat="1">
      <c r="A23" s="858"/>
      <c r="B23" s="858"/>
      <c r="C23" s="858"/>
      <c r="D23" s="858"/>
      <c r="E23" s="858"/>
      <c r="F23" s="858"/>
      <c r="G23" s="858"/>
      <c r="H23" s="858"/>
      <c r="I23" s="858"/>
      <c r="J23" s="858"/>
      <c r="K23" s="858"/>
      <c r="L23" s="858"/>
      <c r="M23" s="858"/>
      <c r="N23" s="858"/>
      <c r="O23" s="858"/>
      <c r="P23" s="858"/>
      <c r="Q23" s="858"/>
      <c r="R23" s="858"/>
      <c r="S23" s="858"/>
    </row>
    <row r="24" spans="1:19" s="65" customFormat="1" ht="24" customHeight="1">
      <c r="A24" s="858"/>
      <c r="B24" s="858"/>
      <c r="C24" s="858"/>
      <c r="D24" s="858"/>
      <c r="E24" s="858"/>
      <c r="F24" s="858"/>
      <c r="G24" s="858"/>
      <c r="H24" s="858"/>
      <c r="I24" s="858"/>
      <c r="J24" s="858"/>
      <c r="K24" s="858"/>
      <c r="L24" s="871" t="s">
        <v>1233</v>
      </c>
      <c r="M24" s="872"/>
      <c r="N24" s="872"/>
      <c r="O24" s="872"/>
      <c r="P24" s="872"/>
      <c r="Q24" s="872"/>
      <c r="R24" s="872"/>
      <c r="S24" s="858"/>
    </row>
    <row r="25" spans="1:19" s="65" customFormat="1">
      <c r="A25" s="858"/>
      <c r="B25" s="858"/>
      <c r="C25" s="858"/>
      <c r="D25" s="858"/>
      <c r="E25" s="858"/>
      <c r="F25" s="858"/>
      <c r="G25" s="858"/>
      <c r="H25" s="858"/>
      <c r="I25" s="858"/>
      <c r="J25" s="858"/>
      <c r="K25" s="858"/>
      <c r="L25" s="873"/>
      <c r="M25" s="874" t="s">
        <v>1480</v>
      </c>
      <c r="N25" s="874" t="s">
        <v>1481</v>
      </c>
      <c r="O25" s="874" t="s">
        <v>1483</v>
      </c>
      <c r="P25" s="874" t="s">
        <v>1499</v>
      </c>
      <c r="Q25" s="874" t="s">
        <v>1500</v>
      </c>
      <c r="R25" s="874" t="s">
        <v>1485</v>
      </c>
      <c r="S25" s="858"/>
    </row>
    <row r="26" spans="1:19" s="65" customFormat="1" ht="45.75" customHeight="1">
      <c r="A26" s="858" t="s">
        <v>1121</v>
      </c>
      <c r="B26" s="858"/>
      <c r="C26" s="858"/>
      <c r="D26" s="858"/>
      <c r="E26" s="858"/>
      <c r="F26" s="858"/>
      <c r="G26" s="858"/>
      <c r="H26" s="858"/>
      <c r="I26" s="858"/>
      <c r="J26" s="858"/>
      <c r="K26" s="858"/>
      <c r="L26" s="875" t="s">
        <v>16</v>
      </c>
      <c r="M26" s="876" t="s">
        <v>279</v>
      </c>
      <c r="N26" s="876" t="s">
        <v>280</v>
      </c>
      <c r="O26" s="876" t="s">
        <v>1753</v>
      </c>
      <c r="P26" s="876" t="s">
        <v>1754</v>
      </c>
      <c r="Q26" s="876" t="s">
        <v>1755</v>
      </c>
      <c r="R26" s="876" t="s">
        <v>281</v>
      </c>
      <c r="S26" s="858"/>
    </row>
    <row r="27" spans="1:19" s="68" customFormat="1" ht="22.5">
      <c r="A27" s="877"/>
      <c r="B27" s="878"/>
      <c r="C27" s="879"/>
      <c r="D27" s="879" t="s">
        <v>2983</v>
      </c>
      <c r="E27" s="878"/>
      <c r="F27" s="879" t="s">
        <v>2985</v>
      </c>
      <c r="G27" s="879" t="s">
        <v>2984</v>
      </c>
      <c r="H27" s="878" t="s">
        <v>2990</v>
      </c>
      <c r="I27" s="878"/>
      <c r="J27" s="878"/>
      <c r="K27" s="807"/>
      <c r="L27" s="880">
        <v>1</v>
      </c>
      <c r="M27" s="881" t="s">
        <v>3028</v>
      </c>
      <c r="N27" s="882" t="s">
        <v>1431</v>
      </c>
      <c r="O27" s="882" t="s">
        <v>1443</v>
      </c>
      <c r="P27" s="883" t="s">
        <v>130</v>
      </c>
      <c r="Q27" s="883" t="s">
        <v>2987</v>
      </c>
      <c r="R27" s="884" t="s">
        <v>2992</v>
      </c>
      <c r="S27" s="885"/>
    </row>
    <row r="28" spans="1:19" s="68" customFormat="1" ht="22.5">
      <c r="A28" s="877"/>
      <c r="B28" s="878"/>
      <c r="C28" s="879"/>
      <c r="D28" s="879" t="s">
        <v>2983</v>
      </c>
      <c r="E28" s="878"/>
      <c r="F28" s="879" t="s">
        <v>2985</v>
      </c>
      <c r="G28" s="879" t="s">
        <v>2984</v>
      </c>
      <c r="H28" s="878" t="s">
        <v>2989</v>
      </c>
      <c r="I28" s="878"/>
      <c r="J28" s="878"/>
      <c r="K28" s="807"/>
      <c r="L28" s="880">
        <v>2</v>
      </c>
      <c r="M28" s="881" t="s">
        <v>3029</v>
      </c>
      <c r="N28" s="882" t="s">
        <v>1431</v>
      </c>
      <c r="O28" s="882" t="s">
        <v>1443</v>
      </c>
      <c r="P28" s="883" t="s">
        <v>130</v>
      </c>
      <c r="Q28" s="883" t="s">
        <v>2987</v>
      </c>
      <c r="R28" s="884" t="s">
        <v>2992</v>
      </c>
      <c r="S28" s="885"/>
    </row>
    <row r="29" spans="1:19" s="68" customFormat="1" ht="22.5">
      <c r="A29" s="877"/>
      <c r="B29" s="878"/>
      <c r="C29" s="879"/>
      <c r="D29" s="879" t="s">
        <v>2983</v>
      </c>
      <c r="E29" s="878"/>
      <c r="F29" s="879" t="s">
        <v>2985</v>
      </c>
      <c r="G29" s="879" t="s">
        <v>2984</v>
      </c>
      <c r="H29" s="878" t="s">
        <v>2986</v>
      </c>
      <c r="I29" s="878"/>
      <c r="J29" s="878"/>
      <c r="K29" s="807"/>
      <c r="L29" s="880">
        <v>3</v>
      </c>
      <c r="M29" s="881" t="s">
        <v>3030</v>
      </c>
      <c r="N29" s="882" t="s">
        <v>1431</v>
      </c>
      <c r="O29" s="882" t="s">
        <v>1443</v>
      </c>
      <c r="P29" s="883" t="s">
        <v>130</v>
      </c>
      <c r="Q29" s="883" t="s">
        <v>2987</v>
      </c>
      <c r="R29" s="884" t="s">
        <v>2992</v>
      </c>
      <c r="S29" s="885"/>
    </row>
    <row r="30" spans="1:19" s="68" customFormat="1" ht="22.5">
      <c r="A30" s="877"/>
      <c r="B30" s="878"/>
      <c r="C30" s="879"/>
      <c r="D30" s="879" t="s">
        <v>2983</v>
      </c>
      <c r="E30" s="878"/>
      <c r="F30" s="879" t="s">
        <v>2985</v>
      </c>
      <c r="G30" s="879" t="s">
        <v>2984</v>
      </c>
      <c r="H30" s="878" t="s">
        <v>2988</v>
      </c>
      <c r="I30" s="878"/>
      <c r="J30" s="878"/>
      <c r="K30" s="807"/>
      <c r="L30" s="880">
        <v>4</v>
      </c>
      <c r="M30" s="881" t="s">
        <v>3031</v>
      </c>
      <c r="N30" s="882" t="s">
        <v>1431</v>
      </c>
      <c r="O30" s="882" t="s">
        <v>1443</v>
      </c>
      <c r="P30" s="883" t="s">
        <v>130</v>
      </c>
      <c r="Q30" s="883" t="s">
        <v>2987</v>
      </c>
      <c r="R30" s="884" t="s">
        <v>2991</v>
      </c>
      <c r="S30" s="885"/>
    </row>
  </sheetData>
  <sheetProtection formatColumns="0" formatRows="0" autoFilter="0"/>
  <mergeCells count="7">
    <mergeCell ref="O22:S22"/>
    <mergeCell ref="L12:S12"/>
    <mergeCell ref="L14:L15"/>
    <mergeCell ref="P13:Q13"/>
    <mergeCell ref="M14:M15"/>
    <mergeCell ref="N14:N15"/>
    <mergeCell ref="S14:S15"/>
  </mergeCells>
  <phoneticPr fontId="13" type="noConversion"/>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T16" activePane="bottomRight" state="frozen"/>
      <selection activeCell="M11" sqref="M11"/>
      <selection pane="topRight" activeCell="M11" sqref="M11"/>
      <selection pane="bottomLeft" activeCell="M11" sqref="M11"/>
      <selection pane="bottomRight" activeCell="Z35" sqref="Z35"/>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32" width="15.7109375" style="70" customWidth="1"/>
    <col min="33" max="42" width="15.7109375" style="70" hidden="1" customWidth="1"/>
    <col min="43" max="16384" width="9.140625" style="70"/>
  </cols>
  <sheetData>
    <row r="1" spans="1:42" hidden="1">
      <c r="A1" s="886"/>
      <c r="B1" s="886"/>
      <c r="C1" s="886"/>
      <c r="D1" s="886"/>
      <c r="E1" s="886"/>
      <c r="F1" s="886"/>
      <c r="G1" s="886"/>
      <c r="H1" s="886"/>
      <c r="I1" s="886"/>
      <c r="J1" s="886"/>
      <c r="K1" s="886"/>
      <c r="L1" s="887"/>
      <c r="M1" s="888"/>
      <c r="N1" s="886"/>
      <c r="O1" s="886">
        <v>2022</v>
      </c>
      <c r="P1" s="886">
        <v>2022</v>
      </c>
      <c r="Q1" s="886">
        <v>2022</v>
      </c>
      <c r="R1" s="886">
        <v>2022</v>
      </c>
      <c r="S1" s="886">
        <v>2023</v>
      </c>
      <c r="T1" s="886">
        <v>2024</v>
      </c>
      <c r="U1" s="886">
        <v>2024</v>
      </c>
      <c r="V1" s="886">
        <v>2024</v>
      </c>
      <c r="W1" s="886">
        <v>2024</v>
      </c>
      <c r="X1" s="886">
        <v>2024</v>
      </c>
      <c r="Y1" s="886">
        <v>2025</v>
      </c>
      <c r="Z1" s="886">
        <v>2025</v>
      </c>
      <c r="AA1" s="886">
        <v>2026</v>
      </c>
      <c r="AB1" s="886">
        <v>2026</v>
      </c>
      <c r="AC1" s="886">
        <v>2027</v>
      </c>
      <c r="AD1" s="886">
        <v>2027</v>
      </c>
      <c r="AE1" s="886">
        <v>2028</v>
      </c>
      <c r="AF1" s="886">
        <v>2028</v>
      </c>
      <c r="AG1" s="886">
        <v>2029</v>
      </c>
      <c r="AH1" s="886">
        <v>2029</v>
      </c>
      <c r="AI1" s="886">
        <v>2030</v>
      </c>
      <c r="AJ1" s="886">
        <v>2030</v>
      </c>
      <c r="AK1" s="886">
        <v>2031</v>
      </c>
      <c r="AL1" s="886">
        <v>2031</v>
      </c>
      <c r="AM1" s="886">
        <v>2032</v>
      </c>
      <c r="AN1" s="886">
        <v>2032</v>
      </c>
      <c r="AO1" s="886">
        <v>2033</v>
      </c>
      <c r="AP1" s="886">
        <v>2033</v>
      </c>
    </row>
    <row r="2" spans="1:42" hidden="1">
      <c r="A2" s="886"/>
      <c r="B2" s="886"/>
      <c r="C2" s="886"/>
      <c r="D2" s="886"/>
      <c r="E2" s="886"/>
      <c r="F2" s="886"/>
      <c r="G2" s="886"/>
      <c r="H2" s="886"/>
      <c r="I2" s="886"/>
      <c r="J2" s="886"/>
      <c r="K2" s="886"/>
      <c r="L2" s="887"/>
      <c r="M2" s="888"/>
      <c r="N2" s="886"/>
      <c r="O2" s="886" t="s">
        <v>267</v>
      </c>
      <c r="P2" s="886" t="s">
        <v>305</v>
      </c>
      <c r="Q2" s="886" t="s">
        <v>285</v>
      </c>
      <c r="R2" s="886" t="s">
        <v>109</v>
      </c>
      <c r="S2" s="886" t="s">
        <v>267</v>
      </c>
      <c r="T2" s="886" t="s">
        <v>268</v>
      </c>
      <c r="U2" s="886" t="s">
        <v>267</v>
      </c>
      <c r="V2" s="886" t="s">
        <v>286</v>
      </c>
      <c r="W2" s="886" t="s">
        <v>287</v>
      </c>
      <c r="X2" s="886" t="s">
        <v>109</v>
      </c>
      <c r="Y2" s="886" t="s">
        <v>268</v>
      </c>
      <c r="Z2" s="886" t="s">
        <v>267</v>
      </c>
      <c r="AA2" s="886" t="s">
        <v>268</v>
      </c>
      <c r="AB2" s="886" t="s">
        <v>267</v>
      </c>
      <c r="AC2" s="886" t="s">
        <v>268</v>
      </c>
      <c r="AD2" s="886" t="s">
        <v>267</v>
      </c>
      <c r="AE2" s="886" t="s">
        <v>268</v>
      </c>
      <c r="AF2" s="886" t="s">
        <v>267</v>
      </c>
      <c r="AG2" s="886" t="s">
        <v>268</v>
      </c>
      <c r="AH2" s="886" t="s">
        <v>267</v>
      </c>
      <c r="AI2" s="886" t="s">
        <v>268</v>
      </c>
      <c r="AJ2" s="886" t="s">
        <v>267</v>
      </c>
      <c r="AK2" s="886" t="s">
        <v>268</v>
      </c>
      <c r="AL2" s="886" t="s">
        <v>267</v>
      </c>
      <c r="AM2" s="886" t="s">
        <v>268</v>
      </c>
      <c r="AN2" s="886" t="s">
        <v>267</v>
      </c>
      <c r="AO2" s="886" t="s">
        <v>268</v>
      </c>
      <c r="AP2" s="886" t="s">
        <v>267</v>
      </c>
    </row>
    <row r="3" spans="1:42" hidden="1">
      <c r="A3" s="886"/>
      <c r="B3" s="886"/>
      <c r="C3" s="886"/>
      <c r="D3" s="886"/>
      <c r="E3" s="886"/>
      <c r="F3" s="886"/>
      <c r="G3" s="886"/>
      <c r="H3" s="886"/>
      <c r="I3" s="886"/>
      <c r="J3" s="886"/>
      <c r="K3" s="886"/>
      <c r="L3" s="887"/>
      <c r="M3" s="888"/>
      <c r="N3" s="886"/>
      <c r="O3" s="886" t="s">
        <v>3032</v>
      </c>
      <c r="P3" s="886" t="s">
        <v>3033</v>
      </c>
      <c r="Q3" s="886" t="s">
        <v>3034</v>
      </c>
      <c r="R3" s="886" t="s">
        <v>3035</v>
      </c>
      <c r="S3" s="886" t="s">
        <v>3036</v>
      </c>
      <c r="T3" s="886" t="s">
        <v>3037</v>
      </c>
      <c r="U3" s="886" t="s">
        <v>3038</v>
      </c>
      <c r="V3" s="886" t="s">
        <v>3039</v>
      </c>
      <c r="W3" s="886" t="s">
        <v>3040</v>
      </c>
      <c r="X3" s="886" t="s">
        <v>3041</v>
      </c>
      <c r="Y3" s="886" t="s">
        <v>3042</v>
      </c>
      <c r="Z3" s="886" t="s">
        <v>3043</v>
      </c>
      <c r="AA3" s="886" t="s">
        <v>3044</v>
      </c>
      <c r="AB3" s="886" t="s">
        <v>3045</v>
      </c>
      <c r="AC3" s="886" t="s">
        <v>3046</v>
      </c>
      <c r="AD3" s="886" t="s">
        <v>3047</v>
      </c>
      <c r="AE3" s="886" t="s">
        <v>3048</v>
      </c>
      <c r="AF3" s="886" t="s">
        <v>3049</v>
      </c>
      <c r="AG3" s="886" t="s">
        <v>3050</v>
      </c>
      <c r="AH3" s="886" t="s">
        <v>3051</v>
      </c>
      <c r="AI3" s="886" t="s">
        <v>3052</v>
      </c>
      <c r="AJ3" s="886" t="s">
        <v>3053</v>
      </c>
      <c r="AK3" s="886" t="s">
        <v>3054</v>
      </c>
      <c r="AL3" s="886" t="s">
        <v>3055</v>
      </c>
      <c r="AM3" s="886" t="s">
        <v>3056</v>
      </c>
      <c r="AN3" s="886" t="s">
        <v>3057</v>
      </c>
      <c r="AO3" s="886" t="s">
        <v>3058</v>
      </c>
      <c r="AP3" s="886" t="s">
        <v>3059</v>
      </c>
    </row>
    <row r="4" spans="1:42" hidden="1">
      <c r="A4" s="886"/>
      <c r="B4" s="886"/>
      <c r="C4" s="886"/>
      <c r="D4" s="886"/>
      <c r="E4" s="886"/>
      <c r="F4" s="886"/>
      <c r="G4" s="886"/>
      <c r="H4" s="886"/>
      <c r="I4" s="886"/>
      <c r="J4" s="886"/>
      <c r="K4" s="886"/>
      <c r="L4" s="887"/>
      <c r="M4" s="888"/>
      <c r="N4" s="886"/>
      <c r="O4" s="886"/>
      <c r="P4" s="886"/>
      <c r="Q4" s="886"/>
      <c r="R4" s="886"/>
      <c r="S4" s="886"/>
      <c r="T4" s="886"/>
      <c r="U4" s="886"/>
      <c r="V4" s="886"/>
      <c r="W4" s="886"/>
      <c r="X4" s="886"/>
      <c r="Y4" s="886"/>
      <c r="Z4" s="886"/>
      <c r="AA4" s="886"/>
      <c r="AB4" s="886"/>
      <c r="AC4" s="886"/>
      <c r="AD4" s="886"/>
      <c r="AE4" s="886"/>
      <c r="AF4" s="886"/>
      <c r="AG4" s="886"/>
      <c r="AH4" s="886"/>
      <c r="AI4" s="886"/>
      <c r="AJ4" s="886"/>
      <c r="AK4" s="886"/>
      <c r="AL4" s="886"/>
      <c r="AM4" s="886"/>
      <c r="AN4" s="886"/>
      <c r="AO4" s="886"/>
      <c r="AP4" s="886"/>
    </row>
    <row r="5" spans="1:42" hidden="1">
      <c r="A5" s="886"/>
      <c r="B5" s="886"/>
      <c r="C5" s="886"/>
      <c r="D5" s="886"/>
      <c r="E5" s="886"/>
      <c r="F5" s="886"/>
      <c r="G5" s="886"/>
      <c r="H5" s="886"/>
      <c r="I5" s="886"/>
      <c r="J5" s="886"/>
      <c r="K5" s="886"/>
      <c r="L5" s="887"/>
      <c r="M5" s="888"/>
      <c r="N5" s="886"/>
      <c r="O5" s="886"/>
      <c r="P5" s="886"/>
      <c r="Q5" s="886"/>
      <c r="R5" s="886"/>
      <c r="S5" s="886"/>
      <c r="T5" s="886"/>
      <c r="U5" s="886"/>
      <c r="V5" s="886"/>
      <c r="W5" s="886"/>
      <c r="X5" s="886"/>
      <c r="Y5" s="886"/>
      <c r="Z5" s="886"/>
      <c r="AA5" s="886"/>
      <c r="AB5" s="886"/>
      <c r="AC5" s="886"/>
      <c r="AD5" s="886"/>
      <c r="AE5" s="886"/>
      <c r="AF5" s="886"/>
      <c r="AG5" s="886"/>
      <c r="AH5" s="886"/>
      <c r="AI5" s="886"/>
      <c r="AJ5" s="886"/>
      <c r="AK5" s="886"/>
      <c r="AL5" s="886"/>
      <c r="AM5" s="886"/>
      <c r="AN5" s="886"/>
      <c r="AO5" s="886"/>
      <c r="AP5" s="886"/>
    </row>
    <row r="6" spans="1:42" hidden="1">
      <c r="A6" s="886"/>
      <c r="B6" s="886"/>
      <c r="C6" s="886"/>
      <c r="D6" s="886"/>
      <c r="E6" s="886"/>
      <c r="F6" s="886"/>
      <c r="G6" s="886"/>
      <c r="H6" s="886"/>
      <c r="I6" s="886"/>
      <c r="J6" s="886"/>
      <c r="K6" s="886"/>
      <c r="L6" s="887"/>
      <c r="M6" s="888"/>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row>
    <row r="7" spans="1:42" hidden="1">
      <c r="A7" s="886"/>
      <c r="B7" s="886"/>
      <c r="C7" s="886"/>
      <c r="D7" s="886"/>
      <c r="E7" s="886"/>
      <c r="F7" s="886"/>
      <c r="G7" s="886"/>
      <c r="H7" s="886"/>
      <c r="I7" s="886"/>
      <c r="J7" s="886"/>
      <c r="K7" s="886"/>
      <c r="L7" s="887"/>
      <c r="M7" s="888"/>
      <c r="N7" s="886"/>
      <c r="O7" s="886"/>
      <c r="P7" s="886"/>
      <c r="Q7" s="886"/>
      <c r="R7" s="886"/>
      <c r="S7" s="886"/>
      <c r="T7" s="886"/>
      <c r="U7" s="886"/>
      <c r="V7" s="886"/>
      <c r="W7" s="886"/>
      <c r="X7" s="886"/>
      <c r="Y7" s="886" t="b">
        <v>1</v>
      </c>
      <c r="Z7" s="886" t="b">
        <v>1</v>
      </c>
      <c r="AA7" s="886" t="b">
        <v>1</v>
      </c>
      <c r="AB7" s="886" t="b">
        <v>1</v>
      </c>
      <c r="AC7" s="886" t="b">
        <v>1</v>
      </c>
      <c r="AD7" s="886" t="b">
        <v>1</v>
      </c>
      <c r="AE7" s="886" t="b">
        <v>1</v>
      </c>
      <c r="AF7" s="886" t="b">
        <v>1</v>
      </c>
      <c r="AG7" s="886" t="b">
        <v>0</v>
      </c>
      <c r="AH7" s="886" t="b">
        <v>0</v>
      </c>
      <c r="AI7" s="886" t="b">
        <v>0</v>
      </c>
      <c r="AJ7" s="886" t="b">
        <v>0</v>
      </c>
      <c r="AK7" s="886" t="b">
        <v>0</v>
      </c>
      <c r="AL7" s="886" t="b">
        <v>0</v>
      </c>
      <c r="AM7" s="886" t="b">
        <v>0</v>
      </c>
      <c r="AN7" s="886" t="b">
        <v>0</v>
      </c>
      <c r="AO7" s="886" t="b">
        <v>0</v>
      </c>
      <c r="AP7" s="886" t="b">
        <v>0</v>
      </c>
    </row>
    <row r="8" spans="1:42" hidden="1">
      <c r="A8" s="886"/>
      <c r="B8" s="886"/>
      <c r="C8" s="886"/>
      <c r="D8" s="886"/>
      <c r="E8" s="886"/>
      <c r="F8" s="886"/>
      <c r="G8" s="886"/>
      <c r="H8" s="886"/>
      <c r="I8" s="886"/>
      <c r="J8" s="886"/>
      <c r="K8" s="886"/>
      <c r="L8" s="887"/>
      <c r="M8" s="888"/>
      <c r="N8" s="886"/>
      <c r="O8" s="886"/>
      <c r="P8" s="886"/>
      <c r="Q8" s="886"/>
      <c r="R8" s="886"/>
      <c r="S8" s="886"/>
      <c r="T8" s="886"/>
      <c r="U8" s="886"/>
      <c r="V8" s="886"/>
      <c r="W8" s="886"/>
      <c r="X8" s="886"/>
      <c r="Y8" s="886"/>
      <c r="Z8" s="886"/>
      <c r="AA8" s="886"/>
      <c r="AB8" s="886"/>
      <c r="AC8" s="886"/>
      <c r="AD8" s="886"/>
      <c r="AE8" s="886"/>
      <c r="AF8" s="886"/>
      <c r="AG8" s="886"/>
      <c r="AH8" s="886"/>
      <c r="AI8" s="886"/>
      <c r="AJ8" s="886"/>
      <c r="AK8" s="886"/>
      <c r="AL8" s="886"/>
      <c r="AM8" s="886"/>
      <c r="AN8" s="886"/>
      <c r="AO8" s="886"/>
      <c r="AP8" s="886"/>
    </row>
    <row r="9" spans="1:42" hidden="1">
      <c r="A9" s="886"/>
      <c r="B9" s="886"/>
      <c r="C9" s="886"/>
      <c r="D9" s="886"/>
      <c r="E9" s="886"/>
      <c r="F9" s="886"/>
      <c r="G9" s="886"/>
      <c r="H9" s="886"/>
      <c r="I9" s="886"/>
      <c r="J9" s="886"/>
      <c r="K9" s="886"/>
      <c r="L9" s="887"/>
      <c r="M9" s="888"/>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row>
    <row r="10" spans="1:42" hidden="1">
      <c r="A10" s="886"/>
      <c r="B10" s="886"/>
      <c r="C10" s="886"/>
      <c r="D10" s="886"/>
      <c r="E10" s="886"/>
      <c r="F10" s="886"/>
      <c r="G10" s="886"/>
      <c r="H10" s="886"/>
      <c r="I10" s="886"/>
      <c r="J10" s="886"/>
      <c r="K10" s="886"/>
      <c r="L10" s="887"/>
      <c r="M10" s="888"/>
      <c r="N10" s="886"/>
      <c r="O10" s="886"/>
      <c r="P10" s="886"/>
      <c r="Q10" s="886"/>
      <c r="R10" s="886"/>
      <c r="S10" s="886"/>
      <c r="T10" s="886"/>
      <c r="U10" s="886"/>
      <c r="V10" s="886"/>
      <c r="W10" s="886"/>
      <c r="X10" s="886"/>
      <c r="Y10" s="886"/>
      <c r="Z10" s="886"/>
      <c r="AA10" s="886"/>
      <c r="AB10" s="886"/>
      <c r="AC10" s="886"/>
      <c r="AD10" s="886"/>
      <c r="AE10" s="886"/>
      <c r="AF10" s="886"/>
      <c r="AG10" s="886"/>
      <c r="AH10" s="886"/>
      <c r="AI10" s="886"/>
      <c r="AJ10" s="886"/>
      <c r="AK10" s="886"/>
      <c r="AL10" s="886"/>
      <c r="AM10" s="886"/>
      <c r="AN10" s="886"/>
      <c r="AO10" s="886"/>
      <c r="AP10" s="886"/>
    </row>
    <row r="11" spans="1:42" s="69" customFormat="1" ht="15" hidden="1" customHeight="1">
      <c r="A11" s="889"/>
      <c r="B11" s="889"/>
      <c r="C11" s="889"/>
      <c r="D11" s="889"/>
      <c r="E11" s="889"/>
      <c r="F11" s="889"/>
      <c r="G11" s="889"/>
      <c r="H11" s="889"/>
      <c r="I11" s="889"/>
      <c r="J11" s="889"/>
      <c r="K11" s="890"/>
      <c r="L11" s="891"/>
      <c r="M11" s="892"/>
      <c r="N11" s="893"/>
      <c r="O11" s="894"/>
      <c r="P11" s="889"/>
      <c r="Q11" s="889"/>
      <c r="R11" s="889"/>
      <c r="S11" s="889"/>
      <c r="T11" s="889"/>
      <c r="U11" s="889"/>
      <c r="V11" s="889"/>
      <c r="W11" s="889"/>
      <c r="X11" s="889"/>
      <c r="Y11" s="889"/>
      <c r="Z11" s="889"/>
      <c r="AA11" s="889"/>
      <c r="AB11" s="889"/>
      <c r="AC11" s="889"/>
      <c r="AD11" s="889"/>
      <c r="AE11" s="889"/>
      <c r="AF11" s="889"/>
      <c r="AG11" s="889"/>
      <c r="AH11" s="889"/>
      <c r="AI11" s="889"/>
      <c r="AJ11" s="889"/>
      <c r="AK11" s="889"/>
      <c r="AL11" s="889"/>
      <c r="AM11" s="889"/>
      <c r="AN11" s="889"/>
      <c r="AO11" s="889"/>
      <c r="AP11" s="889"/>
    </row>
    <row r="12" spans="1:42" ht="22.5" customHeight="1">
      <c r="A12" s="886"/>
      <c r="B12" s="886"/>
      <c r="C12" s="886"/>
      <c r="D12" s="886"/>
      <c r="E12" s="886"/>
      <c r="F12" s="886"/>
      <c r="G12" s="886"/>
      <c r="H12" s="886"/>
      <c r="I12" s="886"/>
      <c r="J12" s="886"/>
      <c r="K12" s="886"/>
      <c r="L12" s="432" t="s">
        <v>1234</v>
      </c>
      <c r="M12" s="168"/>
      <c r="N12" s="168"/>
      <c r="O12" s="168"/>
      <c r="P12" s="168"/>
      <c r="Q12" s="168"/>
      <c r="R12" s="168"/>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row>
    <row r="13" spans="1:42" s="71" customFormat="1">
      <c r="A13" s="895"/>
      <c r="B13" s="895"/>
      <c r="C13" s="895"/>
      <c r="D13" s="895"/>
      <c r="E13" s="895"/>
      <c r="F13" s="895"/>
      <c r="G13" s="895"/>
      <c r="H13" s="895"/>
      <c r="I13" s="895"/>
      <c r="J13" s="895"/>
      <c r="K13" s="896"/>
      <c r="L13" s="897"/>
      <c r="M13" s="898"/>
      <c r="N13" s="899"/>
      <c r="O13" s="900"/>
      <c r="P13" s="895"/>
      <c r="Q13" s="895"/>
      <c r="R13" s="895"/>
      <c r="S13" s="895"/>
      <c r="T13" s="895"/>
      <c r="U13" s="895"/>
      <c r="V13" s="895"/>
      <c r="W13" s="895"/>
      <c r="X13" s="895"/>
      <c r="Y13" s="895"/>
      <c r="Z13" s="895"/>
      <c r="AA13" s="895"/>
      <c r="AB13" s="895"/>
      <c r="AC13" s="895"/>
      <c r="AD13" s="895"/>
      <c r="AE13" s="895"/>
      <c r="AF13" s="895"/>
      <c r="AG13" s="895"/>
      <c r="AH13" s="895"/>
      <c r="AI13" s="895"/>
      <c r="AJ13" s="895"/>
      <c r="AK13" s="895"/>
      <c r="AL13" s="895"/>
      <c r="AM13" s="895"/>
      <c r="AN13" s="895"/>
      <c r="AO13" s="895"/>
      <c r="AP13" s="895"/>
    </row>
    <row r="14" spans="1:42" ht="15" customHeight="1">
      <c r="A14" s="886"/>
      <c r="B14" s="886"/>
      <c r="C14" s="886"/>
      <c r="D14" s="886"/>
      <c r="E14" s="886"/>
      <c r="F14" s="886"/>
      <c r="G14" s="886"/>
      <c r="H14" s="886"/>
      <c r="I14" s="886"/>
      <c r="J14" s="886"/>
      <c r="K14" s="886"/>
      <c r="L14" s="901" t="s">
        <v>16</v>
      </c>
      <c r="M14" s="901" t="s">
        <v>284</v>
      </c>
      <c r="N14" s="901" t="s">
        <v>135</v>
      </c>
      <c r="O14" s="902" t="s">
        <v>3020</v>
      </c>
      <c r="P14" s="902" t="s">
        <v>3020</v>
      </c>
      <c r="Q14" s="902" t="s">
        <v>3020</v>
      </c>
      <c r="R14" s="902" t="s">
        <v>3020</v>
      </c>
      <c r="S14" s="902" t="s">
        <v>3021</v>
      </c>
      <c r="T14" s="902" t="s">
        <v>3022</v>
      </c>
      <c r="U14" s="902" t="s">
        <v>3022</v>
      </c>
      <c r="V14" s="902" t="s">
        <v>3022</v>
      </c>
      <c r="W14" s="902" t="s">
        <v>3022</v>
      </c>
      <c r="X14" s="902" t="s">
        <v>3022</v>
      </c>
      <c r="Y14" s="902" t="s">
        <v>3060</v>
      </c>
      <c r="Z14" s="902" t="s">
        <v>3060</v>
      </c>
      <c r="AA14" s="902" t="s">
        <v>3061</v>
      </c>
      <c r="AB14" s="902" t="s">
        <v>3061</v>
      </c>
      <c r="AC14" s="902" t="s">
        <v>3062</v>
      </c>
      <c r="AD14" s="902" t="s">
        <v>3062</v>
      </c>
      <c r="AE14" s="902" t="s">
        <v>3063</v>
      </c>
      <c r="AF14" s="902" t="s">
        <v>3063</v>
      </c>
      <c r="AG14" s="902" t="s">
        <v>3064</v>
      </c>
      <c r="AH14" s="902" t="s">
        <v>3064</v>
      </c>
      <c r="AI14" s="902" t="s">
        <v>3065</v>
      </c>
      <c r="AJ14" s="902" t="s">
        <v>3065</v>
      </c>
      <c r="AK14" s="902" t="s">
        <v>3066</v>
      </c>
      <c r="AL14" s="902" t="s">
        <v>3066</v>
      </c>
      <c r="AM14" s="902" t="s">
        <v>3067</v>
      </c>
      <c r="AN14" s="902" t="s">
        <v>3067</v>
      </c>
      <c r="AO14" s="902" t="s">
        <v>3068</v>
      </c>
      <c r="AP14" s="902" t="s">
        <v>3068</v>
      </c>
    </row>
    <row r="15" spans="1:42" ht="69" customHeight="1">
      <c r="A15" s="886" t="s">
        <v>1121</v>
      </c>
      <c r="B15" s="886"/>
      <c r="C15" s="886"/>
      <c r="D15" s="886"/>
      <c r="E15" s="886"/>
      <c r="F15" s="886"/>
      <c r="G15" s="886"/>
      <c r="H15" s="886"/>
      <c r="I15" s="886"/>
      <c r="J15" s="886"/>
      <c r="K15" s="886"/>
      <c r="L15" s="901"/>
      <c r="M15" s="901"/>
      <c r="N15" s="901"/>
      <c r="O15" s="159" t="s">
        <v>267</v>
      </c>
      <c r="P15" s="903" t="s">
        <v>305</v>
      </c>
      <c r="Q15" s="160" t="s">
        <v>285</v>
      </c>
      <c r="R15" s="160" t="s">
        <v>109</v>
      </c>
      <c r="S15" s="161" t="s">
        <v>267</v>
      </c>
      <c r="T15" s="159" t="s">
        <v>268</v>
      </c>
      <c r="U15" s="160" t="s">
        <v>267</v>
      </c>
      <c r="V15" s="162" t="s">
        <v>286</v>
      </c>
      <c r="W15" s="162" t="s">
        <v>287</v>
      </c>
      <c r="X15" s="160" t="s">
        <v>109</v>
      </c>
      <c r="Y15" s="161" t="s">
        <v>268</v>
      </c>
      <c r="Z15" s="160" t="s">
        <v>267</v>
      </c>
      <c r="AA15" s="161" t="s">
        <v>268</v>
      </c>
      <c r="AB15" s="160" t="s">
        <v>267</v>
      </c>
      <c r="AC15" s="161" t="s">
        <v>268</v>
      </c>
      <c r="AD15" s="160" t="s">
        <v>267</v>
      </c>
      <c r="AE15" s="161" t="s">
        <v>268</v>
      </c>
      <c r="AF15" s="160" t="s">
        <v>267</v>
      </c>
      <c r="AG15" s="161" t="s">
        <v>268</v>
      </c>
      <c r="AH15" s="160" t="s">
        <v>267</v>
      </c>
      <c r="AI15" s="161" t="s">
        <v>268</v>
      </c>
      <c r="AJ15" s="160" t="s">
        <v>267</v>
      </c>
      <c r="AK15" s="161" t="s">
        <v>268</v>
      </c>
      <c r="AL15" s="160" t="s">
        <v>267</v>
      </c>
      <c r="AM15" s="161" t="s">
        <v>268</v>
      </c>
      <c r="AN15" s="160" t="s">
        <v>267</v>
      </c>
      <c r="AO15" s="161" t="s">
        <v>268</v>
      </c>
      <c r="AP15" s="160" t="s">
        <v>267</v>
      </c>
    </row>
    <row r="16" spans="1:42" s="88" customFormat="1">
      <c r="A16" s="859" t="s">
        <v>18</v>
      </c>
      <c r="B16" s="904"/>
      <c r="C16" s="904"/>
      <c r="D16" s="904"/>
      <c r="E16" s="904"/>
      <c r="F16" s="904"/>
      <c r="G16" s="904"/>
      <c r="H16" s="904"/>
      <c r="I16" s="904"/>
      <c r="J16" s="904"/>
      <c r="K16" s="904"/>
      <c r="L16" s="860" t="s">
        <v>3018</v>
      </c>
      <c r="M16" s="839"/>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905"/>
      <c r="AN16" s="905"/>
      <c r="AO16" s="905"/>
      <c r="AP16" s="905"/>
    </row>
    <row r="17" spans="1:42">
      <c r="A17" s="906" t="s">
        <v>18</v>
      </c>
      <c r="B17" s="886" t="s">
        <v>1191</v>
      </c>
      <c r="C17" s="886"/>
      <c r="D17" s="886"/>
      <c r="E17" s="886"/>
      <c r="F17" s="886"/>
      <c r="G17" s="886"/>
      <c r="H17" s="886"/>
      <c r="I17" s="886"/>
      <c r="J17" s="886"/>
      <c r="K17" s="886"/>
      <c r="L17" s="907"/>
      <c r="M17" s="908" t="s">
        <v>145</v>
      </c>
      <c r="N17" s="909"/>
      <c r="O17" s="909"/>
      <c r="P17" s="909"/>
      <c r="Q17" s="909"/>
      <c r="R17" s="909"/>
      <c r="S17" s="910">
        <v>2.03742</v>
      </c>
      <c r="T17" s="910">
        <v>2.0512800000000002</v>
      </c>
      <c r="U17" s="910">
        <v>2.0512800000000002</v>
      </c>
      <c r="V17" s="909"/>
      <c r="W17" s="909"/>
      <c r="X17" s="909"/>
      <c r="Y17" s="910">
        <v>1</v>
      </c>
      <c r="Z17" s="910">
        <v>1</v>
      </c>
      <c r="AA17" s="910">
        <v>1</v>
      </c>
      <c r="AB17" s="910">
        <v>1</v>
      </c>
      <c r="AC17" s="910">
        <v>1</v>
      </c>
      <c r="AD17" s="910">
        <v>1</v>
      </c>
      <c r="AE17" s="910">
        <v>1</v>
      </c>
      <c r="AF17" s="910">
        <v>1</v>
      </c>
      <c r="AG17" s="910">
        <v>1</v>
      </c>
      <c r="AH17" s="910">
        <v>1</v>
      </c>
      <c r="AI17" s="910">
        <v>1</v>
      </c>
      <c r="AJ17" s="910">
        <v>1</v>
      </c>
      <c r="AK17" s="910">
        <v>1</v>
      </c>
      <c r="AL17" s="910">
        <v>1</v>
      </c>
      <c r="AM17" s="910">
        <v>1</v>
      </c>
      <c r="AN17" s="910">
        <v>1</v>
      </c>
      <c r="AO17" s="910">
        <v>1</v>
      </c>
      <c r="AP17" s="910">
        <v>1</v>
      </c>
    </row>
    <row r="18" spans="1:42" ht="22.5">
      <c r="A18" s="906" t="s">
        <v>18</v>
      </c>
      <c r="B18" s="886" t="s">
        <v>1188</v>
      </c>
      <c r="C18" s="886" t="s">
        <v>1491</v>
      </c>
      <c r="D18" s="886"/>
      <c r="E18" s="886"/>
      <c r="F18" s="886"/>
      <c r="G18" s="886"/>
      <c r="H18" s="886"/>
      <c r="I18" s="886"/>
      <c r="J18" s="886"/>
      <c r="K18" s="886"/>
      <c r="L18" s="911">
        <v>1</v>
      </c>
      <c r="M18" s="912" t="s">
        <v>288</v>
      </c>
      <c r="N18" s="913" t="s">
        <v>137</v>
      </c>
      <c r="O18" s="914">
        <v>1</v>
      </c>
      <c r="P18" s="914">
        <v>1</v>
      </c>
      <c r="Q18" s="914">
        <v>1</v>
      </c>
      <c r="R18" s="914">
        <v>1</v>
      </c>
      <c r="S18" s="914">
        <v>1</v>
      </c>
      <c r="T18" s="914">
        <v>1</v>
      </c>
      <c r="U18" s="914">
        <v>1</v>
      </c>
      <c r="V18" s="339">
        <v>1</v>
      </c>
      <c r="W18" s="334">
        <v>0</v>
      </c>
      <c r="X18" s="915"/>
      <c r="Y18" s="914"/>
      <c r="Z18" s="914"/>
      <c r="AA18" s="914"/>
      <c r="AB18" s="914"/>
      <c r="AC18" s="914"/>
      <c r="AD18" s="914"/>
      <c r="AE18" s="914"/>
      <c r="AF18" s="914"/>
      <c r="AG18" s="914"/>
      <c r="AH18" s="914"/>
      <c r="AI18" s="914"/>
      <c r="AJ18" s="914"/>
      <c r="AK18" s="914"/>
      <c r="AL18" s="914"/>
      <c r="AM18" s="914"/>
      <c r="AN18" s="914"/>
      <c r="AO18" s="914"/>
      <c r="AP18" s="914"/>
    </row>
    <row r="19" spans="1:42">
      <c r="A19" s="906" t="s">
        <v>18</v>
      </c>
      <c r="B19" s="886" t="s">
        <v>1189</v>
      </c>
      <c r="C19" s="886" t="s">
        <v>1489</v>
      </c>
      <c r="D19" s="886"/>
      <c r="E19" s="886"/>
      <c r="F19" s="886"/>
      <c r="G19" s="886"/>
      <c r="H19" s="886"/>
      <c r="I19" s="886"/>
      <c r="J19" s="886"/>
      <c r="K19" s="886"/>
      <c r="L19" s="911">
        <v>2</v>
      </c>
      <c r="M19" s="916" t="s">
        <v>146</v>
      </c>
      <c r="N19" s="913" t="s">
        <v>137</v>
      </c>
      <c r="O19" s="914">
        <v>113.8</v>
      </c>
      <c r="P19" s="914">
        <v>113.8</v>
      </c>
      <c r="Q19" s="914">
        <v>113.8</v>
      </c>
      <c r="R19" s="915"/>
      <c r="S19" s="914">
        <v>105.8</v>
      </c>
      <c r="T19" s="914">
        <v>107.2</v>
      </c>
      <c r="U19" s="914">
        <v>107.2</v>
      </c>
      <c r="V19" s="339">
        <v>1.0132325141776939</v>
      </c>
      <c r="W19" s="334">
        <v>0</v>
      </c>
      <c r="X19" s="915"/>
      <c r="Y19" s="914"/>
      <c r="Z19" s="914"/>
      <c r="AA19" s="914"/>
      <c r="AB19" s="914"/>
      <c r="AC19" s="914"/>
      <c r="AD19" s="914"/>
      <c r="AE19" s="914"/>
      <c r="AF19" s="914"/>
      <c r="AG19" s="914"/>
      <c r="AH19" s="914"/>
      <c r="AI19" s="914"/>
      <c r="AJ19" s="914"/>
      <c r="AK19" s="914"/>
      <c r="AL19" s="914"/>
      <c r="AM19" s="914"/>
      <c r="AN19" s="914"/>
      <c r="AO19" s="914"/>
      <c r="AP19" s="914"/>
    </row>
    <row r="20" spans="1:42">
      <c r="A20" s="906" t="s">
        <v>18</v>
      </c>
      <c r="B20" s="886"/>
      <c r="C20" s="886" t="s">
        <v>1490</v>
      </c>
      <c r="D20" s="886"/>
      <c r="E20" s="886"/>
      <c r="F20" s="886"/>
      <c r="G20" s="886"/>
      <c r="H20" s="886"/>
      <c r="I20" s="886"/>
      <c r="J20" s="886"/>
      <c r="K20" s="886"/>
      <c r="L20" s="911">
        <v>3</v>
      </c>
      <c r="M20" s="912" t="s">
        <v>289</v>
      </c>
      <c r="N20" s="913" t="s">
        <v>137</v>
      </c>
      <c r="O20" s="914"/>
      <c r="P20" s="914"/>
      <c r="Q20" s="914"/>
      <c r="R20" s="915"/>
      <c r="S20" s="914"/>
      <c r="T20" s="914"/>
      <c r="U20" s="914"/>
      <c r="V20" s="339">
        <v>0</v>
      </c>
      <c r="W20" s="334">
        <v>0</v>
      </c>
      <c r="X20" s="915"/>
      <c r="Y20" s="914"/>
      <c r="Z20" s="914"/>
      <c r="AA20" s="914"/>
      <c r="AB20" s="914"/>
      <c r="AC20" s="914"/>
      <c r="AD20" s="914"/>
      <c r="AE20" s="914"/>
      <c r="AF20" s="914"/>
      <c r="AG20" s="914"/>
      <c r="AH20" s="914"/>
      <c r="AI20" s="914"/>
      <c r="AJ20" s="914"/>
      <c r="AK20" s="914"/>
      <c r="AL20" s="914"/>
      <c r="AM20" s="914"/>
      <c r="AN20" s="914"/>
      <c r="AO20" s="914"/>
      <c r="AP20" s="914"/>
    </row>
    <row r="21" spans="1:42">
      <c r="A21" s="906" t="s">
        <v>18</v>
      </c>
      <c r="B21" s="886" t="s">
        <v>1190</v>
      </c>
      <c r="C21" s="886" t="s">
        <v>1488</v>
      </c>
      <c r="D21" s="886"/>
      <c r="E21" s="886"/>
      <c r="F21" s="886"/>
      <c r="G21" s="886"/>
      <c r="H21" s="886"/>
      <c r="I21" s="886"/>
      <c r="J21" s="886"/>
      <c r="K21" s="886"/>
      <c r="L21" s="911">
        <v>4</v>
      </c>
      <c r="M21" s="916" t="s">
        <v>290</v>
      </c>
      <c r="N21" s="913" t="s">
        <v>137</v>
      </c>
      <c r="O21" s="914"/>
      <c r="P21" s="917"/>
      <c r="Q21" s="918"/>
      <c r="R21" s="915"/>
      <c r="S21" s="914"/>
      <c r="T21" s="917"/>
      <c r="U21" s="917"/>
      <c r="V21" s="339">
        <v>0</v>
      </c>
      <c r="W21" s="334">
        <v>0</v>
      </c>
      <c r="X21" s="915"/>
      <c r="Y21" s="914"/>
      <c r="Z21" s="914"/>
      <c r="AA21" s="914"/>
      <c r="AB21" s="914"/>
      <c r="AC21" s="914"/>
      <c r="AD21" s="914"/>
      <c r="AE21" s="914"/>
      <c r="AF21" s="914"/>
      <c r="AG21" s="914"/>
      <c r="AH21" s="914"/>
      <c r="AI21" s="914"/>
      <c r="AJ21" s="914"/>
      <c r="AK21" s="914"/>
      <c r="AL21" s="914"/>
      <c r="AM21" s="914"/>
      <c r="AN21" s="914"/>
      <c r="AO21" s="914"/>
      <c r="AP21" s="914"/>
    </row>
    <row r="22" spans="1:42">
      <c r="A22" s="906" t="s">
        <v>18</v>
      </c>
      <c r="B22" s="886"/>
      <c r="C22" s="886"/>
      <c r="D22" s="886"/>
      <c r="E22" s="886"/>
      <c r="F22" s="886"/>
      <c r="G22" s="886"/>
      <c r="H22" s="886"/>
      <c r="I22" s="886"/>
      <c r="J22" s="886"/>
      <c r="K22" s="886"/>
      <c r="L22" s="907"/>
      <c r="M22" s="908" t="s">
        <v>291</v>
      </c>
      <c r="N22" s="909"/>
      <c r="O22" s="919"/>
      <c r="P22" s="919"/>
      <c r="Q22" s="919"/>
      <c r="R22" s="920"/>
      <c r="S22" s="919"/>
      <c r="T22" s="919"/>
      <c r="U22" s="919"/>
      <c r="V22" s="921"/>
      <c r="W22" s="919"/>
      <c r="X22" s="920"/>
      <c r="Y22" s="919"/>
      <c r="Z22" s="919"/>
      <c r="AA22" s="919"/>
      <c r="AB22" s="919"/>
      <c r="AC22" s="919"/>
      <c r="AD22" s="919"/>
      <c r="AE22" s="919"/>
      <c r="AF22" s="919"/>
      <c r="AG22" s="919"/>
      <c r="AH22" s="919"/>
      <c r="AI22" s="919"/>
      <c r="AJ22" s="919"/>
      <c r="AK22" s="919"/>
      <c r="AL22" s="919"/>
      <c r="AM22" s="919"/>
      <c r="AN22" s="919"/>
      <c r="AO22" s="919"/>
      <c r="AP22" s="922"/>
    </row>
    <row r="23" spans="1:42">
      <c r="A23" s="906" t="s">
        <v>18</v>
      </c>
      <c r="B23" s="886" t="s">
        <v>1193</v>
      </c>
      <c r="C23" s="886" t="s">
        <v>1492</v>
      </c>
      <c r="D23" s="886"/>
      <c r="E23" s="886"/>
      <c r="F23" s="886"/>
      <c r="G23" s="886"/>
      <c r="H23" s="886"/>
      <c r="I23" s="886"/>
      <c r="J23" s="886"/>
      <c r="K23" s="886"/>
      <c r="L23" s="911">
        <v>1</v>
      </c>
      <c r="M23" s="916" t="s">
        <v>292</v>
      </c>
      <c r="N23" s="913" t="s">
        <v>137</v>
      </c>
      <c r="O23" s="917">
        <v>30</v>
      </c>
      <c r="P23" s="917">
        <v>30</v>
      </c>
      <c r="Q23" s="917">
        <v>30</v>
      </c>
      <c r="R23" s="917">
        <v>30</v>
      </c>
      <c r="S23" s="917">
        <v>30</v>
      </c>
      <c r="T23" s="917">
        <v>30</v>
      </c>
      <c r="U23" s="917">
        <v>30</v>
      </c>
      <c r="V23" s="339">
        <v>1</v>
      </c>
      <c r="W23" s="334">
        <v>0</v>
      </c>
      <c r="X23" s="915"/>
      <c r="Y23" s="917"/>
      <c r="Z23" s="917"/>
      <c r="AA23" s="917"/>
      <c r="AB23" s="917"/>
      <c r="AC23" s="917"/>
      <c r="AD23" s="917"/>
      <c r="AE23" s="917"/>
      <c r="AF23" s="917"/>
      <c r="AG23" s="917"/>
      <c r="AH23" s="917"/>
      <c r="AI23" s="917"/>
      <c r="AJ23" s="917"/>
      <c r="AK23" s="917"/>
      <c r="AL23" s="917"/>
      <c r="AM23" s="917"/>
      <c r="AN23" s="917"/>
      <c r="AO23" s="917"/>
      <c r="AP23" s="917"/>
    </row>
    <row r="24" spans="1:42">
      <c r="A24" s="906" t="s">
        <v>18</v>
      </c>
      <c r="B24" s="886"/>
      <c r="C24" s="886" t="s">
        <v>1493</v>
      </c>
      <c r="D24" s="886"/>
      <c r="E24" s="886"/>
      <c r="F24" s="886"/>
      <c r="G24" s="886"/>
      <c r="H24" s="886"/>
      <c r="I24" s="886"/>
      <c r="J24" s="886"/>
      <c r="K24" s="886"/>
      <c r="L24" s="911">
        <v>2</v>
      </c>
      <c r="M24" s="916" t="s">
        <v>293</v>
      </c>
      <c r="N24" s="913" t="s">
        <v>137</v>
      </c>
      <c r="O24" s="917"/>
      <c r="P24" s="914"/>
      <c r="Q24" s="917"/>
      <c r="R24" s="915"/>
      <c r="S24" s="917"/>
      <c r="T24" s="917"/>
      <c r="U24" s="917"/>
      <c r="V24" s="339">
        <v>0</v>
      </c>
      <c r="W24" s="334">
        <v>0</v>
      </c>
      <c r="X24" s="915"/>
      <c r="Y24" s="917"/>
      <c r="Z24" s="917"/>
      <c r="AA24" s="917"/>
      <c r="AB24" s="917"/>
      <c r="AC24" s="917"/>
      <c r="AD24" s="917"/>
      <c r="AE24" s="917"/>
      <c r="AF24" s="917"/>
      <c r="AG24" s="917"/>
      <c r="AH24" s="917"/>
      <c r="AI24" s="917"/>
      <c r="AJ24" s="917"/>
      <c r="AK24" s="917"/>
      <c r="AL24" s="917"/>
      <c r="AM24" s="917"/>
      <c r="AN24" s="917"/>
      <c r="AO24" s="917"/>
      <c r="AP24" s="917"/>
    </row>
    <row r="25" spans="1:42">
      <c r="A25" s="906" t="s">
        <v>18</v>
      </c>
      <c r="B25" s="886"/>
      <c r="C25" s="886"/>
      <c r="D25" s="886"/>
      <c r="E25" s="886"/>
      <c r="F25" s="886"/>
      <c r="G25" s="886"/>
      <c r="H25" s="886"/>
      <c r="I25" s="886"/>
      <c r="J25" s="886"/>
      <c r="K25" s="886"/>
      <c r="L25" s="164">
        <v>3</v>
      </c>
      <c r="M25" s="165" t="s">
        <v>294</v>
      </c>
      <c r="N25" s="923"/>
      <c r="O25" s="331"/>
      <c r="P25" s="334"/>
      <c r="Q25" s="336"/>
      <c r="R25" s="323"/>
      <c r="S25" s="331"/>
      <c r="T25" s="334"/>
      <c r="U25" s="334"/>
      <c r="V25" s="339"/>
      <c r="W25" s="334"/>
      <c r="X25" s="323"/>
      <c r="Y25" s="331"/>
      <c r="Z25" s="331"/>
      <c r="AA25" s="331"/>
      <c r="AB25" s="331"/>
      <c r="AC25" s="331"/>
      <c r="AD25" s="331"/>
      <c r="AE25" s="331"/>
      <c r="AF25" s="331"/>
      <c r="AG25" s="331"/>
      <c r="AH25" s="331"/>
      <c r="AI25" s="331"/>
      <c r="AJ25" s="331"/>
      <c r="AK25" s="331"/>
      <c r="AL25" s="331"/>
      <c r="AM25" s="331"/>
      <c r="AN25" s="331"/>
      <c r="AO25" s="331"/>
      <c r="AP25" s="331"/>
    </row>
    <row r="26" spans="1:42" ht="22.5">
      <c r="A26" s="906" t="s">
        <v>18</v>
      </c>
      <c r="B26" s="886"/>
      <c r="C26" s="886" t="s">
        <v>1740</v>
      </c>
      <c r="D26" s="886"/>
      <c r="E26" s="886"/>
      <c r="F26" s="886"/>
      <c r="G26" s="886"/>
      <c r="H26" s="886"/>
      <c r="I26" s="886"/>
      <c r="J26" s="886"/>
      <c r="K26" s="886"/>
      <c r="L26" s="924" t="s">
        <v>1013</v>
      </c>
      <c r="M26" s="925" t="s">
        <v>295</v>
      </c>
      <c r="N26" s="923" t="s">
        <v>296</v>
      </c>
      <c r="O26" s="914">
        <v>241</v>
      </c>
      <c r="P26" s="917">
        <v>214</v>
      </c>
      <c r="Q26" s="918">
        <v>214</v>
      </c>
      <c r="R26" s="915"/>
      <c r="S26" s="914">
        <v>246</v>
      </c>
      <c r="T26" s="917">
        <v>283</v>
      </c>
      <c r="U26" s="917">
        <v>283</v>
      </c>
      <c r="V26" s="339">
        <v>1.1504065040650406</v>
      </c>
      <c r="W26" s="334">
        <v>0</v>
      </c>
      <c r="X26" s="915"/>
      <c r="Y26" s="914"/>
      <c r="Z26" s="914"/>
      <c r="AA26" s="914"/>
      <c r="AB26" s="914"/>
      <c r="AC26" s="914"/>
      <c r="AD26" s="914"/>
      <c r="AE26" s="914"/>
      <c r="AF26" s="914"/>
      <c r="AG26" s="914"/>
      <c r="AH26" s="914"/>
      <c r="AI26" s="914"/>
      <c r="AJ26" s="914"/>
      <c r="AK26" s="914"/>
      <c r="AL26" s="914"/>
      <c r="AM26" s="914"/>
      <c r="AN26" s="914"/>
      <c r="AO26" s="914"/>
      <c r="AP26" s="914"/>
    </row>
    <row r="27" spans="1:42" ht="22.5">
      <c r="A27" s="906" t="s">
        <v>18</v>
      </c>
      <c r="B27" s="886"/>
      <c r="C27" s="886" t="s">
        <v>1741</v>
      </c>
      <c r="D27" s="886"/>
      <c r="E27" s="886"/>
      <c r="F27" s="886"/>
      <c r="G27" s="886"/>
      <c r="H27" s="886"/>
      <c r="I27" s="886"/>
      <c r="J27" s="886"/>
      <c r="K27" s="886"/>
      <c r="L27" s="924" t="s">
        <v>1014</v>
      </c>
      <c r="M27" s="925" t="s">
        <v>297</v>
      </c>
      <c r="N27" s="923" t="s">
        <v>296</v>
      </c>
      <c r="O27" s="914">
        <v>1064.8800000000001</v>
      </c>
      <c r="P27" s="914">
        <v>1064.8800000000001</v>
      </c>
      <c r="Q27" s="914">
        <v>1064.8800000000001</v>
      </c>
      <c r="R27" s="915"/>
      <c r="S27" s="917">
        <v>1224.96</v>
      </c>
      <c r="T27" s="917">
        <v>1409.4</v>
      </c>
      <c r="U27" s="917">
        <v>1409.4</v>
      </c>
      <c r="V27" s="339">
        <v>1.1505681818181819</v>
      </c>
      <c r="W27" s="334">
        <v>0</v>
      </c>
      <c r="X27" s="915"/>
      <c r="Y27" s="914"/>
      <c r="Z27" s="914"/>
      <c r="AA27" s="914"/>
      <c r="AB27" s="914"/>
      <c r="AC27" s="914"/>
      <c r="AD27" s="914"/>
      <c r="AE27" s="914"/>
      <c r="AF27" s="914"/>
      <c r="AG27" s="914"/>
      <c r="AH27" s="914"/>
      <c r="AI27" s="914"/>
      <c r="AJ27" s="914"/>
      <c r="AK27" s="914"/>
      <c r="AL27" s="914"/>
      <c r="AM27" s="914"/>
      <c r="AN27" s="914"/>
      <c r="AO27" s="914"/>
      <c r="AP27" s="914"/>
    </row>
    <row r="28" spans="1:42" ht="22.5">
      <c r="A28" s="906" t="s">
        <v>18</v>
      </c>
      <c r="B28" s="886"/>
      <c r="C28" s="886" t="s">
        <v>1742</v>
      </c>
      <c r="D28" s="886"/>
      <c r="E28" s="886"/>
      <c r="F28" s="886"/>
      <c r="G28" s="886"/>
      <c r="H28" s="886"/>
      <c r="I28" s="886"/>
      <c r="J28" s="886"/>
      <c r="K28" s="886"/>
      <c r="L28" s="924" t="s">
        <v>1015</v>
      </c>
      <c r="M28" s="925" t="s">
        <v>298</v>
      </c>
      <c r="N28" s="923" t="s">
        <v>296</v>
      </c>
      <c r="O28" s="914">
        <v>241</v>
      </c>
      <c r="P28" s="917">
        <v>214</v>
      </c>
      <c r="Q28" s="918">
        <v>214</v>
      </c>
      <c r="R28" s="915"/>
      <c r="S28" s="914">
        <v>246</v>
      </c>
      <c r="T28" s="917">
        <v>283</v>
      </c>
      <c r="U28" s="917">
        <v>283</v>
      </c>
      <c r="V28" s="339">
        <v>1.1504065040650406</v>
      </c>
      <c r="W28" s="334">
        <v>0</v>
      </c>
      <c r="X28" s="915"/>
      <c r="Y28" s="914"/>
      <c r="Z28" s="914"/>
      <c r="AA28" s="914"/>
      <c r="AB28" s="914"/>
      <c r="AC28" s="914"/>
      <c r="AD28" s="914"/>
      <c r="AE28" s="914"/>
      <c r="AF28" s="914"/>
      <c r="AG28" s="914"/>
      <c r="AH28" s="914"/>
      <c r="AI28" s="914"/>
      <c r="AJ28" s="914"/>
      <c r="AK28" s="914"/>
      <c r="AL28" s="914"/>
      <c r="AM28" s="914"/>
      <c r="AN28" s="914"/>
      <c r="AO28" s="914"/>
      <c r="AP28" s="914"/>
    </row>
    <row r="29" spans="1:42" ht="22.5">
      <c r="A29" s="906" t="s">
        <v>18</v>
      </c>
      <c r="B29" s="886"/>
      <c r="C29" s="886" t="s">
        <v>1743</v>
      </c>
      <c r="D29" s="886"/>
      <c r="E29" s="886"/>
      <c r="F29" s="886"/>
      <c r="G29" s="886"/>
      <c r="H29" s="886"/>
      <c r="I29" s="886"/>
      <c r="J29" s="886"/>
      <c r="K29" s="886"/>
      <c r="L29" s="924" t="s">
        <v>1016</v>
      </c>
      <c r="M29" s="925" t="s">
        <v>299</v>
      </c>
      <c r="N29" s="923" t="s">
        <v>296</v>
      </c>
      <c r="O29" s="914">
        <v>1064.8800000000001</v>
      </c>
      <c r="P29" s="914">
        <v>1064.8800000000001</v>
      </c>
      <c r="Q29" s="914">
        <v>1064.8800000000001</v>
      </c>
      <c r="R29" s="915"/>
      <c r="S29" s="917">
        <v>1224.96</v>
      </c>
      <c r="T29" s="917">
        <v>1409.4</v>
      </c>
      <c r="U29" s="917">
        <v>1409.4</v>
      </c>
      <c r="V29" s="339">
        <v>1.1505681818181819</v>
      </c>
      <c r="W29" s="334">
        <v>0</v>
      </c>
      <c r="X29" s="915"/>
      <c r="Y29" s="914"/>
      <c r="Z29" s="914"/>
      <c r="AA29" s="914"/>
      <c r="AB29" s="914"/>
      <c r="AC29" s="914"/>
      <c r="AD29" s="914"/>
      <c r="AE29" s="914"/>
      <c r="AF29" s="914"/>
      <c r="AG29" s="914"/>
      <c r="AH29" s="914"/>
      <c r="AI29" s="914"/>
      <c r="AJ29" s="914"/>
      <c r="AK29" s="914"/>
      <c r="AL29" s="914"/>
      <c r="AM29" s="914"/>
      <c r="AN29" s="914"/>
      <c r="AO29" s="914"/>
      <c r="AP29" s="914"/>
    </row>
    <row r="30" spans="1:42">
      <c r="A30" s="906" t="s">
        <v>18</v>
      </c>
      <c r="B30" s="886"/>
      <c r="C30" s="886" t="s">
        <v>1484</v>
      </c>
      <c r="D30" s="886"/>
      <c r="E30" s="886"/>
      <c r="F30" s="886"/>
      <c r="G30" s="886"/>
      <c r="H30" s="886"/>
      <c r="I30" s="886"/>
      <c r="J30" s="886"/>
      <c r="K30" s="886"/>
      <c r="L30" s="911">
        <v>4</v>
      </c>
      <c r="M30" s="926" t="s">
        <v>300</v>
      </c>
      <c r="N30" s="913" t="s">
        <v>137</v>
      </c>
      <c r="O30" s="914"/>
      <c r="P30" s="917"/>
      <c r="Q30" s="918"/>
      <c r="R30" s="915"/>
      <c r="S30" s="914"/>
      <c r="T30" s="917"/>
      <c r="U30" s="917"/>
      <c r="V30" s="339">
        <v>0</v>
      </c>
      <c r="W30" s="334">
        <v>0</v>
      </c>
      <c r="X30" s="915"/>
      <c r="Y30" s="914"/>
      <c r="Z30" s="914"/>
      <c r="AA30" s="914"/>
      <c r="AB30" s="914"/>
      <c r="AC30" s="914"/>
      <c r="AD30" s="914"/>
      <c r="AE30" s="914"/>
      <c r="AF30" s="914"/>
      <c r="AG30" s="914"/>
      <c r="AH30" s="914"/>
      <c r="AI30" s="914"/>
      <c r="AJ30" s="914"/>
      <c r="AK30" s="914"/>
      <c r="AL30" s="914"/>
      <c r="AM30" s="914"/>
      <c r="AN30" s="914"/>
      <c r="AO30" s="914"/>
      <c r="AP30" s="914"/>
    </row>
    <row r="31" spans="1:42">
      <c r="A31" s="906" t="s">
        <v>18</v>
      </c>
      <c r="B31" s="886"/>
      <c r="C31" s="886" t="s">
        <v>1485</v>
      </c>
      <c r="D31" s="886"/>
      <c r="E31" s="886"/>
      <c r="F31" s="886"/>
      <c r="G31" s="886"/>
      <c r="H31" s="886"/>
      <c r="I31" s="886"/>
      <c r="J31" s="886"/>
      <c r="K31" s="886"/>
      <c r="L31" s="911">
        <v>5</v>
      </c>
      <c r="M31" s="926" t="s">
        <v>301</v>
      </c>
      <c r="N31" s="913" t="s">
        <v>137</v>
      </c>
      <c r="O31" s="914"/>
      <c r="P31" s="917"/>
      <c r="Q31" s="918"/>
      <c r="R31" s="915"/>
      <c r="S31" s="914"/>
      <c r="T31" s="917"/>
      <c r="U31" s="917"/>
      <c r="V31" s="339">
        <v>0</v>
      </c>
      <c r="W31" s="334">
        <v>0</v>
      </c>
      <c r="X31" s="915"/>
      <c r="Y31" s="914"/>
      <c r="Z31" s="914"/>
      <c r="AA31" s="914"/>
      <c r="AB31" s="914"/>
      <c r="AC31" s="914"/>
      <c r="AD31" s="914"/>
      <c r="AE31" s="914"/>
      <c r="AF31" s="914"/>
      <c r="AG31" s="914"/>
      <c r="AH31" s="914"/>
      <c r="AI31" s="914"/>
      <c r="AJ31" s="914"/>
      <c r="AK31" s="914"/>
      <c r="AL31" s="914"/>
      <c r="AM31" s="914"/>
      <c r="AN31" s="914"/>
      <c r="AO31" s="914"/>
      <c r="AP31" s="914"/>
    </row>
    <row r="32" spans="1:42" s="80" customFormat="1">
      <c r="A32" s="906" t="s">
        <v>18</v>
      </c>
      <c r="B32" s="927"/>
      <c r="C32" s="927" t="s">
        <v>1486</v>
      </c>
      <c r="D32" s="927"/>
      <c r="E32" s="927"/>
      <c r="F32" s="927"/>
      <c r="G32" s="927"/>
      <c r="H32" s="927"/>
      <c r="I32" s="927"/>
      <c r="J32" s="927"/>
      <c r="K32" s="927"/>
      <c r="L32" s="928" t="s">
        <v>124</v>
      </c>
      <c r="M32" s="929" t="s">
        <v>302</v>
      </c>
      <c r="N32" s="913"/>
      <c r="O32" s="930"/>
      <c r="P32" s="930"/>
      <c r="Q32" s="930"/>
      <c r="R32" s="931"/>
      <c r="S32" s="930"/>
      <c r="T32" s="930"/>
      <c r="U32" s="930"/>
      <c r="V32" s="339">
        <v>0</v>
      </c>
      <c r="W32" s="334">
        <v>0</v>
      </c>
      <c r="X32" s="931"/>
      <c r="Y32" s="930"/>
      <c r="Z32" s="930"/>
      <c r="AA32" s="930"/>
      <c r="AB32" s="930"/>
      <c r="AC32" s="930"/>
      <c r="AD32" s="930"/>
      <c r="AE32" s="930"/>
      <c r="AF32" s="930"/>
      <c r="AG32" s="930"/>
      <c r="AH32" s="930"/>
      <c r="AI32" s="930"/>
      <c r="AJ32" s="930"/>
      <c r="AK32" s="930"/>
      <c r="AL32" s="930"/>
      <c r="AM32" s="930"/>
      <c r="AN32" s="930"/>
      <c r="AO32" s="930"/>
      <c r="AP32" s="930"/>
    </row>
    <row r="33" spans="1:42" s="80" customFormat="1">
      <c r="A33" s="906" t="s">
        <v>18</v>
      </c>
      <c r="B33" s="927"/>
      <c r="C33" s="927" t="s">
        <v>1487</v>
      </c>
      <c r="D33" s="927"/>
      <c r="E33" s="927"/>
      <c r="F33" s="927"/>
      <c r="G33" s="927"/>
      <c r="H33" s="927"/>
      <c r="I33" s="927"/>
      <c r="J33" s="927"/>
      <c r="K33" s="927"/>
      <c r="L33" s="928" t="s">
        <v>125</v>
      </c>
      <c r="M33" s="912" t="s">
        <v>303</v>
      </c>
      <c r="N33" s="913"/>
      <c r="O33" s="930"/>
      <c r="P33" s="930"/>
      <c r="Q33" s="930"/>
      <c r="R33" s="931"/>
      <c r="S33" s="930"/>
      <c r="T33" s="930"/>
      <c r="U33" s="930"/>
      <c r="V33" s="339">
        <v>0</v>
      </c>
      <c r="W33" s="334">
        <v>0</v>
      </c>
      <c r="X33" s="931"/>
      <c r="Y33" s="930"/>
      <c r="Z33" s="930"/>
      <c r="AA33" s="930"/>
      <c r="AB33" s="930"/>
      <c r="AC33" s="930"/>
      <c r="AD33" s="930"/>
      <c r="AE33" s="930"/>
      <c r="AF33" s="930"/>
      <c r="AG33" s="930"/>
      <c r="AH33" s="930"/>
      <c r="AI33" s="930"/>
      <c r="AJ33" s="930"/>
      <c r="AK33" s="930"/>
      <c r="AL33" s="930"/>
      <c r="AM33" s="930"/>
      <c r="AN33" s="930"/>
      <c r="AO33" s="930"/>
      <c r="AP33" s="930"/>
    </row>
    <row r="34" spans="1:42" hidden="1">
      <c r="A34" s="886" t="s">
        <v>1121</v>
      </c>
      <c r="B34" s="886"/>
      <c r="C34" s="886"/>
      <c r="D34" s="886"/>
      <c r="E34" s="886"/>
      <c r="F34" s="886"/>
      <c r="G34" s="886"/>
      <c r="H34" s="886"/>
      <c r="I34" s="886"/>
      <c r="J34" s="886"/>
      <c r="K34" s="886"/>
      <c r="L34" s="932"/>
      <c r="M34" s="933"/>
      <c r="N34" s="933"/>
      <c r="O34" s="933"/>
      <c r="P34" s="933"/>
      <c r="Q34" s="933"/>
      <c r="R34" s="933"/>
      <c r="S34" s="933"/>
      <c r="T34" s="933"/>
      <c r="U34" s="933"/>
      <c r="V34" s="933"/>
      <c r="W34" s="933"/>
      <c r="X34" s="933"/>
      <c r="Y34" s="933"/>
      <c r="Z34" s="933"/>
      <c r="AA34" s="933"/>
      <c r="AB34" s="933"/>
      <c r="AC34" s="933"/>
      <c r="AD34" s="933"/>
      <c r="AE34" s="933"/>
      <c r="AF34" s="933"/>
      <c r="AG34" s="933"/>
      <c r="AH34" s="933"/>
      <c r="AI34" s="933"/>
      <c r="AJ34" s="933"/>
      <c r="AK34" s="933"/>
      <c r="AL34" s="933"/>
      <c r="AM34" s="933"/>
      <c r="AN34" s="933"/>
      <c r="AO34" s="933"/>
      <c r="AP34" s="933"/>
    </row>
    <row r="35" spans="1:42">
      <c r="A35" s="886"/>
      <c r="B35" s="886"/>
      <c r="C35" s="886"/>
      <c r="D35" s="886"/>
      <c r="E35" s="886"/>
      <c r="F35" s="886"/>
      <c r="G35" s="886"/>
      <c r="H35" s="886"/>
      <c r="I35" s="886"/>
      <c r="J35" s="886"/>
      <c r="K35" s="886"/>
      <c r="L35" s="887"/>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row>
    <row r="36" spans="1:42">
      <c r="A36" s="886"/>
      <c r="B36" s="886"/>
      <c r="C36" s="886"/>
      <c r="D36" s="886"/>
      <c r="E36" s="886"/>
      <c r="F36" s="886"/>
      <c r="G36" s="886"/>
      <c r="H36" s="886"/>
      <c r="I36" s="886"/>
      <c r="J36" s="886"/>
      <c r="K36" s="886"/>
      <c r="L36" s="887"/>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row>
    <row r="37" spans="1:42">
      <c r="A37" s="886"/>
      <c r="B37" s="886"/>
      <c r="C37" s="886"/>
      <c r="D37" s="886"/>
      <c r="E37" s="886"/>
      <c r="F37" s="886"/>
      <c r="G37" s="886"/>
      <c r="H37" s="886"/>
      <c r="I37" s="886"/>
      <c r="J37" s="886"/>
      <c r="K37" s="886"/>
      <c r="L37" s="887"/>
      <c r="M37" s="886"/>
      <c r="N37" s="886"/>
      <c r="O37" s="886"/>
      <c r="P37" s="886"/>
      <c r="Q37" s="886"/>
      <c r="R37" s="886"/>
      <c r="S37" s="886"/>
      <c r="T37" s="886"/>
      <c r="U37" s="886"/>
      <c r="V37" s="886"/>
      <c r="W37" s="886"/>
      <c r="X37" s="886"/>
      <c r="Y37" s="886"/>
      <c r="Z37" s="886"/>
      <c r="AA37" s="886"/>
      <c r="AB37" s="886"/>
      <c r="AC37" s="886"/>
      <c r="AD37" s="886"/>
      <c r="AE37" s="886"/>
      <c r="AF37" s="886"/>
      <c r="AG37" s="886"/>
      <c r="AH37" s="886"/>
      <c r="AI37" s="886"/>
      <c r="AJ37" s="886"/>
      <c r="AK37" s="886"/>
      <c r="AL37" s="886"/>
      <c r="AM37" s="886"/>
      <c r="AN37" s="886"/>
      <c r="AO37" s="886"/>
      <c r="AP37" s="886"/>
    </row>
    <row r="38" spans="1:42">
      <c r="A38" s="886"/>
      <c r="B38" s="886"/>
      <c r="C38" s="886"/>
      <c r="D38" s="886"/>
      <c r="E38" s="886"/>
      <c r="F38" s="886"/>
      <c r="G38" s="886"/>
      <c r="H38" s="886"/>
      <c r="I38" s="886"/>
      <c r="J38" s="886"/>
      <c r="K38" s="886"/>
      <c r="L38" s="887"/>
      <c r="M38" s="886"/>
      <c r="N38" s="886"/>
      <c r="O38" s="886"/>
      <c r="P38" s="886"/>
      <c r="Q38" s="886"/>
      <c r="R38" s="886"/>
      <c r="S38" s="886"/>
      <c r="T38" s="886"/>
      <c r="U38" s="886"/>
      <c r="V38" s="886"/>
      <c r="W38" s="886"/>
      <c r="X38" s="886"/>
      <c r="Y38" s="886"/>
      <c r="Z38" s="886"/>
      <c r="AA38" s="886"/>
      <c r="AB38" s="886"/>
      <c r="AC38" s="886"/>
      <c r="AD38" s="886"/>
      <c r="AE38" s="886"/>
      <c r="AF38" s="886"/>
      <c r="AG38" s="886"/>
      <c r="AH38" s="886"/>
      <c r="AI38" s="886"/>
      <c r="AJ38" s="886"/>
      <c r="AK38" s="886"/>
      <c r="AL38" s="886"/>
      <c r="AM38" s="886"/>
      <c r="AN38" s="886"/>
      <c r="AO38" s="886"/>
      <c r="AP38" s="886"/>
    </row>
    <row r="39" spans="1:42">
      <c r="A39" s="886"/>
      <c r="B39" s="886"/>
      <c r="C39" s="886"/>
      <c r="D39" s="886"/>
      <c r="E39" s="886"/>
      <c r="F39" s="886"/>
      <c r="G39" s="886"/>
      <c r="H39" s="886"/>
      <c r="I39" s="886"/>
      <c r="J39" s="886"/>
      <c r="K39" s="886"/>
      <c r="L39" s="887"/>
      <c r="M39" s="886"/>
      <c r="N39" s="886"/>
      <c r="O39" s="886"/>
      <c r="P39" s="886"/>
      <c r="Q39" s="886"/>
      <c r="R39" s="886"/>
      <c r="S39" s="886"/>
      <c r="T39" s="886"/>
      <c r="U39" s="886"/>
      <c r="V39" s="886"/>
      <c r="W39" s="886"/>
      <c r="X39" s="886"/>
      <c r="Y39" s="886"/>
      <c r="Z39" s="886"/>
      <c r="AA39" s="886"/>
      <c r="AB39" s="886"/>
      <c r="AC39" s="886"/>
      <c r="AD39" s="886"/>
      <c r="AE39" s="886"/>
      <c r="AF39" s="886"/>
      <c r="AG39" s="886"/>
      <c r="AH39" s="886"/>
      <c r="AI39" s="886"/>
      <c r="AJ39" s="886"/>
      <c r="AK39" s="886"/>
      <c r="AL39" s="886"/>
      <c r="AM39" s="886"/>
      <c r="AN39" s="886"/>
      <c r="AO39" s="886"/>
      <c r="AP39" s="886"/>
    </row>
  </sheetData>
  <sheetProtection formatColumns="0" formatRows="0" autoFilter="0"/>
  <mergeCells count="3">
    <mergeCell ref="L14:L15"/>
    <mergeCell ref="M14:M15"/>
    <mergeCell ref="N14:N15"/>
  </mergeCells>
  <phoneticPr fontId="13" type="noConversion"/>
  <dataValidations count="2">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N11" zoomScale="59" zoomScaleNormal="100" zoomScaleSheetLayoutView="59" workbookViewId="0">
      <selection activeCell="AD44" sqref="AD44"/>
    </sheetView>
  </sheetViews>
  <sheetFormatPr defaultColWidth="9.140625" defaultRowHeight="11.25"/>
  <cols>
    <col min="1" max="2" width="2.7109375" style="86" hidden="1" customWidth="1"/>
    <col min="3" max="3" width="17.42578125" style="86" hidden="1" customWidth="1"/>
    <col min="4"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23" width="13.7109375" style="86" customWidth="1"/>
    <col min="24" max="28" width="13.7109375" style="86" hidden="1" customWidth="1"/>
    <col min="29" max="33" width="13.7109375" style="86" customWidth="1"/>
    <col min="34" max="38" width="13.7109375" style="86" hidden="1" customWidth="1"/>
    <col min="39" max="39" width="20.7109375" style="88" customWidth="1"/>
    <col min="40" max="16384" width="9.140625" style="86"/>
  </cols>
  <sheetData>
    <row r="1" spans="1:39" hidden="1">
      <c r="A1" s="934"/>
      <c r="B1" s="934"/>
      <c r="C1" s="934"/>
      <c r="D1" s="934"/>
      <c r="E1" s="934"/>
      <c r="F1" s="934"/>
      <c r="G1" s="934"/>
      <c r="H1" s="934"/>
      <c r="I1" s="934"/>
      <c r="J1" s="934"/>
      <c r="K1" s="934"/>
      <c r="L1" s="904"/>
      <c r="M1" s="904"/>
      <c r="N1" s="904"/>
      <c r="O1" s="934">
        <v>2022</v>
      </c>
      <c r="P1" s="934">
        <v>2022</v>
      </c>
      <c r="Q1" s="934">
        <v>2022</v>
      </c>
      <c r="R1" s="934">
        <v>2023</v>
      </c>
      <c r="S1" s="934">
        <v>2024</v>
      </c>
      <c r="T1" s="934">
        <v>2025</v>
      </c>
      <c r="U1" s="934">
        <v>2026</v>
      </c>
      <c r="V1" s="934">
        <v>2027</v>
      </c>
      <c r="W1" s="934">
        <v>2028</v>
      </c>
      <c r="X1" s="934">
        <v>2029</v>
      </c>
      <c r="Y1" s="934">
        <v>2030</v>
      </c>
      <c r="Z1" s="934">
        <v>2031</v>
      </c>
      <c r="AA1" s="934">
        <v>2032</v>
      </c>
      <c r="AB1" s="934">
        <v>2033</v>
      </c>
      <c r="AC1" s="934">
        <v>2024</v>
      </c>
      <c r="AD1" s="934">
        <v>2025</v>
      </c>
      <c r="AE1" s="934">
        <v>2026</v>
      </c>
      <c r="AF1" s="934">
        <v>2027</v>
      </c>
      <c r="AG1" s="934">
        <v>2028</v>
      </c>
      <c r="AH1" s="934">
        <v>2029</v>
      </c>
      <c r="AI1" s="934">
        <v>2030</v>
      </c>
      <c r="AJ1" s="934">
        <v>2031</v>
      </c>
      <c r="AK1" s="934">
        <v>2032</v>
      </c>
      <c r="AL1" s="934">
        <v>2033</v>
      </c>
      <c r="AM1" s="904"/>
    </row>
    <row r="2" spans="1:39" hidden="1">
      <c r="A2" s="934"/>
      <c r="B2" s="934"/>
      <c r="C2" s="934"/>
      <c r="D2" s="934"/>
      <c r="E2" s="934"/>
      <c r="F2" s="934"/>
      <c r="G2" s="934"/>
      <c r="H2" s="934"/>
      <c r="I2" s="934"/>
      <c r="J2" s="934"/>
      <c r="K2" s="934"/>
      <c r="L2" s="904"/>
      <c r="M2" s="904"/>
      <c r="N2" s="934"/>
      <c r="O2" s="934" t="s">
        <v>267</v>
      </c>
      <c r="P2" s="934" t="s">
        <v>305</v>
      </c>
      <c r="Q2" s="934" t="s">
        <v>285</v>
      </c>
      <c r="R2" s="934" t="s">
        <v>267</v>
      </c>
      <c r="S2" s="934" t="s">
        <v>268</v>
      </c>
      <c r="T2" s="934" t="s">
        <v>268</v>
      </c>
      <c r="U2" s="934" t="s">
        <v>268</v>
      </c>
      <c r="V2" s="934" t="s">
        <v>268</v>
      </c>
      <c r="W2" s="934" t="s">
        <v>268</v>
      </c>
      <c r="X2" s="934" t="s">
        <v>268</v>
      </c>
      <c r="Y2" s="934" t="s">
        <v>268</v>
      </c>
      <c r="Z2" s="934" t="s">
        <v>268</v>
      </c>
      <c r="AA2" s="934" t="s">
        <v>268</v>
      </c>
      <c r="AB2" s="934" t="s">
        <v>268</v>
      </c>
      <c r="AC2" s="934" t="s">
        <v>267</v>
      </c>
      <c r="AD2" s="934" t="s">
        <v>267</v>
      </c>
      <c r="AE2" s="934" t="s">
        <v>267</v>
      </c>
      <c r="AF2" s="934" t="s">
        <v>267</v>
      </c>
      <c r="AG2" s="934" t="s">
        <v>267</v>
      </c>
      <c r="AH2" s="934" t="s">
        <v>267</v>
      </c>
      <c r="AI2" s="934" t="s">
        <v>267</v>
      </c>
      <c r="AJ2" s="934" t="s">
        <v>267</v>
      </c>
      <c r="AK2" s="934" t="s">
        <v>267</v>
      </c>
      <c r="AL2" s="934" t="s">
        <v>267</v>
      </c>
      <c r="AM2" s="904"/>
    </row>
    <row r="3" spans="1:39" hidden="1">
      <c r="A3" s="934"/>
      <c r="B3" s="934"/>
      <c r="C3" s="934"/>
      <c r="D3" s="934"/>
      <c r="E3" s="934"/>
      <c r="F3" s="934"/>
      <c r="G3" s="934"/>
      <c r="H3" s="934"/>
      <c r="I3" s="934"/>
      <c r="J3" s="934"/>
      <c r="K3" s="934"/>
      <c r="L3" s="904"/>
      <c r="M3" s="904"/>
      <c r="N3" s="904"/>
      <c r="O3" s="934" t="s">
        <v>3032</v>
      </c>
      <c r="P3" s="934" t="s">
        <v>3033</v>
      </c>
      <c r="Q3" s="934" t="s">
        <v>3034</v>
      </c>
      <c r="R3" s="934" t="s">
        <v>3036</v>
      </c>
      <c r="S3" s="934" t="s">
        <v>3037</v>
      </c>
      <c r="T3" s="934" t="s">
        <v>3042</v>
      </c>
      <c r="U3" s="934" t="s">
        <v>3044</v>
      </c>
      <c r="V3" s="934" t="s">
        <v>3046</v>
      </c>
      <c r="W3" s="934" t="s">
        <v>3048</v>
      </c>
      <c r="X3" s="934" t="s">
        <v>3050</v>
      </c>
      <c r="Y3" s="934" t="s">
        <v>3052</v>
      </c>
      <c r="Z3" s="934" t="s">
        <v>3054</v>
      </c>
      <c r="AA3" s="934" t="s">
        <v>3056</v>
      </c>
      <c r="AB3" s="934" t="s">
        <v>3058</v>
      </c>
      <c r="AC3" s="934" t="s">
        <v>3038</v>
      </c>
      <c r="AD3" s="934" t="s">
        <v>3043</v>
      </c>
      <c r="AE3" s="934" t="s">
        <v>3045</v>
      </c>
      <c r="AF3" s="934" t="s">
        <v>3047</v>
      </c>
      <c r="AG3" s="934" t="s">
        <v>3049</v>
      </c>
      <c r="AH3" s="934" t="s">
        <v>3051</v>
      </c>
      <c r="AI3" s="934" t="s">
        <v>3053</v>
      </c>
      <c r="AJ3" s="934" t="s">
        <v>3055</v>
      </c>
      <c r="AK3" s="934" t="s">
        <v>3057</v>
      </c>
      <c r="AL3" s="934" t="s">
        <v>3059</v>
      </c>
      <c r="AM3" s="904"/>
    </row>
    <row r="4" spans="1:39" hidden="1">
      <c r="A4" s="934"/>
      <c r="B4" s="934"/>
      <c r="C4" s="934"/>
      <c r="D4" s="934"/>
      <c r="E4" s="934"/>
      <c r="F4" s="934"/>
      <c r="G4" s="934"/>
      <c r="H4" s="934"/>
      <c r="I4" s="934"/>
      <c r="J4" s="934"/>
      <c r="K4" s="934"/>
      <c r="L4" s="904"/>
      <c r="M4" s="904"/>
      <c r="N4" s="904"/>
      <c r="O4" s="934"/>
      <c r="P4" s="934"/>
      <c r="Q4" s="934"/>
      <c r="R4" s="934"/>
      <c r="S4" s="934"/>
      <c r="T4" s="934"/>
      <c r="U4" s="934"/>
      <c r="V4" s="934"/>
      <c r="W4" s="934"/>
      <c r="X4" s="934"/>
      <c r="Y4" s="934"/>
      <c r="Z4" s="934"/>
      <c r="AA4" s="934"/>
      <c r="AB4" s="934"/>
      <c r="AC4" s="934"/>
      <c r="AD4" s="934"/>
      <c r="AE4" s="934"/>
      <c r="AF4" s="934"/>
      <c r="AG4" s="934"/>
      <c r="AH4" s="934"/>
      <c r="AI4" s="934"/>
      <c r="AJ4" s="934"/>
      <c r="AK4" s="934"/>
      <c r="AL4" s="934"/>
      <c r="AM4" s="904"/>
    </row>
    <row r="5" spans="1:39" hidden="1">
      <c r="A5" s="934"/>
      <c r="B5" s="934"/>
      <c r="C5" s="934"/>
      <c r="D5" s="934"/>
      <c r="E5" s="934"/>
      <c r="F5" s="934"/>
      <c r="G5" s="934"/>
      <c r="H5" s="934"/>
      <c r="I5" s="934"/>
      <c r="J5" s="934"/>
      <c r="K5" s="934"/>
      <c r="L5" s="904"/>
      <c r="M5" s="904"/>
      <c r="N5" s="904"/>
      <c r="O5" s="934"/>
      <c r="P5" s="934"/>
      <c r="Q5" s="934"/>
      <c r="R5" s="934"/>
      <c r="S5" s="934"/>
      <c r="T5" s="934"/>
      <c r="U5" s="934"/>
      <c r="V5" s="934"/>
      <c r="W5" s="934"/>
      <c r="X5" s="934"/>
      <c r="Y5" s="934"/>
      <c r="Z5" s="934"/>
      <c r="AA5" s="934"/>
      <c r="AB5" s="934"/>
      <c r="AC5" s="934"/>
      <c r="AD5" s="934"/>
      <c r="AE5" s="934"/>
      <c r="AF5" s="934"/>
      <c r="AG5" s="934"/>
      <c r="AH5" s="934"/>
      <c r="AI5" s="934"/>
      <c r="AJ5" s="934"/>
      <c r="AK5" s="934"/>
      <c r="AL5" s="934"/>
      <c r="AM5" s="904"/>
    </row>
    <row r="6" spans="1:39" hidden="1">
      <c r="A6" s="934"/>
      <c r="B6" s="934"/>
      <c r="C6" s="934"/>
      <c r="D6" s="934"/>
      <c r="E6" s="934"/>
      <c r="F6" s="934"/>
      <c r="G6" s="934"/>
      <c r="H6" s="934"/>
      <c r="I6" s="934"/>
      <c r="J6" s="934"/>
      <c r="K6" s="934"/>
      <c r="L6" s="904"/>
      <c r="M6" s="904"/>
      <c r="N6" s="90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04"/>
    </row>
    <row r="7" spans="1:39" hidden="1">
      <c r="A7" s="934"/>
      <c r="B7" s="934"/>
      <c r="C7" s="934"/>
      <c r="D7" s="934"/>
      <c r="E7" s="934"/>
      <c r="F7" s="934"/>
      <c r="G7" s="934"/>
      <c r="H7" s="934"/>
      <c r="I7" s="934"/>
      <c r="J7" s="934"/>
      <c r="K7" s="934"/>
      <c r="L7" s="904"/>
      <c r="M7" s="904"/>
      <c r="N7" s="904"/>
      <c r="O7" s="934"/>
      <c r="P7" s="934"/>
      <c r="Q7" s="934"/>
      <c r="R7" s="934"/>
      <c r="S7" s="886" t="b">
        <v>1</v>
      </c>
      <c r="T7" s="886" t="b">
        <v>1</v>
      </c>
      <c r="U7" s="886" t="b">
        <v>1</v>
      </c>
      <c r="V7" s="886" t="b">
        <v>1</v>
      </c>
      <c r="W7" s="886" t="b">
        <v>1</v>
      </c>
      <c r="X7" s="886" t="b">
        <v>0</v>
      </c>
      <c r="Y7" s="886" t="b">
        <v>0</v>
      </c>
      <c r="Z7" s="886" t="b">
        <v>0</v>
      </c>
      <c r="AA7" s="886" t="b">
        <v>0</v>
      </c>
      <c r="AB7" s="886" t="b">
        <v>0</v>
      </c>
      <c r="AC7" s="886" t="b">
        <v>1</v>
      </c>
      <c r="AD7" s="886" t="b">
        <v>1</v>
      </c>
      <c r="AE7" s="886" t="b">
        <v>1</v>
      </c>
      <c r="AF7" s="886" t="b">
        <v>1</v>
      </c>
      <c r="AG7" s="886" t="b">
        <v>1</v>
      </c>
      <c r="AH7" s="886" t="b">
        <v>0</v>
      </c>
      <c r="AI7" s="886" t="b">
        <v>0</v>
      </c>
      <c r="AJ7" s="886" t="b">
        <v>0</v>
      </c>
      <c r="AK7" s="886" t="b">
        <v>0</v>
      </c>
      <c r="AL7" s="886" t="b">
        <v>0</v>
      </c>
      <c r="AM7" s="904"/>
    </row>
    <row r="8" spans="1:39" hidden="1">
      <c r="A8" s="934"/>
      <c r="B8" s="934"/>
      <c r="C8" s="934"/>
      <c r="D8" s="934"/>
      <c r="E8" s="934"/>
      <c r="F8" s="934"/>
      <c r="G8" s="934"/>
      <c r="H8" s="934"/>
      <c r="I8" s="934"/>
      <c r="J8" s="934"/>
      <c r="K8" s="934"/>
      <c r="L8" s="904"/>
      <c r="M8" s="904"/>
      <c r="N8" s="90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04"/>
    </row>
    <row r="9" spans="1:39" hidden="1">
      <c r="A9" s="934"/>
      <c r="B9" s="934"/>
      <c r="C9" s="934"/>
      <c r="D9" s="934"/>
      <c r="E9" s="934"/>
      <c r="F9" s="934"/>
      <c r="G9" s="934"/>
      <c r="H9" s="934"/>
      <c r="I9" s="934"/>
      <c r="J9" s="934"/>
      <c r="K9" s="934"/>
      <c r="L9" s="904"/>
      <c r="M9" s="904"/>
      <c r="N9" s="904"/>
      <c r="O9" s="934"/>
      <c r="P9" s="934"/>
      <c r="Q9" s="934"/>
      <c r="R9" s="934"/>
      <c r="S9" s="934"/>
      <c r="T9" s="934"/>
      <c r="U9" s="934"/>
      <c r="V9" s="934"/>
      <c r="W9" s="934"/>
      <c r="X9" s="934"/>
      <c r="Y9" s="934"/>
      <c r="Z9" s="934"/>
      <c r="AA9" s="934"/>
      <c r="AB9" s="934"/>
      <c r="AC9" s="934"/>
      <c r="AD9" s="934"/>
      <c r="AE9" s="934"/>
      <c r="AF9" s="934"/>
      <c r="AG9" s="934"/>
      <c r="AH9" s="934"/>
      <c r="AI9" s="934"/>
      <c r="AJ9" s="934"/>
      <c r="AK9" s="934"/>
      <c r="AL9" s="934"/>
      <c r="AM9" s="904"/>
    </row>
    <row r="10" spans="1:39" hidden="1">
      <c r="A10" s="934"/>
      <c r="B10" s="934"/>
      <c r="C10" s="934"/>
      <c r="D10" s="934"/>
      <c r="E10" s="934"/>
      <c r="F10" s="934"/>
      <c r="G10" s="934"/>
      <c r="H10" s="934"/>
      <c r="I10" s="934"/>
      <c r="J10" s="934"/>
      <c r="K10" s="934"/>
      <c r="L10" s="904"/>
      <c r="M10" s="904"/>
      <c r="N10" s="904"/>
      <c r="O10" s="934"/>
      <c r="P10" s="934"/>
      <c r="Q10" s="934"/>
      <c r="R10" s="934"/>
      <c r="S10" s="934"/>
      <c r="T10" s="934"/>
      <c r="U10" s="934"/>
      <c r="V10" s="934"/>
      <c r="W10" s="934"/>
      <c r="X10" s="934"/>
      <c r="Y10" s="934"/>
      <c r="Z10" s="934"/>
      <c r="AA10" s="934"/>
      <c r="AB10" s="934"/>
      <c r="AC10" s="934"/>
      <c r="AD10" s="934"/>
      <c r="AE10" s="934"/>
      <c r="AF10" s="934"/>
      <c r="AG10" s="934"/>
      <c r="AH10" s="934"/>
      <c r="AI10" s="934"/>
      <c r="AJ10" s="934"/>
      <c r="AK10" s="934"/>
      <c r="AL10" s="934"/>
      <c r="AM10" s="904"/>
    </row>
    <row r="11" spans="1:39" ht="15" hidden="1" customHeight="1">
      <c r="A11" s="934"/>
      <c r="B11" s="934"/>
      <c r="C11" s="934"/>
      <c r="D11" s="934"/>
      <c r="E11" s="934"/>
      <c r="F11" s="934"/>
      <c r="G11" s="934"/>
      <c r="H11" s="934"/>
      <c r="I11" s="934"/>
      <c r="J11" s="934"/>
      <c r="K11" s="934"/>
      <c r="L11" s="904"/>
      <c r="M11" s="892"/>
      <c r="N11" s="904"/>
      <c r="O11" s="934"/>
      <c r="P11" s="934"/>
      <c r="Q11" s="934"/>
      <c r="R11" s="934"/>
      <c r="S11" s="934"/>
      <c r="T11" s="934"/>
      <c r="U11" s="934"/>
      <c r="V11" s="934"/>
      <c r="W11" s="934"/>
      <c r="X11" s="934"/>
      <c r="Y11" s="934"/>
      <c r="Z11" s="934"/>
      <c r="AA11" s="934"/>
      <c r="AB11" s="934"/>
      <c r="AC11" s="934"/>
      <c r="AD11" s="934"/>
      <c r="AE11" s="934"/>
      <c r="AF11" s="934"/>
      <c r="AG11" s="934"/>
      <c r="AH11" s="934"/>
      <c r="AI11" s="934"/>
      <c r="AJ11" s="934"/>
      <c r="AK11" s="934"/>
      <c r="AL11" s="934"/>
      <c r="AM11" s="904"/>
    </row>
    <row r="12" spans="1:39" s="87" customFormat="1" ht="20.100000000000001" customHeight="1">
      <c r="A12" s="734"/>
      <c r="B12" s="734"/>
      <c r="C12" s="734"/>
      <c r="D12" s="734"/>
      <c r="E12" s="734"/>
      <c r="F12" s="734"/>
      <c r="G12" s="734"/>
      <c r="H12" s="734"/>
      <c r="I12" s="734"/>
      <c r="J12" s="734"/>
      <c r="K12" s="734"/>
      <c r="L12" s="433" t="s">
        <v>1235</v>
      </c>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ht="11.25" customHeight="1">
      <c r="A13" s="934"/>
      <c r="B13" s="934"/>
      <c r="C13" s="934"/>
      <c r="D13" s="934"/>
      <c r="E13" s="934"/>
      <c r="F13" s="934"/>
      <c r="G13" s="934"/>
      <c r="H13" s="934"/>
      <c r="I13" s="934"/>
      <c r="J13" s="934"/>
      <c r="K13" s="934"/>
      <c r="L13" s="904"/>
      <c r="M13" s="904"/>
      <c r="N13" s="904"/>
      <c r="O13" s="934"/>
      <c r="P13" s="934"/>
      <c r="Q13" s="934"/>
      <c r="R13" s="934"/>
      <c r="S13" s="934"/>
      <c r="T13" s="934"/>
      <c r="U13" s="934"/>
      <c r="V13" s="934"/>
      <c r="W13" s="934"/>
      <c r="X13" s="934"/>
      <c r="Y13" s="934"/>
      <c r="Z13" s="934"/>
      <c r="AA13" s="934"/>
      <c r="AB13" s="934"/>
      <c r="AC13" s="934"/>
      <c r="AD13" s="934"/>
      <c r="AE13" s="934"/>
      <c r="AF13" s="934"/>
      <c r="AG13" s="934"/>
      <c r="AH13" s="934"/>
      <c r="AI13" s="934"/>
      <c r="AJ13" s="934"/>
      <c r="AK13" s="934"/>
      <c r="AL13" s="934"/>
      <c r="AM13" s="904"/>
    </row>
    <row r="14" spans="1:39" s="87" customFormat="1" ht="15" customHeight="1">
      <c r="A14" s="734"/>
      <c r="B14" s="734"/>
      <c r="C14" s="734"/>
      <c r="D14" s="734"/>
      <c r="E14" s="734"/>
      <c r="F14" s="734"/>
      <c r="G14" s="734" t="b">
        <v>1</v>
      </c>
      <c r="H14" s="734"/>
      <c r="I14" s="734"/>
      <c r="J14" s="734"/>
      <c r="K14" s="734"/>
      <c r="L14" s="935" t="s">
        <v>1244</v>
      </c>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row>
    <row r="15" spans="1:39" s="88" customFormat="1" ht="15" customHeight="1">
      <c r="A15" s="904"/>
      <c r="B15" s="904"/>
      <c r="C15" s="904"/>
      <c r="D15" s="904"/>
      <c r="E15" s="904"/>
      <c r="F15" s="904"/>
      <c r="G15" s="734" t="b">
        <v>1</v>
      </c>
      <c r="H15" s="904"/>
      <c r="I15" s="904"/>
      <c r="J15" s="904"/>
      <c r="K15" s="904"/>
      <c r="L15" s="936" t="s">
        <v>16</v>
      </c>
      <c r="M15" s="937" t="s">
        <v>121</v>
      </c>
      <c r="N15" s="901" t="s">
        <v>135</v>
      </c>
      <c r="O15" s="938" t="s">
        <v>3020</v>
      </c>
      <c r="P15" s="938" t="s">
        <v>3020</v>
      </c>
      <c r="Q15" s="938" t="s">
        <v>3020</v>
      </c>
      <c r="R15" s="939" t="s">
        <v>3021</v>
      </c>
      <c r="S15" s="940" t="s">
        <v>3022</v>
      </c>
      <c r="T15" s="940" t="s">
        <v>3060</v>
      </c>
      <c r="U15" s="940" t="s">
        <v>3061</v>
      </c>
      <c r="V15" s="940" t="s">
        <v>3062</v>
      </c>
      <c r="W15" s="940" t="s">
        <v>3063</v>
      </c>
      <c r="X15" s="940" t="s">
        <v>3064</v>
      </c>
      <c r="Y15" s="940" t="s">
        <v>3065</v>
      </c>
      <c r="Z15" s="940" t="s">
        <v>3066</v>
      </c>
      <c r="AA15" s="940" t="s">
        <v>3067</v>
      </c>
      <c r="AB15" s="940" t="s">
        <v>3068</v>
      </c>
      <c r="AC15" s="940" t="s">
        <v>3022</v>
      </c>
      <c r="AD15" s="940" t="s">
        <v>3060</v>
      </c>
      <c r="AE15" s="940" t="s">
        <v>3061</v>
      </c>
      <c r="AF15" s="940" t="s">
        <v>3062</v>
      </c>
      <c r="AG15" s="940" t="s">
        <v>3063</v>
      </c>
      <c r="AH15" s="940" t="s">
        <v>3064</v>
      </c>
      <c r="AI15" s="940" t="s">
        <v>3065</v>
      </c>
      <c r="AJ15" s="940" t="s">
        <v>3066</v>
      </c>
      <c r="AK15" s="940" t="s">
        <v>3067</v>
      </c>
      <c r="AL15" s="940" t="s">
        <v>3068</v>
      </c>
      <c r="AM15" s="941" t="s">
        <v>304</v>
      </c>
    </row>
    <row r="16" spans="1:39" s="88" customFormat="1" ht="69.95" customHeight="1">
      <c r="A16" s="904"/>
      <c r="B16" s="904"/>
      <c r="C16" s="904"/>
      <c r="D16" s="904"/>
      <c r="E16" s="904"/>
      <c r="F16" s="904"/>
      <c r="G16" s="734" t="b">
        <v>1</v>
      </c>
      <c r="H16" s="904"/>
      <c r="I16" s="904"/>
      <c r="J16" s="904"/>
      <c r="K16" s="904"/>
      <c r="L16" s="936"/>
      <c r="M16" s="942"/>
      <c r="N16" s="901"/>
      <c r="O16" s="940" t="s">
        <v>267</v>
      </c>
      <c r="P16" s="940" t="s">
        <v>305</v>
      </c>
      <c r="Q16" s="940" t="s">
        <v>285</v>
      </c>
      <c r="R16" s="940" t="s">
        <v>267</v>
      </c>
      <c r="S16" s="943" t="s">
        <v>268</v>
      </c>
      <c r="T16" s="943" t="s">
        <v>268</v>
      </c>
      <c r="U16" s="943" t="s">
        <v>268</v>
      </c>
      <c r="V16" s="943" t="s">
        <v>268</v>
      </c>
      <c r="W16" s="943" t="s">
        <v>268</v>
      </c>
      <c r="X16" s="943" t="s">
        <v>268</v>
      </c>
      <c r="Y16" s="943" t="s">
        <v>268</v>
      </c>
      <c r="Z16" s="943" t="s">
        <v>268</v>
      </c>
      <c r="AA16" s="943" t="s">
        <v>268</v>
      </c>
      <c r="AB16" s="943" t="s">
        <v>268</v>
      </c>
      <c r="AC16" s="943" t="s">
        <v>267</v>
      </c>
      <c r="AD16" s="943" t="s">
        <v>267</v>
      </c>
      <c r="AE16" s="943" t="s">
        <v>267</v>
      </c>
      <c r="AF16" s="943" t="s">
        <v>267</v>
      </c>
      <c r="AG16" s="943" t="s">
        <v>267</v>
      </c>
      <c r="AH16" s="943" t="s">
        <v>267</v>
      </c>
      <c r="AI16" s="943" t="s">
        <v>267</v>
      </c>
      <c r="AJ16" s="943" t="s">
        <v>267</v>
      </c>
      <c r="AK16" s="943" t="s">
        <v>267</v>
      </c>
      <c r="AL16" s="943" t="s">
        <v>267</v>
      </c>
      <c r="AM16" s="941"/>
    </row>
    <row r="17" spans="1:39">
      <c r="A17" s="944" t="s">
        <v>18</v>
      </c>
      <c r="B17" s="934"/>
      <c r="C17" s="934"/>
      <c r="D17" s="934"/>
      <c r="E17" s="934"/>
      <c r="F17" s="934"/>
      <c r="G17" s="934"/>
      <c r="H17" s="934"/>
      <c r="I17" s="934"/>
      <c r="J17" s="934"/>
      <c r="K17" s="934"/>
      <c r="L17" s="945" t="s">
        <v>3018</v>
      </c>
      <c r="M17" s="839"/>
      <c r="N17" s="839"/>
      <c r="O17" s="839"/>
      <c r="P17" s="839"/>
      <c r="Q17" s="839"/>
      <c r="R17" s="839"/>
      <c r="S17" s="839"/>
      <c r="T17" s="839"/>
      <c r="U17" s="839"/>
      <c r="V17" s="839"/>
      <c r="W17" s="839"/>
      <c r="X17" s="839"/>
      <c r="Y17" s="839"/>
      <c r="Z17" s="839"/>
      <c r="AA17" s="839"/>
      <c r="AB17" s="839"/>
      <c r="AC17" s="839"/>
      <c r="AD17" s="839"/>
      <c r="AE17" s="839"/>
      <c r="AF17" s="839"/>
      <c r="AG17" s="839"/>
      <c r="AH17" s="839"/>
      <c r="AI17" s="839"/>
      <c r="AJ17" s="839"/>
      <c r="AK17" s="839"/>
      <c r="AL17" s="839"/>
      <c r="AM17" s="839"/>
    </row>
    <row r="18" spans="1:39">
      <c r="A18" s="944" t="s">
        <v>18</v>
      </c>
      <c r="B18" s="934"/>
      <c r="C18" s="934"/>
      <c r="D18" s="934"/>
      <c r="E18" s="934"/>
      <c r="F18" s="934"/>
      <c r="G18" s="934"/>
      <c r="H18" s="934"/>
      <c r="I18" s="934"/>
      <c r="J18" s="934"/>
      <c r="K18" s="934"/>
      <c r="L18" s="946" t="s">
        <v>18</v>
      </c>
      <c r="M18" s="947" t="s">
        <v>309</v>
      </c>
      <c r="N18" s="940"/>
      <c r="O18" s="948" t="s">
        <v>997</v>
      </c>
      <c r="P18" s="949"/>
      <c r="Q18" s="949"/>
      <c r="R18" s="949"/>
      <c r="S18" s="949"/>
      <c r="T18" s="949"/>
      <c r="U18" s="949"/>
      <c r="V18" s="949"/>
      <c r="W18" s="949"/>
      <c r="X18" s="949"/>
      <c r="Y18" s="949"/>
      <c r="Z18" s="949"/>
      <c r="AA18" s="949"/>
      <c r="AB18" s="949"/>
      <c r="AC18" s="949"/>
      <c r="AD18" s="949"/>
      <c r="AE18" s="949"/>
      <c r="AF18" s="949"/>
      <c r="AG18" s="949"/>
      <c r="AH18" s="949"/>
      <c r="AI18" s="949"/>
      <c r="AJ18" s="949"/>
      <c r="AK18" s="949"/>
      <c r="AL18" s="950"/>
      <c r="AM18" s="951"/>
    </row>
    <row r="19" spans="1:39">
      <c r="A19" s="944" t="s">
        <v>18</v>
      </c>
      <c r="B19" s="934"/>
      <c r="C19" s="934" t="s">
        <v>1481</v>
      </c>
      <c r="D19" s="934"/>
      <c r="E19" s="934"/>
      <c r="F19" s="934"/>
      <c r="G19" s="934"/>
      <c r="H19" s="934"/>
      <c r="I19" s="934"/>
      <c r="J19" s="934"/>
      <c r="K19" s="934"/>
      <c r="L19" s="946" t="s">
        <v>102</v>
      </c>
      <c r="M19" s="952" t="s">
        <v>306</v>
      </c>
      <c r="N19" s="940" t="s">
        <v>307</v>
      </c>
      <c r="O19" s="953">
        <v>16</v>
      </c>
      <c r="P19" s="953">
        <v>16</v>
      </c>
      <c r="Q19" s="953">
        <v>16</v>
      </c>
      <c r="R19" s="953">
        <v>16</v>
      </c>
      <c r="S19" s="953">
        <v>16</v>
      </c>
      <c r="T19" s="953">
        <v>16</v>
      </c>
      <c r="U19" s="953">
        <v>16</v>
      </c>
      <c r="V19" s="953">
        <v>16</v>
      </c>
      <c r="W19" s="953">
        <v>16</v>
      </c>
      <c r="X19" s="953">
        <v>16</v>
      </c>
      <c r="Y19" s="953">
        <v>16</v>
      </c>
      <c r="Z19" s="953">
        <v>16</v>
      </c>
      <c r="AA19" s="953">
        <v>16</v>
      </c>
      <c r="AB19" s="953">
        <v>16</v>
      </c>
      <c r="AC19" s="953">
        <v>16</v>
      </c>
      <c r="AD19" s="953">
        <v>16</v>
      </c>
      <c r="AE19" s="953">
        <v>16</v>
      </c>
      <c r="AF19" s="953">
        <v>16</v>
      </c>
      <c r="AG19" s="953">
        <v>16</v>
      </c>
      <c r="AH19" s="953"/>
      <c r="AI19" s="953"/>
      <c r="AJ19" s="953"/>
      <c r="AK19" s="953"/>
      <c r="AL19" s="953"/>
      <c r="AM19" s="951"/>
    </row>
    <row r="20" spans="1:39">
      <c r="A20" s="944" t="s">
        <v>18</v>
      </c>
      <c r="B20" s="934"/>
      <c r="C20" s="934" t="s">
        <v>1483</v>
      </c>
      <c r="D20" s="934"/>
      <c r="E20" s="934"/>
      <c r="F20" s="934"/>
      <c r="G20" s="934"/>
      <c r="H20" s="934"/>
      <c r="I20" s="934"/>
      <c r="J20" s="934"/>
      <c r="K20" s="934"/>
      <c r="L20" s="946" t="s">
        <v>103</v>
      </c>
      <c r="M20" s="952" t="s">
        <v>308</v>
      </c>
      <c r="N20" s="940" t="s">
        <v>307</v>
      </c>
      <c r="O20" s="953">
        <v>16</v>
      </c>
      <c r="P20" s="953">
        <v>16</v>
      </c>
      <c r="Q20" s="953">
        <v>16</v>
      </c>
      <c r="R20" s="953">
        <v>16</v>
      </c>
      <c r="S20" s="953">
        <v>16</v>
      </c>
      <c r="T20" s="953">
        <v>16</v>
      </c>
      <c r="U20" s="953">
        <v>16</v>
      </c>
      <c r="V20" s="953">
        <v>16</v>
      </c>
      <c r="W20" s="953">
        <v>16</v>
      </c>
      <c r="X20" s="953">
        <v>16</v>
      </c>
      <c r="Y20" s="953">
        <v>16</v>
      </c>
      <c r="Z20" s="953">
        <v>16</v>
      </c>
      <c r="AA20" s="953">
        <v>16</v>
      </c>
      <c r="AB20" s="953">
        <v>16</v>
      </c>
      <c r="AC20" s="953">
        <v>16</v>
      </c>
      <c r="AD20" s="953">
        <v>16</v>
      </c>
      <c r="AE20" s="953">
        <v>16</v>
      </c>
      <c r="AF20" s="953">
        <v>16</v>
      </c>
      <c r="AG20" s="953">
        <v>16</v>
      </c>
      <c r="AH20" s="953"/>
      <c r="AI20" s="953"/>
      <c r="AJ20" s="953"/>
      <c r="AK20" s="953"/>
      <c r="AL20" s="953"/>
      <c r="AM20" s="951"/>
    </row>
    <row r="21" spans="1:39">
      <c r="A21" s="944" t="s">
        <v>18</v>
      </c>
      <c r="B21" s="934"/>
      <c r="C21" s="934" t="s">
        <v>1484</v>
      </c>
      <c r="D21" s="934"/>
      <c r="E21" s="934"/>
      <c r="F21" s="934"/>
      <c r="G21" s="934"/>
      <c r="H21" s="934"/>
      <c r="I21" s="934"/>
      <c r="J21" s="934"/>
      <c r="K21" s="934"/>
      <c r="L21" s="946">
        <v>4</v>
      </c>
      <c r="M21" s="954" t="s">
        <v>1134</v>
      </c>
      <c r="N21" s="902" t="s">
        <v>310</v>
      </c>
      <c r="O21" s="955">
        <v>40</v>
      </c>
      <c r="P21" s="955">
        <v>40</v>
      </c>
      <c r="Q21" s="955">
        <v>40</v>
      </c>
      <c r="R21" s="955">
        <v>40</v>
      </c>
      <c r="S21" s="955">
        <v>40</v>
      </c>
      <c r="T21" s="955">
        <v>40</v>
      </c>
      <c r="U21" s="955">
        <v>40</v>
      </c>
      <c r="V21" s="955">
        <v>40</v>
      </c>
      <c r="W21" s="955">
        <v>40</v>
      </c>
      <c r="X21" s="955">
        <v>40</v>
      </c>
      <c r="Y21" s="955">
        <v>40</v>
      </c>
      <c r="Z21" s="955">
        <v>40</v>
      </c>
      <c r="AA21" s="955">
        <v>40</v>
      </c>
      <c r="AB21" s="955">
        <v>40</v>
      </c>
      <c r="AC21" s="955">
        <v>40</v>
      </c>
      <c r="AD21" s="955">
        <v>40</v>
      </c>
      <c r="AE21" s="955">
        <v>40</v>
      </c>
      <c r="AF21" s="955">
        <v>40</v>
      </c>
      <c r="AG21" s="955">
        <v>40</v>
      </c>
      <c r="AH21" s="955">
        <v>0</v>
      </c>
      <c r="AI21" s="955">
        <v>0</v>
      </c>
      <c r="AJ21" s="955">
        <v>0</v>
      </c>
      <c r="AK21" s="955">
        <v>0</v>
      </c>
      <c r="AL21" s="955">
        <v>0</v>
      </c>
      <c r="AM21" s="951"/>
    </row>
    <row r="22" spans="1:39">
      <c r="A22" s="944" t="s">
        <v>18</v>
      </c>
      <c r="B22" s="934"/>
      <c r="C22" s="934" t="s">
        <v>1499</v>
      </c>
      <c r="D22" s="934"/>
      <c r="E22" s="934"/>
      <c r="F22" s="934"/>
      <c r="G22" s="934"/>
      <c r="H22" s="934"/>
      <c r="I22" s="934"/>
      <c r="J22" s="934"/>
      <c r="K22" s="934"/>
      <c r="L22" s="946" t="s">
        <v>140</v>
      </c>
      <c r="M22" s="925" t="s">
        <v>311</v>
      </c>
      <c r="N22" s="902" t="s">
        <v>310</v>
      </c>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1"/>
    </row>
    <row r="23" spans="1:39">
      <c r="A23" s="944" t="s">
        <v>18</v>
      </c>
      <c r="B23" s="934"/>
      <c r="C23" s="934" t="s">
        <v>1500</v>
      </c>
      <c r="D23" s="934"/>
      <c r="E23" s="934"/>
      <c r="F23" s="934"/>
      <c r="G23" s="934"/>
      <c r="H23" s="934"/>
      <c r="I23" s="934"/>
      <c r="J23" s="934"/>
      <c r="K23" s="934"/>
      <c r="L23" s="946" t="s">
        <v>372</v>
      </c>
      <c r="M23" s="925" t="s">
        <v>312</v>
      </c>
      <c r="N23" s="902" t="s">
        <v>310</v>
      </c>
      <c r="O23" s="930">
        <v>40</v>
      </c>
      <c r="P23" s="930">
        <v>40</v>
      </c>
      <c r="Q23" s="930">
        <v>40</v>
      </c>
      <c r="R23" s="930">
        <v>40</v>
      </c>
      <c r="S23" s="930">
        <v>40</v>
      </c>
      <c r="T23" s="930">
        <v>40</v>
      </c>
      <c r="U23" s="930">
        <v>40</v>
      </c>
      <c r="V23" s="930">
        <v>40</v>
      </c>
      <c r="W23" s="930">
        <v>40</v>
      </c>
      <c r="X23" s="930">
        <v>40</v>
      </c>
      <c r="Y23" s="930">
        <v>40</v>
      </c>
      <c r="Z23" s="930">
        <v>40</v>
      </c>
      <c r="AA23" s="930">
        <v>40</v>
      </c>
      <c r="AB23" s="930">
        <v>40</v>
      </c>
      <c r="AC23" s="930">
        <v>40</v>
      </c>
      <c r="AD23" s="930">
        <v>40</v>
      </c>
      <c r="AE23" s="930">
        <v>40</v>
      </c>
      <c r="AF23" s="930">
        <v>40</v>
      </c>
      <c r="AG23" s="930">
        <v>40</v>
      </c>
      <c r="AH23" s="930"/>
      <c r="AI23" s="930"/>
      <c r="AJ23" s="930"/>
      <c r="AK23" s="930"/>
      <c r="AL23" s="930"/>
      <c r="AM23" s="931"/>
    </row>
    <row r="24" spans="1:39" ht="22.5">
      <c r="A24" s="944" t="s">
        <v>18</v>
      </c>
      <c r="B24" s="934"/>
      <c r="C24" s="934" t="s">
        <v>1501</v>
      </c>
      <c r="D24" s="934"/>
      <c r="E24" s="934"/>
      <c r="F24" s="934"/>
      <c r="G24" s="934"/>
      <c r="H24" s="934"/>
      <c r="I24" s="934"/>
      <c r="J24" s="934"/>
      <c r="K24" s="934"/>
      <c r="L24" s="946" t="s">
        <v>373</v>
      </c>
      <c r="M24" s="954" t="s">
        <v>1130</v>
      </c>
      <c r="N24" s="902" t="s">
        <v>310</v>
      </c>
      <c r="O24" s="930"/>
      <c r="P24" s="930"/>
      <c r="Q24" s="930"/>
      <c r="R24" s="930"/>
      <c r="S24" s="930"/>
      <c r="T24" s="930"/>
      <c r="U24" s="930"/>
      <c r="V24" s="930"/>
      <c r="W24" s="930"/>
      <c r="X24" s="930"/>
      <c r="Y24" s="930"/>
      <c r="Z24" s="930"/>
      <c r="AA24" s="930"/>
      <c r="AB24" s="930"/>
      <c r="AC24" s="930"/>
      <c r="AD24" s="930"/>
      <c r="AE24" s="930"/>
      <c r="AF24" s="930"/>
      <c r="AG24" s="930"/>
      <c r="AH24" s="930"/>
      <c r="AI24" s="930"/>
      <c r="AJ24" s="930"/>
      <c r="AK24" s="930"/>
      <c r="AL24" s="930"/>
      <c r="AM24" s="931"/>
    </row>
    <row r="25" spans="1:39">
      <c r="A25" s="944" t="s">
        <v>18</v>
      </c>
      <c r="B25" s="934"/>
      <c r="C25" s="934" t="s">
        <v>1485</v>
      </c>
      <c r="D25" s="934"/>
      <c r="E25" s="934"/>
      <c r="F25" s="934"/>
      <c r="G25" s="934"/>
      <c r="H25" s="934"/>
      <c r="I25" s="934"/>
      <c r="J25" s="934"/>
      <c r="K25" s="934"/>
      <c r="L25" s="946" t="s">
        <v>120</v>
      </c>
      <c r="M25" s="954" t="s">
        <v>313</v>
      </c>
      <c r="N25" s="902" t="s">
        <v>310</v>
      </c>
      <c r="O25" s="955">
        <v>0</v>
      </c>
      <c r="P25" s="955">
        <v>0</v>
      </c>
      <c r="Q25" s="955">
        <v>0</v>
      </c>
      <c r="R25" s="955">
        <v>0</v>
      </c>
      <c r="S25" s="955">
        <v>0</v>
      </c>
      <c r="T25" s="955">
        <v>0</v>
      </c>
      <c r="U25" s="955">
        <v>0</v>
      </c>
      <c r="V25" s="955">
        <v>0</v>
      </c>
      <c r="W25" s="955">
        <v>0</v>
      </c>
      <c r="X25" s="955">
        <v>0</v>
      </c>
      <c r="Y25" s="955">
        <v>0</v>
      </c>
      <c r="Z25" s="955">
        <v>0</v>
      </c>
      <c r="AA25" s="955">
        <v>0</v>
      </c>
      <c r="AB25" s="955">
        <v>0</v>
      </c>
      <c r="AC25" s="955">
        <v>0</v>
      </c>
      <c r="AD25" s="955">
        <v>0</v>
      </c>
      <c r="AE25" s="955">
        <v>0</v>
      </c>
      <c r="AF25" s="955">
        <v>0</v>
      </c>
      <c r="AG25" s="955">
        <v>0</v>
      </c>
      <c r="AH25" s="955">
        <v>0</v>
      </c>
      <c r="AI25" s="955">
        <v>0</v>
      </c>
      <c r="AJ25" s="955">
        <v>0</v>
      </c>
      <c r="AK25" s="955">
        <v>0</v>
      </c>
      <c r="AL25" s="955">
        <v>0</v>
      </c>
      <c r="AM25" s="931"/>
    </row>
    <row r="26" spans="1:39">
      <c r="A26" s="944" t="s">
        <v>18</v>
      </c>
      <c r="B26" s="934"/>
      <c r="C26" s="934" t="s">
        <v>1502</v>
      </c>
      <c r="D26" s="934"/>
      <c r="E26" s="934"/>
      <c r="F26" s="934"/>
      <c r="G26" s="934"/>
      <c r="H26" s="934"/>
      <c r="I26" s="934"/>
      <c r="J26" s="934"/>
      <c r="K26" s="934"/>
      <c r="L26" s="946" t="s">
        <v>122</v>
      </c>
      <c r="M26" s="925" t="s">
        <v>1090</v>
      </c>
      <c r="N26" s="902" t="s">
        <v>310</v>
      </c>
      <c r="O26" s="930"/>
      <c r="P26" s="930"/>
      <c r="Q26" s="930"/>
      <c r="R26" s="930"/>
      <c r="S26" s="930"/>
      <c r="T26" s="930"/>
      <c r="U26" s="930"/>
      <c r="V26" s="930"/>
      <c r="W26" s="930"/>
      <c r="X26" s="930"/>
      <c r="Y26" s="930"/>
      <c r="Z26" s="930"/>
      <c r="AA26" s="930"/>
      <c r="AB26" s="930"/>
      <c r="AC26" s="930"/>
      <c r="AD26" s="930"/>
      <c r="AE26" s="930"/>
      <c r="AF26" s="930"/>
      <c r="AG26" s="930"/>
      <c r="AH26" s="930"/>
      <c r="AI26" s="930"/>
      <c r="AJ26" s="930"/>
      <c r="AK26" s="930"/>
      <c r="AL26" s="930"/>
      <c r="AM26" s="931"/>
    </row>
    <row r="27" spans="1:39">
      <c r="A27" s="944" t="s">
        <v>18</v>
      </c>
      <c r="B27" s="934"/>
      <c r="C27" s="934" t="s">
        <v>1503</v>
      </c>
      <c r="D27" s="934"/>
      <c r="E27" s="934"/>
      <c r="F27" s="934"/>
      <c r="G27" s="934"/>
      <c r="H27" s="934"/>
      <c r="I27" s="934"/>
      <c r="J27" s="934"/>
      <c r="K27" s="934"/>
      <c r="L27" s="946" t="s">
        <v>123</v>
      </c>
      <c r="M27" s="925" t="s">
        <v>314</v>
      </c>
      <c r="N27" s="902" t="s">
        <v>310</v>
      </c>
      <c r="O27" s="930"/>
      <c r="P27" s="930"/>
      <c r="Q27" s="930"/>
      <c r="R27" s="930"/>
      <c r="S27" s="930"/>
      <c r="T27" s="930"/>
      <c r="U27" s="930"/>
      <c r="V27" s="930"/>
      <c r="W27" s="930"/>
      <c r="X27" s="930"/>
      <c r="Y27" s="930"/>
      <c r="Z27" s="930"/>
      <c r="AA27" s="930"/>
      <c r="AB27" s="930"/>
      <c r="AC27" s="930"/>
      <c r="AD27" s="930"/>
      <c r="AE27" s="930"/>
      <c r="AF27" s="930"/>
      <c r="AG27" s="930"/>
      <c r="AH27" s="930"/>
      <c r="AI27" s="930"/>
      <c r="AJ27" s="930"/>
      <c r="AK27" s="930"/>
      <c r="AL27" s="930"/>
      <c r="AM27" s="931"/>
    </row>
    <row r="28" spans="1:39">
      <c r="A28" s="944" t="s">
        <v>18</v>
      </c>
      <c r="B28" s="934"/>
      <c r="C28" s="934" t="s">
        <v>1486</v>
      </c>
      <c r="D28" s="934"/>
      <c r="E28" s="934"/>
      <c r="F28" s="934"/>
      <c r="G28" s="934"/>
      <c r="H28" s="934"/>
      <c r="I28" s="934"/>
      <c r="J28" s="934"/>
      <c r="K28" s="934"/>
      <c r="L28" s="946" t="s">
        <v>124</v>
      </c>
      <c r="M28" s="947" t="s">
        <v>315</v>
      </c>
      <c r="N28" s="902" t="s">
        <v>310</v>
      </c>
      <c r="O28" s="953"/>
      <c r="P28" s="953"/>
      <c r="Q28" s="953"/>
      <c r="R28" s="953"/>
      <c r="S28" s="953"/>
      <c r="T28" s="953"/>
      <c r="U28" s="953"/>
      <c r="V28" s="953"/>
      <c r="W28" s="953"/>
      <c r="X28" s="953"/>
      <c r="Y28" s="953"/>
      <c r="Z28" s="953"/>
      <c r="AA28" s="953"/>
      <c r="AB28" s="953"/>
      <c r="AC28" s="953"/>
      <c r="AD28" s="953"/>
      <c r="AE28" s="953"/>
      <c r="AF28" s="953"/>
      <c r="AG28" s="953"/>
      <c r="AH28" s="953"/>
      <c r="AI28" s="953"/>
      <c r="AJ28" s="953"/>
      <c r="AK28" s="953"/>
      <c r="AL28" s="953"/>
      <c r="AM28" s="931"/>
    </row>
    <row r="29" spans="1:39">
      <c r="A29" s="944" t="s">
        <v>18</v>
      </c>
      <c r="B29" s="934"/>
      <c r="C29" s="934" t="s">
        <v>1487</v>
      </c>
      <c r="D29" s="934"/>
      <c r="E29" s="934"/>
      <c r="F29" s="934"/>
      <c r="G29" s="934"/>
      <c r="H29" s="934"/>
      <c r="I29" s="934"/>
      <c r="J29" s="934"/>
      <c r="K29" s="934"/>
      <c r="L29" s="946" t="s">
        <v>125</v>
      </c>
      <c r="M29" s="947" t="s">
        <v>316</v>
      </c>
      <c r="N29" s="902" t="s">
        <v>310</v>
      </c>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1"/>
    </row>
    <row r="30" spans="1:39">
      <c r="A30" s="944" t="s">
        <v>18</v>
      </c>
      <c r="B30" s="934"/>
      <c r="C30" s="934" t="s">
        <v>1494</v>
      </c>
      <c r="D30" s="934"/>
      <c r="E30" s="934"/>
      <c r="F30" s="934"/>
      <c r="G30" s="934"/>
      <c r="H30" s="934"/>
      <c r="I30" s="934"/>
      <c r="J30" s="934"/>
      <c r="K30" s="934"/>
      <c r="L30" s="946" t="s">
        <v>126</v>
      </c>
      <c r="M30" s="954" t="s">
        <v>317</v>
      </c>
      <c r="N30" s="902" t="s">
        <v>310</v>
      </c>
      <c r="O30" s="955">
        <v>40</v>
      </c>
      <c r="P30" s="955">
        <v>40</v>
      </c>
      <c r="Q30" s="955">
        <v>40</v>
      </c>
      <c r="R30" s="955">
        <v>40</v>
      </c>
      <c r="S30" s="955">
        <v>40</v>
      </c>
      <c r="T30" s="955">
        <v>40</v>
      </c>
      <c r="U30" s="955">
        <v>40</v>
      </c>
      <c r="V30" s="955">
        <v>40</v>
      </c>
      <c r="W30" s="955">
        <v>40</v>
      </c>
      <c r="X30" s="955">
        <v>40</v>
      </c>
      <c r="Y30" s="955">
        <v>40</v>
      </c>
      <c r="Z30" s="955">
        <v>40</v>
      </c>
      <c r="AA30" s="955">
        <v>40</v>
      </c>
      <c r="AB30" s="955">
        <v>40</v>
      </c>
      <c r="AC30" s="955">
        <v>40</v>
      </c>
      <c r="AD30" s="955">
        <v>40</v>
      </c>
      <c r="AE30" s="955">
        <v>40</v>
      </c>
      <c r="AF30" s="955">
        <v>40</v>
      </c>
      <c r="AG30" s="955">
        <v>40</v>
      </c>
      <c r="AH30" s="955">
        <v>0</v>
      </c>
      <c r="AI30" s="955">
        <v>0</v>
      </c>
      <c r="AJ30" s="955">
        <v>0</v>
      </c>
      <c r="AK30" s="955">
        <v>0</v>
      </c>
      <c r="AL30" s="955">
        <v>0</v>
      </c>
      <c r="AM30" s="931"/>
    </row>
    <row r="31" spans="1:39" ht="22.5">
      <c r="A31" s="944" t="s">
        <v>18</v>
      </c>
      <c r="B31" s="934"/>
      <c r="C31" s="934" t="s">
        <v>1504</v>
      </c>
      <c r="D31" s="934"/>
      <c r="E31" s="934"/>
      <c r="F31" s="934"/>
      <c r="G31" s="934"/>
      <c r="H31" s="934"/>
      <c r="I31" s="934"/>
      <c r="J31" s="934"/>
      <c r="K31" s="934"/>
      <c r="L31" s="946" t="s">
        <v>141</v>
      </c>
      <c r="M31" s="925" t="s">
        <v>318</v>
      </c>
      <c r="N31" s="902" t="s">
        <v>310</v>
      </c>
      <c r="O31" s="930">
        <v>40</v>
      </c>
      <c r="P31" s="930">
        <v>40</v>
      </c>
      <c r="Q31" s="930">
        <v>40</v>
      </c>
      <c r="R31" s="930">
        <v>40</v>
      </c>
      <c r="S31" s="930">
        <v>40</v>
      </c>
      <c r="T31" s="930">
        <v>40</v>
      </c>
      <c r="U31" s="930">
        <v>40</v>
      </c>
      <c r="V31" s="930">
        <v>40</v>
      </c>
      <c r="W31" s="930">
        <v>40</v>
      </c>
      <c r="X31" s="930">
        <v>40</v>
      </c>
      <c r="Y31" s="930">
        <v>40</v>
      </c>
      <c r="Z31" s="930">
        <v>40</v>
      </c>
      <c r="AA31" s="930">
        <v>40</v>
      </c>
      <c r="AB31" s="930">
        <v>40</v>
      </c>
      <c r="AC31" s="930">
        <v>40</v>
      </c>
      <c r="AD31" s="930">
        <v>40</v>
      </c>
      <c r="AE31" s="930">
        <v>40</v>
      </c>
      <c r="AF31" s="930">
        <v>40</v>
      </c>
      <c r="AG31" s="930">
        <v>40</v>
      </c>
      <c r="AH31" s="930"/>
      <c r="AI31" s="930"/>
      <c r="AJ31" s="930"/>
      <c r="AK31" s="930"/>
      <c r="AL31" s="930"/>
      <c r="AM31" s="931"/>
    </row>
    <row r="32" spans="1:39">
      <c r="A32" s="944" t="s">
        <v>18</v>
      </c>
      <c r="B32" s="934"/>
      <c r="C32" s="934" t="s">
        <v>1505</v>
      </c>
      <c r="D32" s="934"/>
      <c r="E32" s="934"/>
      <c r="F32" s="934"/>
      <c r="G32" s="934"/>
      <c r="H32" s="934"/>
      <c r="I32" s="934"/>
      <c r="J32" s="934"/>
      <c r="K32" s="934"/>
      <c r="L32" s="946" t="s">
        <v>183</v>
      </c>
      <c r="M32" s="925" t="s">
        <v>319</v>
      </c>
      <c r="N32" s="902" t="s">
        <v>310</v>
      </c>
      <c r="O32" s="930"/>
      <c r="P32" s="930"/>
      <c r="Q32" s="930"/>
      <c r="R32" s="930"/>
      <c r="S32" s="930"/>
      <c r="T32" s="930"/>
      <c r="U32" s="930"/>
      <c r="V32" s="930"/>
      <c r="W32" s="930"/>
      <c r="X32" s="930"/>
      <c r="Y32" s="930"/>
      <c r="Z32" s="930"/>
      <c r="AA32" s="930"/>
      <c r="AB32" s="930"/>
      <c r="AC32" s="930"/>
      <c r="AD32" s="930"/>
      <c r="AE32" s="930"/>
      <c r="AF32" s="930"/>
      <c r="AG32" s="930"/>
      <c r="AH32" s="930"/>
      <c r="AI32" s="930"/>
      <c r="AJ32" s="930"/>
      <c r="AK32" s="930"/>
      <c r="AL32" s="930"/>
      <c r="AM32" s="931"/>
    </row>
    <row r="33" spans="1:39" ht="22.5">
      <c r="A33" s="944" t="s">
        <v>18</v>
      </c>
      <c r="B33" s="934"/>
      <c r="C33" s="934" t="s">
        <v>1506</v>
      </c>
      <c r="D33" s="934"/>
      <c r="E33" s="934"/>
      <c r="F33" s="934"/>
      <c r="G33" s="934"/>
      <c r="H33" s="934"/>
      <c r="I33" s="934"/>
      <c r="J33" s="934"/>
      <c r="K33" s="934"/>
      <c r="L33" s="946" t="s">
        <v>389</v>
      </c>
      <c r="M33" s="925" t="s">
        <v>1131</v>
      </c>
      <c r="N33" s="902" t="s">
        <v>310</v>
      </c>
      <c r="O33" s="930"/>
      <c r="P33" s="930"/>
      <c r="Q33" s="930"/>
      <c r="R33" s="930"/>
      <c r="S33" s="930"/>
      <c r="T33" s="930"/>
      <c r="U33" s="930"/>
      <c r="V33" s="930"/>
      <c r="W33" s="930"/>
      <c r="X33" s="930"/>
      <c r="Y33" s="930"/>
      <c r="Z33" s="930"/>
      <c r="AA33" s="930"/>
      <c r="AB33" s="930"/>
      <c r="AC33" s="930"/>
      <c r="AD33" s="930"/>
      <c r="AE33" s="930"/>
      <c r="AF33" s="930"/>
      <c r="AG33" s="930"/>
      <c r="AH33" s="930"/>
      <c r="AI33" s="930"/>
      <c r="AJ33" s="930"/>
      <c r="AK33" s="930"/>
      <c r="AL33" s="930"/>
      <c r="AM33" s="931"/>
    </row>
    <row r="34" spans="1:39">
      <c r="A34" s="944" t="s">
        <v>18</v>
      </c>
      <c r="B34" s="934"/>
      <c r="C34" s="934" t="s">
        <v>1495</v>
      </c>
      <c r="D34" s="934"/>
      <c r="E34" s="934"/>
      <c r="F34" s="934"/>
      <c r="G34" s="934"/>
      <c r="H34" s="934"/>
      <c r="I34" s="934"/>
      <c r="J34" s="934"/>
      <c r="K34" s="934"/>
      <c r="L34" s="946" t="s">
        <v>127</v>
      </c>
      <c r="M34" s="947" t="s">
        <v>1150</v>
      </c>
      <c r="N34" s="902" t="s">
        <v>310</v>
      </c>
      <c r="O34" s="930"/>
      <c r="P34" s="930"/>
      <c r="Q34" s="930"/>
      <c r="R34" s="930"/>
      <c r="S34" s="930"/>
      <c r="T34" s="930"/>
      <c r="U34" s="930"/>
      <c r="V34" s="930"/>
      <c r="W34" s="930"/>
      <c r="X34" s="930"/>
      <c r="Y34" s="930"/>
      <c r="Z34" s="930"/>
      <c r="AA34" s="930"/>
      <c r="AB34" s="930"/>
      <c r="AC34" s="930"/>
      <c r="AD34" s="930"/>
      <c r="AE34" s="930"/>
      <c r="AF34" s="930"/>
      <c r="AG34" s="930"/>
      <c r="AH34" s="930"/>
      <c r="AI34" s="930"/>
      <c r="AJ34" s="930"/>
      <c r="AK34" s="930"/>
      <c r="AL34" s="930"/>
      <c r="AM34" s="931"/>
    </row>
    <row r="35" spans="1:39">
      <c r="A35" s="944" t="s">
        <v>18</v>
      </c>
      <c r="B35" s="934"/>
      <c r="C35" s="934" t="s">
        <v>1507</v>
      </c>
      <c r="D35" s="934"/>
      <c r="E35" s="934"/>
      <c r="F35" s="934"/>
      <c r="G35" s="934"/>
      <c r="H35" s="934"/>
      <c r="I35" s="934"/>
      <c r="J35" s="934"/>
      <c r="K35" s="934"/>
      <c r="L35" s="946" t="s">
        <v>1248</v>
      </c>
      <c r="M35" s="956" t="s">
        <v>321</v>
      </c>
      <c r="N35" s="957" t="s">
        <v>137</v>
      </c>
      <c r="O35" s="955">
        <v>0</v>
      </c>
      <c r="P35" s="955">
        <v>0</v>
      </c>
      <c r="Q35" s="955">
        <v>0</v>
      </c>
      <c r="R35" s="955">
        <v>0</v>
      </c>
      <c r="S35" s="955">
        <v>0</v>
      </c>
      <c r="T35" s="955">
        <v>0</v>
      </c>
      <c r="U35" s="955">
        <v>0</v>
      </c>
      <c r="V35" s="955">
        <v>0</v>
      </c>
      <c r="W35" s="955">
        <v>0</v>
      </c>
      <c r="X35" s="955">
        <v>0</v>
      </c>
      <c r="Y35" s="955">
        <v>0</v>
      </c>
      <c r="Z35" s="955">
        <v>0</v>
      </c>
      <c r="AA35" s="955">
        <v>0</v>
      </c>
      <c r="AB35" s="955">
        <v>0</v>
      </c>
      <c r="AC35" s="955">
        <v>0</v>
      </c>
      <c r="AD35" s="955">
        <v>0</v>
      </c>
      <c r="AE35" s="955">
        <v>0</v>
      </c>
      <c r="AF35" s="955">
        <v>0</v>
      </c>
      <c r="AG35" s="955">
        <v>0</v>
      </c>
      <c r="AH35" s="955">
        <v>0</v>
      </c>
      <c r="AI35" s="955">
        <v>0</v>
      </c>
      <c r="AJ35" s="955">
        <v>0</v>
      </c>
      <c r="AK35" s="955">
        <v>0</v>
      </c>
      <c r="AL35" s="955">
        <v>0</v>
      </c>
      <c r="AM35" s="931"/>
    </row>
    <row r="36" spans="1:39">
      <c r="A36" s="944" t="s">
        <v>18</v>
      </c>
      <c r="B36" s="934"/>
      <c r="C36" s="934" t="s">
        <v>1496</v>
      </c>
      <c r="D36" s="934"/>
      <c r="E36" s="934"/>
      <c r="F36" s="934"/>
      <c r="G36" s="934"/>
      <c r="H36" s="934"/>
      <c r="I36" s="934"/>
      <c r="J36" s="934"/>
      <c r="K36" s="934"/>
      <c r="L36" s="946" t="s">
        <v>128</v>
      </c>
      <c r="M36" s="947" t="s">
        <v>322</v>
      </c>
      <c r="N36" s="902" t="s">
        <v>310</v>
      </c>
      <c r="O36" s="955">
        <v>40</v>
      </c>
      <c r="P36" s="955">
        <v>40</v>
      </c>
      <c r="Q36" s="955">
        <v>40</v>
      </c>
      <c r="R36" s="955">
        <v>40</v>
      </c>
      <c r="S36" s="955">
        <v>40</v>
      </c>
      <c r="T36" s="955">
        <v>40</v>
      </c>
      <c r="U36" s="955">
        <v>40</v>
      </c>
      <c r="V36" s="955">
        <v>40</v>
      </c>
      <c r="W36" s="955">
        <v>40</v>
      </c>
      <c r="X36" s="955">
        <v>40</v>
      </c>
      <c r="Y36" s="955">
        <v>40</v>
      </c>
      <c r="Z36" s="955">
        <v>40</v>
      </c>
      <c r="AA36" s="955">
        <v>40</v>
      </c>
      <c r="AB36" s="955">
        <v>40</v>
      </c>
      <c r="AC36" s="955">
        <v>40</v>
      </c>
      <c r="AD36" s="955">
        <v>40</v>
      </c>
      <c r="AE36" s="955">
        <v>40</v>
      </c>
      <c r="AF36" s="955">
        <v>40</v>
      </c>
      <c r="AG36" s="955">
        <v>40</v>
      </c>
      <c r="AH36" s="955">
        <v>0</v>
      </c>
      <c r="AI36" s="955">
        <v>0</v>
      </c>
      <c r="AJ36" s="955">
        <v>0</v>
      </c>
      <c r="AK36" s="955">
        <v>0</v>
      </c>
      <c r="AL36" s="955">
        <v>0</v>
      </c>
      <c r="AM36" s="931"/>
    </row>
    <row r="37" spans="1:39">
      <c r="A37" s="944" t="s">
        <v>18</v>
      </c>
      <c r="B37" s="934"/>
      <c r="C37" s="934" t="s">
        <v>1508</v>
      </c>
      <c r="D37" s="934"/>
      <c r="E37" s="934"/>
      <c r="F37" s="934"/>
      <c r="G37" s="934"/>
      <c r="H37" s="934"/>
      <c r="I37" s="934"/>
      <c r="J37" s="934"/>
      <c r="K37" s="934"/>
      <c r="L37" s="946" t="s">
        <v>1196</v>
      </c>
      <c r="M37" s="925" t="s">
        <v>323</v>
      </c>
      <c r="N37" s="902" t="s">
        <v>310</v>
      </c>
      <c r="O37" s="955">
        <v>0</v>
      </c>
      <c r="P37" s="955">
        <v>0</v>
      </c>
      <c r="Q37" s="955">
        <v>0</v>
      </c>
      <c r="R37" s="955">
        <v>0</v>
      </c>
      <c r="S37" s="955">
        <v>0</v>
      </c>
      <c r="T37" s="955">
        <v>0</v>
      </c>
      <c r="U37" s="955">
        <v>0</v>
      </c>
      <c r="V37" s="955">
        <v>0</v>
      </c>
      <c r="W37" s="955">
        <v>0</v>
      </c>
      <c r="X37" s="955">
        <v>0</v>
      </c>
      <c r="Y37" s="955">
        <v>0</v>
      </c>
      <c r="Z37" s="955">
        <v>0</v>
      </c>
      <c r="AA37" s="955">
        <v>0</v>
      </c>
      <c r="AB37" s="955">
        <v>0</v>
      </c>
      <c r="AC37" s="955">
        <v>0</v>
      </c>
      <c r="AD37" s="955">
        <v>0</v>
      </c>
      <c r="AE37" s="955">
        <v>0</v>
      </c>
      <c r="AF37" s="955">
        <v>0</v>
      </c>
      <c r="AG37" s="955">
        <v>0</v>
      </c>
      <c r="AH37" s="955">
        <v>0</v>
      </c>
      <c r="AI37" s="955">
        <v>0</v>
      </c>
      <c r="AJ37" s="955">
        <v>0</v>
      </c>
      <c r="AK37" s="955">
        <v>0</v>
      </c>
      <c r="AL37" s="955">
        <v>0</v>
      </c>
      <c r="AM37" s="931"/>
    </row>
    <row r="38" spans="1:39">
      <c r="A38" s="944" t="s">
        <v>18</v>
      </c>
      <c r="B38" s="934"/>
      <c r="C38" s="934" t="s">
        <v>1509</v>
      </c>
      <c r="D38" s="934"/>
      <c r="E38" s="934"/>
      <c r="F38" s="934"/>
      <c r="G38" s="934"/>
      <c r="H38" s="934"/>
      <c r="I38" s="934"/>
      <c r="J38" s="934"/>
      <c r="K38" s="934"/>
      <c r="L38" s="946" t="s">
        <v>1249</v>
      </c>
      <c r="M38" s="958" t="s">
        <v>324</v>
      </c>
      <c r="N38" s="902" t="s">
        <v>310</v>
      </c>
      <c r="O38" s="930"/>
      <c r="P38" s="930"/>
      <c r="Q38" s="930"/>
      <c r="R38" s="930"/>
      <c r="S38" s="930"/>
      <c r="T38" s="930"/>
      <c r="U38" s="930"/>
      <c r="V38" s="930"/>
      <c r="W38" s="930"/>
      <c r="X38" s="930"/>
      <c r="Y38" s="930"/>
      <c r="Z38" s="930"/>
      <c r="AA38" s="930"/>
      <c r="AB38" s="930"/>
      <c r="AC38" s="930"/>
      <c r="AD38" s="930"/>
      <c r="AE38" s="930"/>
      <c r="AF38" s="930"/>
      <c r="AG38" s="930"/>
      <c r="AH38" s="930"/>
      <c r="AI38" s="930"/>
      <c r="AJ38" s="930"/>
      <c r="AK38" s="930"/>
      <c r="AL38" s="930"/>
      <c r="AM38" s="931"/>
    </row>
    <row r="39" spans="1:39">
      <c r="A39" s="944" t="s">
        <v>18</v>
      </c>
      <c r="B39" s="934"/>
      <c r="C39" s="934" t="s">
        <v>1510</v>
      </c>
      <c r="D39" s="934"/>
      <c r="E39" s="934"/>
      <c r="F39" s="934"/>
      <c r="G39" s="934"/>
      <c r="H39" s="934"/>
      <c r="I39" s="934"/>
      <c r="J39" s="934"/>
      <c r="K39" s="934"/>
      <c r="L39" s="946" t="s">
        <v>1250</v>
      </c>
      <c r="M39" s="958" t="s">
        <v>325</v>
      </c>
      <c r="N39" s="902" t="s">
        <v>310</v>
      </c>
      <c r="O39" s="930"/>
      <c r="P39" s="930"/>
      <c r="Q39" s="930"/>
      <c r="R39" s="930"/>
      <c r="S39" s="930"/>
      <c r="T39" s="930"/>
      <c r="U39" s="930"/>
      <c r="V39" s="930"/>
      <c r="W39" s="930"/>
      <c r="X39" s="930"/>
      <c r="Y39" s="930"/>
      <c r="Z39" s="930"/>
      <c r="AA39" s="930"/>
      <c r="AB39" s="930"/>
      <c r="AC39" s="930"/>
      <c r="AD39" s="930"/>
      <c r="AE39" s="930"/>
      <c r="AF39" s="930"/>
      <c r="AG39" s="930"/>
      <c r="AH39" s="930"/>
      <c r="AI39" s="930"/>
      <c r="AJ39" s="930"/>
      <c r="AK39" s="930"/>
      <c r="AL39" s="930"/>
      <c r="AM39" s="931"/>
    </row>
    <row r="40" spans="1:39">
      <c r="A40" s="944" t="s">
        <v>18</v>
      </c>
      <c r="B40" s="934"/>
      <c r="C40" s="934" t="s">
        <v>1511</v>
      </c>
      <c r="D40" s="934"/>
      <c r="E40" s="934"/>
      <c r="F40" s="934"/>
      <c r="G40" s="934"/>
      <c r="H40" s="934"/>
      <c r="I40" s="934"/>
      <c r="J40" s="934"/>
      <c r="K40" s="934"/>
      <c r="L40" s="946" t="s">
        <v>1251</v>
      </c>
      <c r="M40" s="958" t="s">
        <v>326</v>
      </c>
      <c r="N40" s="902" t="s">
        <v>310</v>
      </c>
      <c r="O40" s="930"/>
      <c r="P40" s="930"/>
      <c r="Q40" s="930"/>
      <c r="R40" s="930"/>
      <c r="S40" s="930"/>
      <c r="T40" s="930"/>
      <c r="U40" s="930"/>
      <c r="V40" s="930"/>
      <c r="W40" s="930"/>
      <c r="X40" s="930"/>
      <c r="Y40" s="930"/>
      <c r="Z40" s="930"/>
      <c r="AA40" s="930"/>
      <c r="AB40" s="930"/>
      <c r="AC40" s="930"/>
      <c r="AD40" s="930"/>
      <c r="AE40" s="930"/>
      <c r="AF40" s="930"/>
      <c r="AG40" s="930"/>
      <c r="AH40" s="930"/>
      <c r="AI40" s="930"/>
      <c r="AJ40" s="930"/>
      <c r="AK40" s="930"/>
      <c r="AL40" s="930"/>
      <c r="AM40" s="931"/>
    </row>
    <row r="41" spans="1:39">
      <c r="A41" s="944" t="s">
        <v>18</v>
      </c>
      <c r="B41" s="934" t="s">
        <v>1128</v>
      </c>
      <c r="C41" s="934" t="s">
        <v>1512</v>
      </c>
      <c r="D41" s="934"/>
      <c r="E41" s="934"/>
      <c r="F41" s="934"/>
      <c r="G41" s="934"/>
      <c r="H41" s="934"/>
      <c r="I41" s="934"/>
      <c r="J41" s="934"/>
      <c r="K41" s="934"/>
      <c r="L41" s="946" t="s">
        <v>1252</v>
      </c>
      <c r="M41" s="925" t="s">
        <v>327</v>
      </c>
      <c r="N41" s="902" t="s">
        <v>310</v>
      </c>
      <c r="O41" s="955">
        <v>0</v>
      </c>
      <c r="P41" s="955">
        <v>0</v>
      </c>
      <c r="Q41" s="955">
        <v>0</v>
      </c>
      <c r="R41" s="955">
        <v>0</v>
      </c>
      <c r="S41" s="955">
        <v>0</v>
      </c>
      <c r="T41" s="955">
        <v>0</v>
      </c>
      <c r="U41" s="955">
        <v>0</v>
      </c>
      <c r="V41" s="955">
        <v>0</v>
      </c>
      <c r="W41" s="955">
        <v>0</v>
      </c>
      <c r="X41" s="955">
        <v>0</v>
      </c>
      <c r="Y41" s="955">
        <v>0</v>
      </c>
      <c r="Z41" s="955">
        <v>0</v>
      </c>
      <c r="AA41" s="955">
        <v>0</v>
      </c>
      <c r="AB41" s="955">
        <v>0</v>
      </c>
      <c r="AC41" s="955">
        <v>0</v>
      </c>
      <c r="AD41" s="955">
        <v>0</v>
      </c>
      <c r="AE41" s="955">
        <v>0</v>
      </c>
      <c r="AF41" s="955">
        <v>0</v>
      </c>
      <c r="AG41" s="955">
        <v>0</v>
      </c>
      <c r="AH41" s="955">
        <v>0</v>
      </c>
      <c r="AI41" s="955">
        <v>0</v>
      </c>
      <c r="AJ41" s="955">
        <v>0</v>
      </c>
      <c r="AK41" s="955">
        <v>0</v>
      </c>
      <c r="AL41" s="955">
        <v>0</v>
      </c>
      <c r="AM41" s="931"/>
    </row>
    <row r="42" spans="1:39">
      <c r="A42" s="944" t="s">
        <v>18</v>
      </c>
      <c r="B42" s="934"/>
      <c r="C42" s="934" t="s">
        <v>1513</v>
      </c>
      <c r="D42" s="934"/>
      <c r="E42" s="934"/>
      <c r="F42" s="934"/>
      <c r="G42" s="934"/>
      <c r="H42" s="934"/>
      <c r="I42" s="934"/>
      <c r="J42" s="934"/>
      <c r="K42" s="934"/>
      <c r="L42" s="946" t="s">
        <v>1253</v>
      </c>
      <c r="M42" s="958" t="s">
        <v>328</v>
      </c>
      <c r="N42" s="902" t="s">
        <v>310</v>
      </c>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1"/>
    </row>
    <row r="43" spans="1:39">
      <c r="A43" s="944" t="s">
        <v>18</v>
      </c>
      <c r="B43" s="934"/>
      <c r="C43" s="934" t="s">
        <v>1514</v>
      </c>
      <c r="D43" s="934"/>
      <c r="E43" s="934"/>
      <c r="F43" s="934"/>
      <c r="G43" s="934"/>
      <c r="H43" s="934"/>
      <c r="I43" s="934"/>
      <c r="J43" s="934"/>
      <c r="K43" s="934"/>
      <c r="L43" s="946" t="s">
        <v>1254</v>
      </c>
      <c r="M43" s="958" t="s">
        <v>329</v>
      </c>
      <c r="N43" s="902" t="s">
        <v>310</v>
      </c>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1"/>
    </row>
    <row r="44" spans="1:39">
      <c r="A44" s="944" t="s">
        <v>18</v>
      </c>
      <c r="B44" s="934" t="s">
        <v>1128</v>
      </c>
      <c r="C44" s="934" t="s">
        <v>1515</v>
      </c>
      <c r="D44" s="934"/>
      <c r="E44" s="934"/>
      <c r="F44" s="934"/>
      <c r="G44" s="934"/>
      <c r="H44" s="934"/>
      <c r="I44" s="934"/>
      <c r="J44" s="934"/>
      <c r="K44" s="934"/>
      <c r="L44" s="946" t="s">
        <v>1255</v>
      </c>
      <c r="M44" s="925" t="s">
        <v>1151</v>
      </c>
      <c r="N44" s="902" t="s">
        <v>310</v>
      </c>
      <c r="O44" s="955">
        <v>40</v>
      </c>
      <c r="P44" s="955">
        <v>40</v>
      </c>
      <c r="Q44" s="955">
        <v>40</v>
      </c>
      <c r="R44" s="955">
        <v>40</v>
      </c>
      <c r="S44" s="955">
        <v>40</v>
      </c>
      <c r="T44" s="955">
        <v>40</v>
      </c>
      <c r="U44" s="955">
        <v>40</v>
      </c>
      <c r="V44" s="955">
        <v>40</v>
      </c>
      <c r="W44" s="955">
        <v>40</v>
      </c>
      <c r="X44" s="955">
        <v>40</v>
      </c>
      <c r="Y44" s="955">
        <v>40</v>
      </c>
      <c r="Z44" s="955">
        <v>40</v>
      </c>
      <c r="AA44" s="955">
        <v>40</v>
      </c>
      <c r="AB44" s="955">
        <v>40</v>
      </c>
      <c r="AC44" s="955">
        <v>40</v>
      </c>
      <c r="AD44" s="955">
        <v>40</v>
      </c>
      <c r="AE44" s="955">
        <v>40</v>
      </c>
      <c r="AF44" s="955">
        <v>40</v>
      </c>
      <c r="AG44" s="955">
        <v>40</v>
      </c>
      <c r="AH44" s="955">
        <v>0</v>
      </c>
      <c r="AI44" s="955">
        <v>0</v>
      </c>
      <c r="AJ44" s="955">
        <v>0</v>
      </c>
      <c r="AK44" s="955">
        <v>0</v>
      </c>
      <c r="AL44" s="955">
        <v>0</v>
      </c>
      <c r="AM44" s="931"/>
    </row>
    <row r="45" spans="1:39">
      <c r="A45" s="944" t="s">
        <v>18</v>
      </c>
      <c r="B45" s="934"/>
      <c r="C45" s="934" t="s">
        <v>1516</v>
      </c>
      <c r="D45" s="934"/>
      <c r="E45" s="934"/>
      <c r="F45" s="934"/>
      <c r="G45" s="934"/>
      <c r="H45" s="934"/>
      <c r="I45" s="934"/>
      <c r="J45" s="934"/>
      <c r="K45" s="934"/>
      <c r="L45" s="946" t="s">
        <v>1256</v>
      </c>
      <c r="M45" s="958" t="s">
        <v>330</v>
      </c>
      <c r="N45" s="902" t="s">
        <v>310</v>
      </c>
      <c r="O45" s="955">
        <v>0.5</v>
      </c>
      <c r="P45" s="955">
        <v>0.5</v>
      </c>
      <c r="Q45" s="955">
        <v>0.5</v>
      </c>
      <c r="R45" s="955">
        <v>0.5</v>
      </c>
      <c r="S45" s="955">
        <v>0.5</v>
      </c>
      <c r="T45" s="955">
        <v>0.5</v>
      </c>
      <c r="U45" s="955">
        <v>0.5</v>
      </c>
      <c r="V45" s="955">
        <v>0.5</v>
      </c>
      <c r="W45" s="955">
        <v>0.5</v>
      </c>
      <c r="X45" s="955">
        <v>0.5</v>
      </c>
      <c r="Y45" s="955">
        <v>0.5</v>
      </c>
      <c r="Z45" s="955">
        <v>0.5</v>
      </c>
      <c r="AA45" s="955">
        <v>0.5</v>
      </c>
      <c r="AB45" s="955">
        <v>0.5</v>
      </c>
      <c r="AC45" s="955">
        <v>0.5</v>
      </c>
      <c r="AD45" s="955">
        <v>0.5</v>
      </c>
      <c r="AE45" s="955">
        <v>0.5</v>
      </c>
      <c r="AF45" s="955">
        <v>0.5</v>
      </c>
      <c r="AG45" s="955">
        <v>0.5</v>
      </c>
      <c r="AH45" s="955">
        <v>0</v>
      </c>
      <c r="AI45" s="955">
        <v>0</v>
      </c>
      <c r="AJ45" s="955">
        <v>0</v>
      </c>
      <c r="AK45" s="955">
        <v>0</v>
      </c>
      <c r="AL45" s="955">
        <v>0</v>
      </c>
      <c r="AM45" s="931"/>
    </row>
    <row r="46" spans="1:39">
      <c r="A46" s="944" t="s">
        <v>18</v>
      </c>
      <c r="B46" s="934"/>
      <c r="C46" s="934" t="s">
        <v>1517</v>
      </c>
      <c r="D46" s="934"/>
      <c r="E46" s="934"/>
      <c r="F46" s="934"/>
      <c r="G46" s="934"/>
      <c r="H46" s="934"/>
      <c r="I46" s="934"/>
      <c r="J46" s="934"/>
      <c r="K46" s="934"/>
      <c r="L46" s="946" t="s">
        <v>1257</v>
      </c>
      <c r="M46" s="959" t="s">
        <v>328</v>
      </c>
      <c r="N46" s="902" t="s">
        <v>310</v>
      </c>
      <c r="O46" s="930">
        <v>0.5</v>
      </c>
      <c r="P46" s="930">
        <v>0.5</v>
      </c>
      <c r="Q46" s="930">
        <v>0.5</v>
      </c>
      <c r="R46" s="930">
        <v>0.5</v>
      </c>
      <c r="S46" s="930">
        <v>0.5</v>
      </c>
      <c r="T46" s="930">
        <v>0.5</v>
      </c>
      <c r="U46" s="930">
        <v>0.5</v>
      </c>
      <c r="V46" s="930">
        <v>0.5</v>
      </c>
      <c r="W46" s="930">
        <v>0.5</v>
      </c>
      <c r="X46" s="930">
        <v>0.5</v>
      </c>
      <c r="Y46" s="930">
        <v>0.5</v>
      </c>
      <c r="Z46" s="930">
        <v>0.5</v>
      </c>
      <c r="AA46" s="930">
        <v>0.5</v>
      </c>
      <c r="AB46" s="930">
        <v>0.5</v>
      </c>
      <c r="AC46" s="930">
        <v>0.5</v>
      </c>
      <c r="AD46" s="930">
        <v>0.5</v>
      </c>
      <c r="AE46" s="930">
        <v>0.5</v>
      </c>
      <c r="AF46" s="930">
        <v>0.5</v>
      </c>
      <c r="AG46" s="930">
        <v>0.5</v>
      </c>
      <c r="AH46" s="930"/>
      <c r="AI46" s="930"/>
      <c r="AJ46" s="930"/>
      <c r="AK46" s="930"/>
      <c r="AL46" s="930"/>
      <c r="AM46" s="931"/>
    </row>
    <row r="47" spans="1:39">
      <c r="A47" s="944" t="s">
        <v>18</v>
      </c>
      <c r="B47" s="934"/>
      <c r="C47" s="934" t="s">
        <v>1518</v>
      </c>
      <c r="D47" s="934"/>
      <c r="E47" s="934"/>
      <c r="F47" s="934"/>
      <c r="G47" s="934"/>
      <c r="H47" s="934"/>
      <c r="I47" s="934"/>
      <c r="J47" s="934"/>
      <c r="K47" s="934"/>
      <c r="L47" s="946" t="s">
        <v>1258</v>
      </c>
      <c r="M47" s="959" t="s">
        <v>329</v>
      </c>
      <c r="N47" s="902" t="s">
        <v>310</v>
      </c>
      <c r="O47" s="930"/>
      <c r="P47" s="930"/>
      <c r="Q47" s="930"/>
      <c r="R47" s="930"/>
      <c r="S47" s="930"/>
      <c r="T47" s="930"/>
      <c r="U47" s="930"/>
      <c r="V47" s="930"/>
      <c r="W47" s="930"/>
      <c r="X47" s="930"/>
      <c r="Y47" s="930"/>
      <c r="Z47" s="930"/>
      <c r="AA47" s="930"/>
      <c r="AB47" s="930"/>
      <c r="AC47" s="930"/>
      <c r="AD47" s="930"/>
      <c r="AE47" s="930"/>
      <c r="AF47" s="930"/>
      <c r="AG47" s="930"/>
      <c r="AH47" s="930"/>
      <c r="AI47" s="930"/>
      <c r="AJ47" s="930"/>
      <c r="AK47" s="930"/>
      <c r="AL47" s="930"/>
      <c r="AM47" s="931"/>
    </row>
    <row r="48" spans="1:39">
      <c r="A48" s="944" t="s">
        <v>18</v>
      </c>
      <c r="B48" s="934" t="s">
        <v>1129</v>
      </c>
      <c r="C48" s="934" t="s">
        <v>1519</v>
      </c>
      <c r="D48" s="934"/>
      <c r="E48" s="934"/>
      <c r="F48" s="934"/>
      <c r="G48" s="934"/>
      <c r="H48" s="934"/>
      <c r="I48" s="934"/>
      <c r="J48" s="934"/>
      <c r="K48" s="934"/>
      <c r="L48" s="946" t="s">
        <v>1259</v>
      </c>
      <c r="M48" s="958" t="s">
        <v>331</v>
      </c>
      <c r="N48" s="902" t="s">
        <v>310</v>
      </c>
      <c r="O48" s="955">
        <v>39.5</v>
      </c>
      <c r="P48" s="955">
        <v>39.5</v>
      </c>
      <c r="Q48" s="955">
        <v>39.5</v>
      </c>
      <c r="R48" s="955">
        <v>39.5</v>
      </c>
      <c r="S48" s="955">
        <v>39.5</v>
      </c>
      <c r="T48" s="955">
        <v>39.5</v>
      </c>
      <c r="U48" s="955">
        <v>39.5</v>
      </c>
      <c r="V48" s="955">
        <v>39.5</v>
      </c>
      <c r="W48" s="955">
        <v>39.5</v>
      </c>
      <c r="X48" s="955">
        <v>39.5</v>
      </c>
      <c r="Y48" s="955">
        <v>39.5</v>
      </c>
      <c r="Z48" s="955">
        <v>39.5</v>
      </c>
      <c r="AA48" s="955">
        <v>39.5</v>
      </c>
      <c r="AB48" s="955">
        <v>39.5</v>
      </c>
      <c r="AC48" s="955">
        <v>39.5</v>
      </c>
      <c r="AD48" s="955">
        <v>39.5</v>
      </c>
      <c r="AE48" s="955">
        <v>39.5</v>
      </c>
      <c r="AF48" s="955">
        <v>39.5</v>
      </c>
      <c r="AG48" s="955">
        <v>39.5</v>
      </c>
      <c r="AH48" s="955">
        <v>0</v>
      </c>
      <c r="AI48" s="955">
        <v>0</v>
      </c>
      <c r="AJ48" s="955">
        <v>0</v>
      </c>
      <c r="AK48" s="955">
        <v>0</v>
      </c>
      <c r="AL48" s="955">
        <v>0</v>
      </c>
      <c r="AM48" s="931"/>
    </row>
    <row r="49" spans="1:39">
      <c r="A49" s="944" t="s">
        <v>18</v>
      </c>
      <c r="B49" s="934"/>
      <c r="C49" s="934" t="s">
        <v>1520</v>
      </c>
      <c r="D49" s="934"/>
      <c r="E49" s="934"/>
      <c r="F49" s="934"/>
      <c r="G49" s="934"/>
      <c r="H49" s="934"/>
      <c r="I49" s="934"/>
      <c r="J49" s="934"/>
      <c r="K49" s="934"/>
      <c r="L49" s="946" t="s">
        <v>1260</v>
      </c>
      <c r="M49" s="959" t="s">
        <v>328</v>
      </c>
      <c r="N49" s="902" t="s">
        <v>310</v>
      </c>
      <c r="O49" s="930">
        <v>30</v>
      </c>
      <c r="P49" s="930">
        <v>30</v>
      </c>
      <c r="Q49" s="930">
        <v>30</v>
      </c>
      <c r="R49" s="930">
        <v>30</v>
      </c>
      <c r="S49" s="930">
        <v>30</v>
      </c>
      <c r="T49" s="930">
        <v>30</v>
      </c>
      <c r="U49" s="930">
        <v>30</v>
      </c>
      <c r="V49" s="930">
        <v>30</v>
      </c>
      <c r="W49" s="930">
        <v>30</v>
      </c>
      <c r="X49" s="930">
        <v>30</v>
      </c>
      <c r="Y49" s="930">
        <v>30</v>
      </c>
      <c r="Z49" s="930">
        <v>30</v>
      </c>
      <c r="AA49" s="930">
        <v>30</v>
      </c>
      <c r="AB49" s="930">
        <v>30</v>
      </c>
      <c r="AC49" s="930">
        <v>30</v>
      </c>
      <c r="AD49" s="930">
        <v>30</v>
      </c>
      <c r="AE49" s="930">
        <v>30</v>
      </c>
      <c r="AF49" s="930">
        <v>30</v>
      </c>
      <c r="AG49" s="930">
        <v>30</v>
      </c>
      <c r="AH49" s="930"/>
      <c r="AI49" s="930"/>
      <c r="AJ49" s="930"/>
      <c r="AK49" s="930"/>
      <c r="AL49" s="930"/>
      <c r="AM49" s="931"/>
    </row>
    <row r="50" spans="1:39">
      <c r="A50" s="944" t="s">
        <v>18</v>
      </c>
      <c r="B50" s="934"/>
      <c r="C50" s="934" t="s">
        <v>1521</v>
      </c>
      <c r="D50" s="934"/>
      <c r="E50" s="934"/>
      <c r="F50" s="934"/>
      <c r="G50" s="934"/>
      <c r="H50" s="934"/>
      <c r="I50" s="934"/>
      <c r="J50" s="934"/>
      <c r="K50" s="934"/>
      <c r="L50" s="946" t="s">
        <v>1261</v>
      </c>
      <c r="M50" s="959" t="s">
        <v>329</v>
      </c>
      <c r="N50" s="902" t="s">
        <v>310</v>
      </c>
      <c r="O50" s="930">
        <v>9.5</v>
      </c>
      <c r="P50" s="930">
        <v>9.5</v>
      </c>
      <c r="Q50" s="930">
        <v>9.5</v>
      </c>
      <c r="R50" s="930">
        <v>9.5</v>
      </c>
      <c r="S50" s="930">
        <v>9.5</v>
      </c>
      <c r="T50" s="930">
        <v>9.5</v>
      </c>
      <c r="U50" s="930">
        <v>9.5</v>
      </c>
      <c r="V50" s="930">
        <v>9.5</v>
      </c>
      <c r="W50" s="930">
        <v>9.5</v>
      </c>
      <c r="X50" s="930">
        <v>9.5</v>
      </c>
      <c r="Y50" s="930">
        <v>9.5</v>
      </c>
      <c r="Z50" s="930">
        <v>9.5</v>
      </c>
      <c r="AA50" s="930">
        <v>9.5</v>
      </c>
      <c r="AB50" s="930">
        <v>9.5</v>
      </c>
      <c r="AC50" s="930">
        <v>9.5</v>
      </c>
      <c r="AD50" s="930">
        <v>9.5</v>
      </c>
      <c r="AE50" s="930">
        <v>9.5</v>
      </c>
      <c r="AF50" s="930">
        <v>9.5</v>
      </c>
      <c r="AG50" s="930">
        <v>9.5</v>
      </c>
      <c r="AH50" s="930"/>
      <c r="AI50" s="930"/>
      <c r="AJ50" s="930"/>
      <c r="AK50" s="930"/>
      <c r="AL50" s="930"/>
      <c r="AM50" s="931"/>
    </row>
    <row r="51" spans="1:39">
      <c r="A51" s="944" t="s">
        <v>18</v>
      </c>
      <c r="B51" s="934"/>
      <c r="C51" s="934" t="s">
        <v>1522</v>
      </c>
      <c r="D51" s="934"/>
      <c r="E51" s="934"/>
      <c r="F51" s="934"/>
      <c r="G51" s="934"/>
      <c r="H51" s="934"/>
      <c r="I51" s="934"/>
      <c r="J51" s="934"/>
      <c r="K51" s="934"/>
      <c r="L51" s="946" t="s">
        <v>1262</v>
      </c>
      <c r="M51" s="958" t="s">
        <v>332</v>
      </c>
      <c r="N51" s="902" t="s">
        <v>310</v>
      </c>
      <c r="O51" s="955">
        <v>0</v>
      </c>
      <c r="P51" s="955">
        <v>0</v>
      </c>
      <c r="Q51" s="955">
        <v>0</v>
      </c>
      <c r="R51" s="955">
        <v>0</v>
      </c>
      <c r="S51" s="955">
        <v>0</v>
      </c>
      <c r="T51" s="955">
        <v>0</v>
      </c>
      <c r="U51" s="955">
        <v>0</v>
      </c>
      <c r="V51" s="955">
        <v>0</v>
      </c>
      <c r="W51" s="955">
        <v>0</v>
      </c>
      <c r="X51" s="955">
        <v>0</v>
      </c>
      <c r="Y51" s="955">
        <v>0</v>
      </c>
      <c r="Z51" s="955">
        <v>0</v>
      </c>
      <c r="AA51" s="955">
        <v>0</v>
      </c>
      <c r="AB51" s="955">
        <v>0</v>
      </c>
      <c r="AC51" s="955">
        <v>0</v>
      </c>
      <c r="AD51" s="955">
        <v>0</v>
      </c>
      <c r="AE51" s="955">
        <v>0</v>
      </c>
      <c r="AF51" s="955">
        <v>0</v>
      </c>
      <c r="AG51" s="955">
        <v>0</v>
      </c>
      <c r="AH51" s="955">
        <v>0</v>
      </c>
      <c r="AI51" s="955">
        <v>0</v>
      </c>
      <c r="AJ51" s="955">
        <v>0</v>
      </c>
      <c r="AK51" s="955">
        <v>0</v>
      </c>
      <c r="AL51" s="955">
        <v>0</v>
      </c>
      <c r="AM51" s="931"/>
    </row>
    <row r="52" spans="1:39">
      <c r="A52" s="944" t="s">
        <v>18</v>
      </c>
      <c r="B52" s="934"/>
      <c r="C52" s="934" t="s">
        <v>1523</v>
      </c>
      <c r="D52" s="934"/>
      <c r="E52" s="934"/>
      <c r="F52" s="934"/>
      <c r="G52" s="934"/>
      <c r="H52" s="934"/>
      <c r="I52" s="934"/>
      <c r="J52" s="934"/>
      <c r="K52" s="934"/>
      <c r="L52" s="946" t="s">
        <v>1263</v>
      </c>
      <c r="M52" s="959" t="s">
        <v>328</v>
      </c>
      <c r="N52" s="902" t="s">
        <v>310</v>
      </c>
      <c r="O52" s="930"/>
      <c r="P52" s="930"/>
      <c r="Q52" s="930"/>
      <c r="R52" s="930"/>
      <c r="S52" s="930"/>
      <c r="T52" s="930"/>
      <c r="U52" s="930"/>
      <c r="V52" s="930"/>
      <c r="W52" s="930"/>
      <c r="X52" s="930"/>
      <c r="Y52" s="930"/>
      <c r="Z52" s="930"/>
      <c r="AA52" s="930"/>
      <c r="AB52" s="930"/>
      <c r="AC52" s="930"/>
      <c r="AD52" s="930"/>
      <c r="AE52" s="930"/>
      <c r="AF52" s="930"/>
      <c r="AG52" s="930"/>
      <c r="AH52" s="930"/>
      <c r="AI52" s="930"/>
      <c r="AJ52" s="930"/>
      <c r="AK52" s="930"/>
      <c r="AL52" s="930"/>
      <c r="AM52" s="931"/>
    </row>
    <row r="53" spans="1:39">
      <c r="A53" s="944" t="s">
        <v>18</v>
      </c>
      <c r="B53" s="934"/>
      <c r="C53" s="934" t="s">
        <v>1524</v>
      </c>
      <c r="D53" s="934"/>
      <c r="E53" s="934"/>
      <c r="F53" s="934"/>
      <c r="G53" s="934"/>
      <c r="H53" s="934"/>
      <c r="I53" s="934"/>
      <c r="J53" s="934"/>
      <c r="K53" s="934"/>
      <c r="L53" s="946" t="s">
        <v>1264</v>
      </c>
      <c r="M53" s="959" t="s">
        <v>329</v>
      </c>
      <c r="N53" s="902" t="s">
        <v>310</v>
      </c>
      <c r="O53" s="930"/>
      <c r="P53" s="930"/>
      <c r="Q53" s="930"/>
      <c r="R53" s="930"/>
      <c r="S53" s="930"/>
      <c r="T53" s="930"/>
      <c r="U53" s="930"/>
      <c r="V53" s="930"/>
      <c r="W53" s="930"/>
      <c r="X53" s="930"/>
      <c r="Y53" s="930"/>
      <c r="Z53" s="930"/>
      <c r="AA53" s="930"/>
      <c r="AB53" s="930"/>
      <c r="AC53" s="930"/>
      <c r="AD53" s="930"/>
      <c r="AE53" s="930"/>
      <c r="AF53" s="930"/>
      <c r="AG53" s="930"/>
      <c r="AH53" s="930"/>
      <c r="AI53" s="930"/>
      <c r="AJ53" s="930"/>
      <c r="AK53" s="930"/>
      <c r="AL53" s="930"/>
      <c r="AM53" s="951"/>
    </row>
    <row r="54" spans="1:39" ht="22.5">
      <c r="A54" s="944" t="s">
        <v>18</v>
      </c>
      <c r="B54" s="934"/>
      <c r="C54" s="934" t="s">
        <v>1525</v>
      </c>
      <c r="D54" s="934"/>
      <c r="E54" s="934"/>
      <c r="F54" s="934"/>
      <c r="G54" s="934"/>
      <c r="H54" s="934"/>
      <c r="I54" s="934"/>
      <c r="J54" s="934"/>
      <c r="K54" s="934"/>
      <c r="L54" s="946" t="s">
        <v>1265</v>
      </c>
      <c r="M54" s="960" t="s">
        <v>1116</v>
      </c>
      <c r="N54" s="902" t="s">
        <v>310</v>
      </c>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3"/>
      <c r="AL54" s="953"/>
      <c r="AM54" s="951"/>
    </row>
    <row r="55" spans="1:39" s="88" customFormat="1">
      <c r="A55" s="904"/>
      <c r="B55" s="904"/>
      <c r="C55" s="904"/>
      <c r="D55" s="904"/>
      <c r="E55" s="904"/>
      <c r="F55" s="904"/>
      <c r="G55" s="734" t="b">
        <v>1</v>
      </c>
      <c r="H55" s="904"/>
      <c r="I55" s="904"/>
      <c r="J55" s="904"/>
      <c r="K55" s="904"/>
      <c r="L55" s="961"/>
      <c r="M55" s="961"/>
      <c r="N55" s="961"/>
      <c r="O55" s="962"/>
      <c r="P55" s="962"/>
      <c r="Q55" s="962"/>
      <c r="R55" s="962"/>
      <c r="S55" s="962"/>
      <c r="T55" s="962"/>
      <c r="U55" s="962"/>
      <c r="V55" s="962"/>
      <c r="W55" s="962"/>
      <c r="X55" s="962"/>
      <c r="Y55" s="962"/>
      <c r="Z55" s="962"/>
      <c r="AA55" s="962"/>
      <c r="AB55" s="962"/>
      <c r="AC55" s="962"/>
      <c r="AD55" s="962"/>
      <c r="AE55" s="962"/>
      <c r="AF55" s="962"/>
      <c r="AG55" s="962"/>
      <c r="AH55" s="962"/>
      <c r="AI55" s="962"/>
      <c r="AJ55" s="962"/>
      <c r="AK55" s="962"/>
      <c r="AL55" s="962"/>
      <c r="AM55" s="963"/>
    </row>
    <row r="56" spans="1:39" s="87" customFormat="1" ht="15" hidden="1" customHeight="1">
      <c r="A56" s="734"/>
      <c r="B56" s="734"/>
      <c r="C56" s="734"/>
      <c r="D56" s="734"/>
      <c r="E56" s="734"/>
      <c r="F56" s="734"/>
      <c r="G56" s="734" t="b">
        <v>0</v>
      </c>
      <c r="H56" s="734"/>
      <c r="I56" s="734"/>
      <c r="J56" s="734"/>
      <c r="K56" s="734"/>
      <c r="L56" s="935" t="s">
        <v>1245</v>
      </c>
      <c r="M56" s="964"/>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row>
    <row r="57" spans="1:39" s="88" customFormat="1" ht="15" hidden="1" customHeight="1">
      <c r="A57" s="904"/>
      <c r="B57" s="904"/>
      <c r="C57" s="904"/>
      <c r="D57" s="904"/>
      <c r="E57" s="904"/>
      <c r="F57" s="904"/>
      <c r="G57" s="734" t="b">
        <v>0</v>
      </c>
      <c r="H57" s="904"/>
      <c r="I57" s="904"/>
      <c r="J57" s="904"/>
      <c r="K57" s="904"/>
      <c r="L57" s="965" t="s">
        <v>16</v>
      </c>
      <c r="M57" s="966" t="s">
        <v>121</v>
      </c>
      <c r="N57" s="967" t="s">
        <v>135</v>
      </c>
      <c r="O57" s="938" t="s">
        <v>3020</v>
      </c>
      <c r="P57" s="938" t="s">
        <v>3020</v>
      </c>
      <c r="Q57" s="938" t="s">
        <v>3020</v>
      </c>
      <c r="R57" s="939" t="s">
        <v>3021</v>
      </c>
      <c r="S57" s="940" t="s">
        <v>3022</v>
      </c>
      <c r="T57" s="940" t="s">
        <v>3060</v>
      </c>
      <c r="U57" s="940" t="s">
        <v>3061</v>
      </c>
      <c r="V57" s="940" t="s">
        <v>3062</v>
      </c>
      <c r="W57" s="940" t="s">
        <v>3063</v>
      </c>
      <c r="X57" s="940" t="s">
        <v>3064</v>
      </c>
      <c r="Y57" s="940" t="s">
        <v>3065</v>
      </c>
      <c r="Z57" s="940" t="s">
        <v>3066</v>
      </c>
      <c r="AA57" s="940" t="s">
        <v>3067</v>
      </c>
      <c r="AB57" s="940" t="s">
        <v>3068</v>
      </c>
      <c r="AC57" s="940" t="s">
        <v>3022</v>
      </c>
      <c r="AD57" s="940" t="s">
        <v>3060</v>
      </c>
      <c r="AE57" s="940" t="s">
        <v>3061</v>
      </c>
      <c r="AF57" s="940" t="s">
        <v>3062</v>
      </c>
      <c r="AG57" s="940" t="s">
        <v>3063</v>
      </c>
      <c r="AH57" s="940" t="s">
        <v>3064</v>
      </c>
      <c r="AI57" s="940" t="s">
        <v>3065</v>
      </c>
      <c r="AJ57" s="940" t="s">
        <v>3066</v>
      </c>
      <c r="AK57" s="940" t="s">
        <v>3067</v>
      </c>
      <c r="AL57" s="940" t="s">
        <v>3068</v>
      </c>
      <c r="AM57" s="941" t="s">
        <v>304</v>
      </c>
    </row>
    <row r="58" spans="1:39" s="88" customFormat="1" ht="69.95" hidden="1" customHeight="1">
      <c r="A58" s="904"/>
      <c r="B58" s="904"/>
      <c r="C58" s="904"/>
      <c r="D58" s="904"/>
      <c r="E58" s="904"/>
      <c r="F58" s="904"/>
      <c r="G58" s="734" t="b">
        <v>0</v>
      </c>
      <c r="H58" s="904"/>
      <c r="I58" s="904"/>
      <c r="J58" s="904"/>
      <c r="K58" s="904"/>
      <c r="L58" s="965"/>
      <c r="M58" s="966"/>
      <c r="N58" s="967"/>
      <c r="O58" s="940" t="s">
        <v>267</v>
      </c>
      <c r="P58" s="940" t="s">
        <v>305</v>
      </c>
      <c r="Q58" s="940" t="s">
        <v>285</v>
      </c>
      <c r="R58" s="940" t="s">
        <v>267</v>
      </c>
      <c r="S58" s="943" t="s">
        <v>268</v>
      </c>
      <c r="T58" s="943" t="s">
        <v>268</v>
      </c>
      <c r="U58" s="943" t="s">
        <v>268</v>
      </c>
      <c r="V58" s="943" t="s">
        <v>268</v>
      </c>
      <c r="W58" s="943" t="s">
        <v>268</v>
      </c>
      <c r="X58" s="943" t="s">
        <v>268</v>
      </c>
      <c r="Y58" s="943" t="s">
        <v>268</v>
      </c>
      <c r="Z58" s="943" t="s">
        <v>268</v>
      </c>
      <c r="AA58" s="943" t="s">
        <v>268</v>
      </c>
      <c r="AB58" s="943" t="s">
        <v>268</v>
      </c>
      <c r="AC58" s="943" t="s">
        <v>267</v>
      </c>
      <c r="AD58" s="943" t="s">
        <v>267</v>
      </c>
      <c r="AE58" s="943" t="s">
        <v>267</v>
      </c>
      <c r="AF58" s="943" t="s">
        <v>267</v>
      </c>
      <c r="AG58" s="943" t="s">
        <v>267</v>
      </c>
      <c r="AH58" s="943" t="s">
        <v>267</v>
      </c>
      <c r="AI58" s="943" t="s">
        <v>267</v>
      </c>
      <c r="AJ58" s="943" t="s">
        <v>267</v>
      </c>
      <c r="AK58" s="943" t="s">
        <v>267</v>
      </c>
      <c r="AL58" s="943" t="s">
        <v>267</v>
      </c>
      <c r="AM58" s="941"/>
    </row>
    <row r="59" spans="1:39" ht="15" hidden="1" customHeight="1">
      <c r="A59" s="934"/>
      <c r="B59" s="934"/>
      <c r="C59" s="934"/>
      <c r="D59" s="934"/>
      <c r="E59" s="934"/>
      <c r="F59" s="934"/>
      <c r="G59" s="734" t="b">
        <v>0</v>
      </c>
      <c r="H59" s="934"/>
      <c r="I59" s="934"/>
      <c r="J59" s="934"/>
      <c r="K59" s="934"/>
      <c r="L59" s="961"/>
      <c r="M59" s="961"/>
      <c r="N59" s="961"/>
      <c r="O59" s="961"/>
      <c r="P59" s="961"/>
      <c r="Q59" s="961"/>
      <c r="R59" s="961"/>
      <c r="S59" s="961"/>
      <c r="T59" s="961"/>
      <c r="U59" s="961"/>
      <c r="V59" s="961"/>
      <c r="W59" s="961"/>
      <c r="X59" s="961"/>
      <c r="Y59" s="961"/>
      <c r="Z59" s="961"/>
      <c r="AA59" s="961"/>
      <c r="AB59" s="961"/>
      <c r="AC59" s="961"/>
      <c r="AD59" s="961"/>
      <c r="AE59" s="961"/>
      <c r="AF59" s="961"/>
      <c r="AG59" s="961"/>
      <c r="AH59" s="961"/>
      <c r="AI59" s="961"/>
      <c r="AJ59" s="961"/>
      <c r="AK59" s="961"/>
      <c r="AL59" s="961"/>
      <c r="AM59" s="961"/>
    </row>
    <row r="60" spans="1:39" s="87" customFormat="1" ht="15" hidden="1" customHeight="1">
      <c r="A60" s="734"/>
      <c r="B60" s="734"/>
      <c r="C60" s="734"/>
      <c r="D60" s="734"/>
      <c r="E60" s="734"/>
      <c r="F60" s="734"/>
      <c r="G60" s="734" t="b">
        <v>0</v>
      </c>
      <c r="H60" s="734"/>
      <c r="I60" s="734"/>
      <c r="J60" s="734"/>
      <c r="K60" s="734"/>
      <c r="L60" s="935" t="s">
        <v>1246</v>
      </c>
      <c r="M60" s="935"/>
      <c r="N60" s="935"/>
      <c r="O60" s="935"/>
      <c r="P60" s="935"/>
      <c r="Q60" s="935"/>
      <c r="R60" s="935"/>
      <c r="S60" s="935"/>
      <c r="T60" s="935"/>
      <c r="U60" s="935"/>
      <c r="V60" s="935"/>
      <c r="W60" s="935"/>
      <c r="X60" s="935"/>
      <c r="Y60" s="935"/>
      <c r="Z60" s="935"/>
      <c r="AA60" s="935"/>
      <c r="AB60" s="935"/>
      <c r="AC60" s="935"/>
      <c r="AD60" s="935"/>
      <c r="AE60" s="935"/>
      <c r="AF60" s="935"/>
      <c r="AG60" s="935"/>
      <c r="AH60" s="935"/>
      <c r="AI60" s="935"/>
      <c r="AJ60" s="935"/>
      <c r="AK60" s="935"/>
      <c r="AL60" s="935"/>
      <c r="AM60" s="935"/>
    </row>
    <row r="61" spans="1:39" s="88" customFormat="1" ht="15" hidden="1" customHeight="1">
      <c r="A61" s="904"/>
      <c r="B61" s="904"/>
      <c r="C61" s="904"/>
      <c r="D61" s="904"/>
      <c r="E61" s="904"/>
      <c r="F61" s="904"/>
      <c r="G61" s="734" t="b">
        <v>0</v>
      </c>
      <c r="H61" s="904"/>
      <c r="I61" s="904"/>
      <c r="J61" s="904"/>
      <c r="K61" s="904"/>
      <c r="L61" s="936" t="s">
        <v>16</v>
      </c>
      <c r="M61" s="937" t="s">
        <v>121</v>
      </c>
      <c r="N61" s="901" t="s">
        <v>135</v>
      </c>
      <c r="O61" s="938" t="s">
        <v>3020</v>
      </c>
      <c r="P61" s="938" t="s">
        <v>3020</v>
      </c>
      <c r="Q61" s="938" t="s">
        <v>3020</v>
      </c>
      <c r="R61" s="939" t="s">
        <v>3021</v>
      </c>
      <c r="S61" s="940" t="s">
        <v>3022</v>
      </c>
      <c r="T61" s="940" t="s">
        <v>3060</v>
      </c>
      <c r="U61" s="940" t="s">
        <v>3061</v>
      </c>
      <c r="V61" s="940" t="s">
        <v>3062</v>
      </c>
      <c r="W61" s="940" t="s">
        <v>3063</v>
      </c>
      <c r="X61" s="940" t="s">
        <v>3064</v>
      </c>
      <c r="Y61" s="940" t="s">
        <v>3065</v>
      </c>
      <c r="Z61" s="940" t="s">
        <v>3066</v>
      </c>
      <c r="AA61" s="940" t="s">
        <v>3067</v>
      </c>
      <c r="AB61" s="940" t="s">
        <v>3068</v>
      </c>
      <c r="AC61" s="940" t="s">
        <v>3022</v>
      </c>
      <c r="AD61" s="940" t="s">
        <v>3060</v>
      </c>
      <c r="AE61" s="940" t="s">
        <v>3061</v>
      </c>
      <c r="AF61" s="940" t="s">
        <v>3062</v>
      </c>
      <c r="AG61" s="940" t="s">
        <v>3063</v>
      </c>
      <c r="AH61" s="940" t="s">
        <v>3064</v>
      </c>
      <c r="AI61" s="940" t="s">
        <v>3065</v>
      </c>
      <c r="AJ61" s="940" t="s">
        <v>3066</v>
      </c>
      <c r="AK61" s="940" t="s">
        <v>3067</v>
      </c>
      <c r="AL61" s="940" t="s">
        <v>3068</v>
      </c>
      <c r="AM61" s="941" t="s">
        <v>304</v>
      </c>
    </row>
    <row r="62" spans="1:39" s="88" customFormat="1" ht="69.95" hidden="1" customHeight="1">
      <c r="A62" s="904"/>
      <c r="B62" s="904"/>
      <c r="C62" s="904"/>
      <c r="D62" s="904"/>
      <c r="E62" s="904"/>
      <c r="F62" s="904"/>
      <c r="G62" s="734" t="b">
        <v>0</v>
      </c>
      <c r="H62" s="904"/>
      <c r="I62" s="904"/>
      <c r="J62" s="904"/>
      <c r="K62" s="904"/>
      <c r="L62" s="936"/>
      <c r="M62" s="942"/>
      <c r="N62" s="901"/>
      <c r="O62" s="940" t="s">
        <v>267</v>
      </c>
      <c r="P62" s="940" t="s">
        <v>305</v>
      </c>
      <c r="Q62" s="940" t="s">
        <v>285</v>
      </c>
      <c r="R62" s="940" t="s">
        <v>267</v>
      </c>
      <c r="S62" s="943" t="s">
        <v>268</v>
      </c>
      <c r="T62" s="943" t="s">
        <v>268</v>
      </c>
      <c r="U62" s="943" t="s">
        <v>268</v>
      </c>
      <c r="V62" s="943" t="s">
        <v>268</v>
      </c>
      <c r="W62" s="943" t="s">
        <v>268</v>
      </c>
      <c r="X62" s="943" t="s">
        <v>268</v>
      </c>
      <c r="Y62" s="943" t="s">
        <v>268</v>
      </c>
      <c r="Z62" s="943" t="s">
        <v>268</v>
      </c>
      <c r="AA62" s="943" t="s">
        <v>268</v>
      </c>
      <c r="AB62" s="943" t="s">
        <v>268</v>
      </c>
      <c r="AC62" s="943" t="s">
        <v>267</v>
      </c>
      <c r="AD62" s="943" t="s">
        <v>267</v>
      </c>
      <c r="AE62" s="943" t="s">
        <v>267</v>
      </c>
      <c r="AF62" s="943" t="s">
        <v>267</v>
      </c>
      <c r="AG62" s="943" t="s">
        <v>267</v>
      </c>
      <c r="AH62" s="943" t="s">
        <v>267</v>
      </c>
      <c r="AI62" s="943" t="s">
        <v>267</v>
      </c>
      <c r="AJ62" s="943" t="s">
        <v>267</v>
      </c>
      <c r="AK62" s="943" t="s">
        <v>267</v>
      </c>
      <c r="AL62" s="943" t="s">
        <v>267</v>
      </c>
      <c r="AM62" s="941"/>
    </row>
    <row r="63" spans="1:39" ht="15" hidden="1" customHeight="1">
      <c r="A63" s="934"/>
      <c r="B63" s="934"/>
      <c r="C63" s="934"/>
      <c r="D63" s="934"/>
      <c r="E63" s="934"/>
      <c r="F63" s="934"/>
      <c r="G63" s="734" t="b">
        <v>0</v>
      </c>
      <c r="H63" s="934"/>
      <c r="I63" s="934"/>
      <c r="J63" s="934"/>
      <c r="K63" s="934"/>
      <c r="L63" s="904"/>
      <c r="M63" s="904"/>
      <c r="N63" s="90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04"/>
    </row>
    <row r="64" spans="1:39" s="87" customFormat="1" ht="15" hidden="1" customHeight="1">
      <c r="A64" s="734"/>
      <c r="B64" s="734"/>
      <c r="C64" s="734"/>
      <c r="D64" s="734"/>
      <c r="E64" s="734"/>
      <c r="F64" s="734"/>
      <c r="G64" s="734" t="b">
        <v>0</v>
      </c>
      <c r="H64" s="734"/>
      <c r="I64" s="734"/>
      <c r="J64" s="734"/>
      <c r="K64" s="734"/>
      <c r="L64" s="968" t="s">
        <v>1247</v>
      </c>
      <c r="M64" s="968"/>
      <c r="N64" s="968"/>
      <c r="O64" s="968"/>
      <c r="P64" s="968"/>
      <c r="Q64" s="968"/>
      <c r="R64" s="968"/>
      <c r="S64" s="968"/>
      <c r="T64" s="968"/>
      <c r="U64" s="968"/>
      <c r="V64" s="968"/>
      <c r="W64" s="968"/>
      <c r="X64" s="968"/>
      <c r="Y64" s="968"/>
      <c r="Z64" s="968"/>
      <c r="AA64" s="968"/>
      <c r="AB64" s="968"/>
      <c r="AC64" s="968"/>
      <c r="AD64" s="968"/>
      <c r="AE64" s="968"/>
      <c r="AF64" s="968"/>
      <c r="AG64" s="968"/>
      <c r="AH64" s="968"/>
      <c r="AI64" s="968"/>
      <c r="AJ64" s="968"/>
      <c r="AK64" s="968"/>
      <c r="AL64" s="968"/>
      <c r="AM64" s="968"/>
    </row>
    <row r="65" spans="1:39" s="88" customFormat="1" ht="15" hidden="1" customHeight="1">
      <c r="A65" s="904"/>
      <c r="B65" s="904"/>
      <c r="C65" s="904"/>
      <c r="D65" s="904"/>
      <c r="E65" s="904"/>
      <c r="F65" s="904"/>
      <c r="G65" s="734" t="b">
        <v>0</v>
      </c>
      <c r="H65" s="904"/>
      <c r="I65" s="904"/>
      <c r="J65" s="904"/>
      <c r="K65" s="904"/>
      <c r="L65" s="936" t="s">
        <v>16</v>
      </c>
      <c r="M65" s="937" t="s">
        <v>121</v>
      </c>
      <c r="N65" s="901" t="s">
        <v>135</v>
      </c>
      <c r="O65" s="938" t="s">
        <v>3020</v>
      </c>
      <c r="P65" s="938" t="s">
        <v>3020</v>
      </c>
      <c r="Q65" s="938" t="s">
        <v>3020</v>
      </c>
      <c r="R65" s="939" t="s">
        <v>3021</v>
      </c>
      <c r="S65" s="940" t="s">
        <v>3022</v>
      </c>
      <c r="T65" s="940" t="s">
        <v>3060</v>
      </c>
      <c r="U65" s="940" t="s">
        <v>3061</v>
      </c>
      <c r="V65" s="940" t="s">
        <v>3062</v>
      </c>
      <c r="W65" s="940" t="s">
        <v>3063</v>
      </c>
      <c r="X65" s="940" t="s">
        <v>3064</v>
      </c>
      <c r="Y65" s="940" t="s">
        <v>3065</v>
      </c>
      <c r="Z65" s="940" t="s">
        <v>3066</v>
      </c>
      <c r="AA65" s="940" t="s">
        <v>3067</v>
      </c>
      <c r="AB65" s="940" t="s">
        <v>3068</v>
      </c>
      <c r="AC65" s="940" t="s">
        <v>3022</v>
      </c>
      <c r="AD65" s="940" t="s">
        <v>3060</v>
      </c>
      <c r="AE65" s="940" t="s">
        <v>3061</v>
      </c>
      <c r="AF65" s="940" t="s">
        <v>3062</v>
      </c>
      <c r="AG65" s="940" t="s">
        <v>3063</v>
      </c>
      <c r="AH65" s="940" t="s">
        <v>3064</v>
      </c>
      <c r="AI65" s="940" t="s">
        <v>3065</v>
      </c>
      <c r="AJ65" s="940" t="s">
        <v>3066</v>
      </c>
      <c r="AK65" s="940" t="s">
        <v>3067</v>
      </c>
      <c r="AL65" s="940" t="s">
        <v>3068</v>
      </c>
      <c r="AM65" s="941" t="s">
        <v>304</v>
      </c>
    </row>
    <row r="66" spans="1:39" s="88" customFormat="1" ht="69.95" hidden="1" customHeight="1">
      <c r="A66" s="904"/>
      <c r="B66" s="904"/>
      <c r="C66" s="904"/>
      <c r="D66" s="904"/>
      <c r="E66" s="904"/>
      <c r="F66" s="904"/>
      <c r="G66" s="734" t="b">
        <v>0</v>
      </c>
      <c r="H66" s="904"/>
      <c r="I66" s="904"/>
      <c r="J66" s="904"/>
      <c r="K66" s="904"/>
      <c r="L66" s="936"/>
      <c r="M66" s="942"/>
      <c r="N66" s="901"/>
      <c r="O66" s="940" t="s">
        <v>267</v>
      </c>
      <c r="P66" s="940" t="s">
        <v>305</v>
      </c>
      <c r="Q66" s="940" t="s">
        <v>285</v>
      </c>
      <c r="R66" s="940" t="s">
        <v>267</v>
      </c>
      <c r="S66" s="943" t="s">
        <v>268</v>
      </c>
      <c r="T66" s="943" t="s">
        <v>268</v>
      </c>
      <c r="U66" s="943" t="s">
        <v>268</v>
      </c>
      <c r="V66" s="943" t="s">
        <v>268</v>
      </c>
      <c r="W66" s="943" t="s">
        <v>268</v>
      </c>
      <c r="X66" s="943" t="s">
        <v>268</v>
      </c>
      <c r="Y66" s="943" t="s">
        <v>268</v>
      </c>
      <c r="Z66" s="943" t="s">
        <v>268</v>
      </c>
      <c r="AA66" s="943" t="s">
        <v>268</v>
      </c>
      <c r="AB66" s="943" t="s">
        <v>268</v>
      </c>
      <c r="AC66" s="943" t="s">
        <v>267</v>
      </c>
      <c r="AD66" s="943" t="s">
        <v>267</v>
      </c>
      <c r="AE66" s="943" t="s">
        <v>267</v>
      </c>
      <c r="AF66" s="943" t="s">
        <v>267</v>
      </c>
      <c r="AG66" s="943" t="s">
        <v>267</v>
      </c>
      <c r="AH66" s="943" t="s">
        <v>267</v>
      </c>
      <c r="AI66" s="943" t="s">
        <v>267</v>
      </c>
      <c r="AJ66" s="943" t="s">
        <v>267</v>
      </c>
      <c r="AK66" s="943" t="s">
        <v>267</v>
      </c>
      <c r="AL66" s="943" t="s">
        <v>267</v>
      </c>
      <c r="AM66" s="941"/>
    </row>
    <row r="67" spans="1:39" hidden="1">
      <c r="A67" s="934"/>
      <c r="B67" s="934"/>
      <c r="C67" s="934"/>
      <c r="D67" s="934"/>
      <c r="E67" s="934"/>
      <c r="F67" s="934"/>
      <c r="G67" s="734" t="b">
        <v>0</v>
      </c>
      <c r="H67" s="934"/>
      <c r="I67" s="934"/>
      <c r="J67" s="934"/>
      <c r="K67" s="934"/>
      <c r="L67" s="904"/>
      <c r="M67" s="904"/>
      <c r="N67" s="904"/>
      <c r="O67" s="934"/>
      <c r="P67" s="934"/>
      <c r="Q67" s="934"/>
      <c r="R67" s="934"/>
      <c r="S67" s="934"/>
      <c r="T67" s="934"/>
      <c r="U67" s="934"/>
      <c r="V67" s="934"/>
      <c r="W67" s="934"/>
      <c r="X67" s="934"/>
      <c r="Y67" s="934"/>
      <c r="Z67" s="934"/>
      <c r="AA67" s="934"/>
      <c r="AB67" s="934"/>
      <c r="AC67" s="934"/>
      <c r="AD67" s="934"/>
      <c r="AE67" s="934"/>
      <c r="AF67" s="934"/>
      <c r="AG67" s="934"/>
      <c r="AH67" s="934"/>
      <c r="AI67" s="934"/>
      <c r="AJ67" s="934"/>
      <c r="AK67" s="934"/>
      <c r="AL67" s="934"/>
      <c r="AM67" s="904"/>
    </row>
    <row r="68" spans="1:39" ht="15" customHeight="1">
      <c r="A68" s="934"/>
      <c r="B68" s="934"/>
      <c r="C68" s="934"/>
      <c r="D68" s="934"/>
      <c r="E68" s="934"/>
      <c r="F68" s="934"/>
      <c r="G68" s="734"/>
      <c r="H68" s="934"/>
      <c r="I68" s="934"/>
      <c r="J68" s="934"/>
      <c r="K68" s="934"/>
      <c r="L68" s="969" t="s">
        <v>1425</v>
      </c>
      <c r="M68" s="969"/>
      <c r="N68" s="969"/>
      <c r="O68" s="970"/>
      <c r="P68" s="970"/>
      <c r="Q68" s="970"/>
      <c r="R68" s="970"/>
      <c r="S68" s="970"/>
      <c r="T68" s="970"/>
      <c r="U68" s="970"/>
      <c r="V68" s="970"/>
      <c r="W68" s="970"/>
      <c r="X68" s="970"/>
      <c r="Y68" s="970"/>
      <c r="Z68" s="970"/>
      <c r="AA68" s="970"/>
      <c r="AB68" s="970"/>
      <c r="AC68" s="970"/>
      <c r="AD68" s="970"/>
      <c r="AE68" s="970"/>
      <c r="AF68" s="970"/>
      <c r="AG68" s="970"/>
      <c r="AH68" s="970"/>
      <c r="AI68" s="970"/>
      <c r="AJ68" s="970"/>
      <c r="AK68" s="970"/>
      <c r="AL68" s="970"/>
      <c r="AM68" s="970"/>
    </row>
    <row r="69" spans="1:39" ht="15" customHeight="1">
      <c r="A69" s="934"/>
      <c r="B69" s="934"/>
      <c r="C69" s="934"/>
      <c r="D69" s="934"/>
      <c r="E69" s="934"/>
      <c r="F69" s="934"/>
      <c r="G69" s="734"/>
      <c r="H69" s="934"/>
      <c r="I69" s="934"/>
      <c r="J69" s="934"/>
      <c r="K69" s="807"/>
      <c r="L69" s="971"/>
      <c r="M69" s="972"/>
      <c r="N69" s="972"/>
      <c r="O69" s="972"/>
      <c r="P69" s="972"/>
      <c r="Q69" s="972"/>
      <c r="R69" s="972"/>
      <c r="S69" s="972"/>
      <c r="T69" s="972"/>
      <c r="U69" s="972"/>
      <c r="V69" s="972"/>
      <c r="W69" s="972"/>
      <c r="X69" s="972"/>
      <c r="Y69" s="972"/>
      <c r="Z69" s="972"/>
      <c r="AA69" s="972"/>
      <c r="AB69" s="972"/>
      <c r="AC69" s="972"/>
      <c r="AD69" s="972"/>
      <c r="AE69" s="972"/>
      <c r="AF69" s="972"/>
      <c r="AG69" s="972"/>
      <c r="AH69" s="972"/>
      <c r="AI69" s="972"/>
      <c r="AJ69" s="972"/>
      <c r="AK69" s="972"/>
      <c r="AL69" s="972"/>
      <c r="AM69" s="973"/>
    </row>
  </sheetData>
  <sheetProtection formatColumns="0" formatRows="0" autoFilter="0"/>
  <mergeCells count="22">
    <mergeCell ref="L61:L62"/>
    <mergeCell ref="M61:M62"/>
    <mergeCell ref="L14:AM14"/>
    <mergeCell ref="N15:N16"/>
    <mergeCell ref="AM15:AM16"/>
    <mergeCell ref="L15:L16"/>
    <mergeCell ref="M15:M16"/>
    <mergeCell ref="L65:L66"/>
    <mergeCell ref="M65:M66"/>
    <mergeCell ref="L56:AM56"/>
    <mergeCell ref="N57:N58"/>
    <mergeCell ref="L68:AM68"/>
    <mergeCell ref="L69:AM69"/>
    <mergeCell ref="AM65:AM66"/>
    <mergeCell ref="AM57:AM58"/>
    <mergeCell ref="L57:L58"/>
    <mergeCell ref="M57:M58"/>
    <mergeCell ref="L64:AM64"/>
    <mergeCell ref="N65:N66"/>
    <mergeCell ref="L60:AM60"/>
    <mergeCell ref="AM61:AM62"/>
    <mergeCell ref="N61:N62"/>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activeCell="O40" sqref="O40"/>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16384" width="9.140625" style="86"/>
  </cols>
  <sheetData>
    <row r="1" spans="1:39" hidden="1">
      <c r="A1" s="934"/>
      <c r="B1" s="934"/>
      <c r="C1" s="934"/>
      <c r="D1" s="934"/>
      <c r="E1" s="934"/>
      <c r="F1" s="934"/>
      <c r="G1" s="934"/>
      <c r="H1" s="934"/>
      <c r="I1" s="934"/>
      <c r="J1" s="934"/>
      <c r="K1" s="934"/>
      <c r="L1" s="934"/>
      <c r="M1" s="934"/>
      <c r="N1" s="934"/>
      <c r="O1" s="934">
        <v>2022</v>
      </c>
      <c r="P1" s="934">
        <v>2022</v>
      </c>
      <c r="Q1" s="934">
        <v>2022</v>
      </c>
      <c r="R1" s="934">
        <v>2023</v>
      </c>
      <c r="S1" s="934">
        <v>2024</v>
      </c>
      <c r="T1" s="934">
        <v>2025</v>
      </c>
      <c r="U1" s="934">
        <v>2026</v>
      </c>
      <c r="V1" s="934">
        <v>2027</v>
      </c>
      <c r="W1" s="934">
        <v>2028</v>
      </c>
      <c r="X1" s="934">
        <v>2029</v>
      </c>
      <c r="Y1" s="934">
        <v>2030</v>
      </c>
      <c r="Z1" s="934">
        <v>2031</v>
      </c>
      <c r="AA1" s="934">
        <v>2032</v>
      </c>
      <c r="AB1" s="934">
        <v>2033</v>
      </c>
      <c r="AC1" s="934">
        <v>2024</v>
      </c>
      <c r="AD1" s="934">
        <v>2025</v>
      </c>
      <c r="AE1" s="934">
        <v>2026</v>
      </c>
      <c r="AF1" s="934">
        <v>2027</v>
      </c>
      <c r="AG1" s="934">
        <v>2028</v>
      </c>
      <c r="AH1" s="934">
        <v>2029</v>
      </c>
      <c r="AI1" s="934">
        <v>2030</v>
      </c>
      <c r="AJ1" s="934">
        <v>2031</v>
      </c>
      <c r="AK1" s="934">
        <v>2032</v>
      </c>
      <c r="AL1" s="934">
        <v>2033</v>
      </c>
      <c r="AM1" s="934"/>
    </row>
    <row r="2" spans="1:39" hidden="1">
      <c r="A2" s="934"/>
      <c r="B2" s="934"/>
      <c r="C2" s="934"/>
      <c r="D2" s="934"/>
      <c r="E2" s="934"/>
      <c r="F2" s="934"/>
      <c r="G2" s="934"/>
      <c r="H2" s="934"/>
      <c r="I2" s="934"/>
      <c r="J2" s="934"/>
      <c r="K2" s="934"/>
      <c r="L2" s="934"/>
      <c r="M2" s="934"/>
      <c r="N2" s="934"/>
      <c r="O2" s="934" t="s">
        <v>267</v>
      </c>
      <c r="P2" s="934" t="s">
        <v>305</v>
      </c>
      <c r="Q2" s="934" t="s">
        <v>285</v>
      </c>
      <c r="R2" s="934" t="s">
        <v>267</v>
      </c>
      <c r="S2" s="934" t="s">
        <v>268</v>
      </c>
      <c r="T2" s="934" t="s">
        <v>268</v>
      </c>
      <c r="U2" s="934" t="s">
        <v>268</v>
      </c>
      <c r="V2" s="934" t="s">
        <v>268</v>
      </c>
      <c r="W2" s="934" t="s">
        <v>268</v>
      </c>
      <c r="X2" s="934" t="s">
        <v>268</v>
      </c>
      <c r="Y2" s="934" t="s">
        <v>268</v>
      </c>
      <c r="Z2" s="934" t="s">
        <v>268</v>
      </c>
      <c r="AA2" s="934" t="s">
        <v>268</v>
      </c>
      <c r="AB2" s="934" t="s">
        <v>268</v>
      </c>
      <c r="AC2" s="934" t="s">
        <v>267</v>
      </c>
      <c r="AD2" s="934" t="s">
        <v>267</v>
      </c>
      <c r="AE2" s="934" t="s">
        <v>267</v>
      </c>
      <c r="AF2" s="934" t="s">
        <v>267</v>
      </c>
      <c r="AG2" s="934" t="s">
        <v>267</v>
      </c>
      <c r="AH2" s="934" t="s">
        <v>267</v>
      </c>
      <c r="AI2" s="934" t="s">
        <v>267</v>
      </c>
      <c r="AJ2" s="934" t="s">
        <v>267</v>
      </c>
      <c r="AK2" s="934" t="s">
        <v>267</v>
      </c>
      <c r="AL2" s="934" t="s">
        <v>267</v>
      </c>
      <c r="AM2" s="934"/>
    </row>
    <row r="3" spans="1:39" hidden="1">
      <c r="A3" s="934"/>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934"/>
      <c r="AJ3" s="934"/>
      <c r="AK3" s="934"/>
      <c r="AL3" s="934"/>
      <c r="AM3" s="934"/>
    </row>
    <row r="4" spans="1:39" hidden="1">
      <c r="A4" s="934"/>
      <c r="B4" s="934"/>
      <c r="C4" s="934"/>
      <c r="D4" s="934"/>
      <c r="E4" s="934"/>
      <c r="F4" s="934"/>
      <c r="G4" s="934"/>
      <c r="H4" s="934"/>
      <c r="I4" s="934"/>
      <c r="J4" s="934"/>
      <c r="K4" s="934"/>
      <c r="L4" s="934"/>
      <c r="M4" s="934"/>
      <c r="N4" s="934"/>
      <c r="O4" s="934"/>
      <c r="P4" s="934"/>
      <c r="Q4" s="934"/>
      <c r="R4" s="934"/>
      <c r="S4" s="934"/>
      <c r="T4" s="934"/>
      <c r="U4" s="934"/>
      <c r="V4" s="934"/>
      <c r="W4" s="934"/>
      <c r="X4" s="934"/>
      <c r="Y4" s="934"/>
      <c r="Z4" s="934"/>
      <c r="AA4" s="934"/>
      <c r="AB4" s="934"/>
      <c r="AC4" s="934"/>
      <c r="AD4" s="934"/>
      <c r="AE4" s="934"/>
      <c r="AF4" s="934"/>
      <c r="AG4" s="934"/>
      <c r="AH4" s="934"/>
      <c r="AI4" s="934"/>
      <c r="AJ4" s="934"/>
      <c r="AK4" s="934"/>
      <c r="AL4" s="934"/>
      <c r="AM4" s="934"/>
    </row>
    <row r="5" spans="1:39" hidden="1">
      <c r="A5" s="934"/>
      <c r="B5" s="934"/>
      <c r="C5" s="934"/>
      <c r="D5" s="934"/>
      <c r="E5" s="934"/>
      <c r="F5" s="934"/>
      <c r="G5" s="934"/>
      <c r="H5" s="934"/>
      <c r="I5" s="934"/>
      <c r="J5" s="934"/>
      <c r="K5" s="934"/>
      <c r="L5" s="934"/>
      <c r="M5" s="934"/>
      <c r="N5" s="934"/>
      <c r="O5" s="934"/>
      <c r="P5" s="934"/>
      <c r="Q5" s="934"/>
      <c r="R5" s="934"/>
      <c r="S5" s="934"/>
      <c r="T5" s="934"/>
      <c r="U5" s="934"/>
      <c r="V5" s="934"/>
      <c r="W5" s="934"/>
      <c r="X5" s="934"/>
      <c r="Y5" s="934"/>
      <c r="Z5" s="934"/>
      <c r="AA5" s="934"/>
      <c r="AB5" s="934"/>
      <c r="AC5" s="934"/>
      <c r="AD5" s="934"/>
      <c r="AE5" s="934"/>
      <c r="AF5" s="934"/>
      <c r="AG5" s="934"/>
      <c r="AH5" s="934"/>
      <c r="AI5" s="934"/>
      <c r="AJ5" s="934"/>
      <c r="AK5" s="934"/>
      <c r="AL5" s="934"/>
      <c r="AM5" s="934"/>
    </row>
    <row r="6" spans="1:39" hidden="1">
      <c r="A6" s="934"/>
      <c r="B6" s="934"/>
      <c r="C6" s="934"/>
      <c r="D6" s="934"/>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row>
    <row r="7" spans="1:39" hidden="1">
      <c r="A7" s="934"/>
      <c r="B7" s="934"/>
      <c r="C7" s="934"/>
      <c r="D7" s="934"/>
      <c r="E7" s="934"/>
      <c r="F7" s="934"/>
      <c r="G7" s="934"/>
      <c r="H7" s="934"/>
      <c r="I7" s="934"/>
      <c r="J7" s="934"/>
      <c r="K7" s="934"/>
      <c r="L7" s="934"/>
      <c r="M7" s="934"/>
      <c r="N7" s="934"/>
      <c r="O7" s="934"/>
      <c r="P7" s="934"/>
      <c r="Q7" s="934"/>
      <c r="R7" s="934"/>
      <c r="S7" s="886" t="b">
        <v>1</v>
      </c>
      <c r="T7" s="886" t="b">
        <v>1</v>
      </c>
      <c r="U7" s="886" t="b">
        <v>1</v>
      </c>
      <c r="V7" s="886" t="b">
        <v>1</v>
      </c>
      <c r="W7" s="886" t="b">
        <v>1</v>
      </c>
      <c r="X7" s="886" t="b">
        <v>0</v>
      </c>
      <c r="Y7" s="886" t="b">
        <v>0</v>
      </c>
      <c r="Z7" s="886" t="b">
        <v>0</v>
      </c>
      <c r="AA7" s="886" t="b">
        <v>0</v>
      </c>
      <c r="AB7" s="886" t="b">
        <v>0</v>
      </c>
      <c r="AC7" s="886" t="b">
        <v>1</v>
      </c>
      <c r="AD7" s="886" t="b">
        <v>1</v>
      </c>
      <c r="AE7" s="886" t="b">
        <v>1</v>
      </c>
      <c r="AF7" s="886" t="b">
        <v>1</v>
      </c>
      <c r="AG7" s="886" t="b">
        <v>1</v>
      </c>
      <c r="AH7" s="886" t="b">
        <v>0</v>
      </c>
      <c r="AI7" s="886" t="b">
        <v>0</v>
      </c>
      <c r="AJ7" s="886" t="b">
        <v>0</v>
      </c>
      <c r="AK7" s="886" t="b">
        <v>0</v>
      </c>
      <c r="AL7" s="886" t="b">
        <v>0</v>
      </c>
      <c r="AM7" s="934"/>
    </row>
    <row r="8" spans="1:39" hidden="1">
      <c r="A8" s="934"/>
      <c r="B8" s="934"/>
      <c r="C8" s="934"/>
      <c r="D8" s="934"/>
      <c r="E8" s="934"/>
      <c r="F8" s="934"/>
      <c r="G8" s="934"/>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row>
    <row r="9" spans="1:39" hidden="1">
      <c r="A9" s="934"/>
      <c r="B9" s="934"/>
      <c r="C9" s="934"/>
      <c r="D9" s="934"/>
      <c r="E9" s="934"/>
      <c r="F9" s="934"/>
      <c r="G9" s="934"/>
      <c r="H9" s="934"/>
      <c r="I9" s="934"/>
      <c r="J9" s="934"/>
      <c r="K9" s="934"/>
      <c r="L9" s="934"/>
      <c r="M9" s="934"/>
      <c r="N9" s="934"/>
      <c r="O9" s="934"/>
      <c r="P9" s="934"/>
      <c r="Q9" s="934"/>
      <c r="R9" s="934"/>
      <c r="S9" s="934"/>
      <c r="T9" s="934"/>
      <c r="U9" s="934"/>
      <c r="V9" s="934"/>
      <c r="W9" s="934"/>
      <c r="X9" s="934"/>
      <c r="Y9" s="934"/>
      <c r="Z9" s="934"/>
      <c r="AA9" s="934"/>
      <c r="AB9" s="934"/>
      <c r="AC9" s="934"/>
      <c r="AD9" s="934"/>
      <c r="AE9" s="934"/>
      <c r="AF9" s="934"/>
      <c r="AG9" s="934"/>
      <c r="AH9" s="934"/>
      <c r="AI9" s="934"/>
      <c r="AJ9" s="934"/>
      <c r="AK9" s="934"/>
      <c r="AL9" s="934"/>
      <c r="AM9" s="934"/>
    </row>
    <row r="10" spans="1:39" hidden="1">
      <c r="A10" s="934"/>
      <c r="B10" s="934"/>
      <c r="C10" s="934"/>
      <c r="D10" s="934"/>
      <c r="E10" s="934"/>
      <c r="F10" s="934"/>
      <c r="G10" s="934"/>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934"/>
      <c r="AF10" s="934"/>
      <c r="AG10" s="934"/>
      <c r="AH10" s="934"/>
      <c r="AI10" s="934"/>
      <c r="AJ10" s="934"/>
      <c r="AK10" s="934"/>
      <c r="AL10" s="934"/>
      <c r="AM10" s="934"/>
    </row>
    <row r="11" spans="1:39" ht="15" hidden="1" customHeight="1">
      <c r="A11" s="934"/>
      <c r="B11" s="934"/>
      <c r="C11" s="934"/>
      <c r="D11" s="934"/>
      <c r="E11" s="934"/>
      <c r="F11" s="934"/>
      <c r="G11" s="934"/>
      <c r="H11" s="934"/>
      <c r="I11" s="934"/>
      <c r="J11" s="934"/>
      <c r="K11" s="934"/>
      <c r="L11" s="934"/>
      <c r="M11" s="892"/>
      <c r="N11" s="934"/>
      <c r="O11" s="934"/>
      <c r="P11" s="934"/>
      <c r="Q11" s="934"/>
      <c r="R11" s="934"/>
      <c r="S11" s="934"/>
      <c r="T11" s="934"/>
      <c r="U11" s="934"/>
      <c r="V11" s="934"/>
      <c r="W11" s="934"/>
      <c r="X11" s="934"/>
      <c r="Y11" s="934"/>
      <c r="Z11" s="934"/>
      <c r="AA11" s="934"/>
      <c r="AB11" s="934"/>
      <c r="AC11" s="934"/>
      <c r="AD11" s="934"/>
      <c r="AE11" s="934"/>
      <c r="AF11" s="934"/>
      <c r="AG11" s="934"/>
      <c r="AH11" s="934"/>
      <c r="AI11" s="934"/>
      <c r="AJ11" s="934"/>
      <c r="AK11" s="934"/>
      <c r="AL11" s="934"/>
      <c r="AM11" s="934"/>
    </row>
    <row r="12" spans="1:39" s="87" customFormat="1" ht="15" customHeight="1">
      <c r="A12" s="734"/>
      <c r="B12" s="734"/>
      <c r="C12" s="734"/>
      <c r="D12" s="734"/>
      <c r="E12" s="734"/>
      <c r="F12" s="734"/>
      <c r="G12" s="734"/>
      <c r="H12" s="734"/>
      <c r="I12" s="734"/>
      <c r="J12" s="734"/>
      <c r="K12" s="734"/>
      <c r="L12" s="434" t="s">
        <v>1236</v>
      </c>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904"/>
      <c r="B14" s="904"/>
      <c r="C14" s="904"/>
      <c r="D14" s="904"/>
      <c r="E14" s="904"/>
      <c r="F14" s="904"/>
      <c r="G14" s="904"/>
      <c r="H14" s="904"/>
      <c r="I14" s="904"/>
      <c r="J14" s="904"/>
      <c r="K14" s="904"/>
      <c r="L14" s="974" t="s">
        <v>16</v>
      </c>
      <c r="M14" s="974" t="s">
        <v>121</v>
      </c>
      <c r="N14" s="974" t="s">
        <v>135</v>
      </c>
      <c r="O14" s="938" t="s">
        <v>3020</v>
      </c>
      <c r="P14" s="938" t="s">
        <v>3020</v>
      </c>
      <c r="Q14" s="938" t="s">
        <v>3020</v>
      </c>
      <c r="R14" s="939" t="s">
        <v>3021</v>
      </c>
      <c r="S14" s="940" t="s">
        <v>3022</v>
      </c>
      <c r="T14" s="940" t="s">
        <v>3060</v>
      </c>
      <c r="U14" s="940" t="s">
        <v>3061</v>
      </c>
      <c r="V14" s="940" t="s">
        <v>3062</v>
      </c>
      <c r="W14" s="940" t="s">
        <v>3063</v>
      </c>
      <c r="X14" s="940" t="s">
        <v>3064</v>
      </c>
      <c r="Y14" s="940" t="s">
        <v>3065</v>
      </c>
      <c r="Z14" s="940" t="s">
        <v>3066</v>
      </c>
      <c r="AA14" s="940" t="s">
        <v>3067</v>
      </c>
      <c r="AB14" s="940" t="s">
        <v>3068</v>
      </c>
      <c r="AC14" s="940" t="s">
        <v>3022</v>
      </c>
      <c r="AD14" s="940" t="s">
        <v>3060</v>
      </c>
      <c r="AE14" s="940" t="s">
        <v>3061</v>
      </c>
      <c r="AF14" s="940" t="s">
        <v>3062</v>
      </c>
      <c r="AG14" s="940" t="s">
        <v>3063</v>
      </c>
      <c r="AH14" s="940" t="s">
        <v>3064</v>
      </c>
      <c r="AI14" s="940" t="s">
        <v>3065</v>
      </c>
      <c r="AJ14" s="940" t="s">
        <v>3066</v>
      </c>
      <c r="AK14" s="940" t="s">
        <v>3067</v>
      </c>
      <c r="AL14" s="940" t="s">
        <v>3068</v>
      </c>
      <c r="AM14" s="941" t="s">
        <v>304</v>
      </c>
    </row>
    <row r="15" spans="1:39" s="88" customFormat="1" ht="50.1" customHeight="1">
      <c r="A15" s="904" t="s">
        <v>1121</v>
      </c>
      <c r="B15" s="904"/>
      <c r="C15" s="904"/>
      <c r="D15" s="904"/>
      <c r="E15" s="904"/>
      <c r="F15" s="904"/>
      <c r="G15" s="904"/>
      <c r="H15" s="904"/>
      <c r="I15" s="904"/>
      <c r="J15" s="904"/>
      <c r="K15" s="904"/>
      <c r="L15" s="974"/>
      <c r="M15" s="974"/>
      <c r="N15" s="974"/>
      <c r="O15" s="940" t="s">
        <v>267</v>
      </c>
      <c r="P15" s="940" t="s">
        <v>305</v>
      </c>
      <c r="Q15" s="940" t="s">
        <v>285</v>
      </c>
      <c r="R15" s="940" t="s">
        <v>267</v>
      </c>
      <c r="S15" s="943" t="s">
        <v>268</v>
      </c>
      <c r="T15" s="943" t="s">
        <v>268</v>
      </c>
      <c r="U15" s="943" t="s">
        <v>268</v>
      </c>
      <c r="V15" s="943" t="s">
        <v>268</v>
      </c>
      <c r="W15" s="943" t="s">
        <v>268</v>
      </c>
      <c r="X15" s="943" t="s">
        <v>268</v>
      </c>
      <c r="Y15" s="943" t="s">
        <v>268</v>
      </c>
      <c r="Z15" s="943" t="s">
        <v>268</v>
      </c>
      <c r="AA15" s="943" t="s">
        <v>268</v>
      </c>
      <c r="AB15" s="943" t="s">
        <v>268</v>
      </c>
      <c r="AC15" s="943" t="s">
        <v>267</v>
      </c>
      <c r="AD15" s="943" t="s">
        <v>267</v>
      </c>
      <c r="AE15" s="943" t="s">
        <v>267</v>
      </c>
      <c r="AF15" s="943" t="s">
        <v>267</v>
      </c>
      <c r="AG15" s="943" t="s">
        <v>267</v>
      </c>
      <c r="AH15" s="943" t="s">
        <v>267</v>
      </c>
      <c r="AI15" s="943" t="s">
        <v>267</v>
      </c>
      <c r="AJ15" s="943" t="s">
        <v>267</v>
      </c>
      <c r="AK15" s="943" t="s">
        <v>267</v>
      </c>
      <c r="AL15" s="943" t="s">
        <v>267</v>
      </c>
      <c r="AM15" s="941"/>
    </row>
    <row r="16" spans="1:39" s="88" customFormat="1">
      <c r="A16" s="944" t="s">
        <v>18</v>
      </c>
      <c r="B16" s="975"/>
      <c r="C16" s="975"/>
      <c r="D16" s="904"/>
      <c r="E16" s="904"/>
      <c r="F16" s="904"/>
      <c r="G16" s="904"/>
      <c r="H16" s="904"/>
      <c r="I16" s="904"/>
      <c r="J16" s="904"/>
      <c r="K16" s="904"/>
      <c r="L16" s="860" t="s">
        <v>3018</v>
      </c>
      <c r="M16" s="839"/>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840"/>
    </row>
    <row r="17" spans="1:39" s="90" customFormat="1" ht="22.5">
      <c r="A17" s="976" t="s">
        <v>18</v>
      </c>
      <c r="B17" s="975" t="s">
        <v>1480</v>
      </c>
      <c r="C17" s="975" t="s">
        <v>1481</v>
      </c>
      <c r="D17" s="975"/>
      <c r="E17" s="975"/>
      <c r="F17" s="975"/>
      <c r="G17" s="975"/>
      <c r="H17" s="975"/>
      <c r="I17" s="975"/>
      <c r="J17" s="975"/>
      <c r="K17" s="975"/>
      <c r="L17" s="977"/>
      <c r="M17" s="179" t="s">
        <v>1023</v>
      </c>
      <c r="N17" s="161" t="s">
        <v>351</v>
      </c>
      <c r="O17" s="978">
        <v>0</v>
      </c>
      <c r="P17" s="978">
        <v>0</v>
      </c>
      <c r="Q17" s="978">
        <v>0</v>
      </c>
      <c r="R17" s="978">
        <v>0</v>
      </c>
      <c r="S17" s="978">
        <v>0</v>
      </c>
      <c r="T17" s="978">
        <v>0</v>
      </c>
      <c r="U17" s="978">
        <v>0</v>
      </c>
      <c r="V17" s="978">
        <v>0</v>
      </c>
      <c r="W17" s="978">
        <v>0</v>
      </c>
      <c r="X17" s="978">
        <v>0</v>
      </c>
      <c r="Y17" s="978">
        <v>0</v>
      </c>
      <c r="Z17" s="978">
        <v>0</v>
      </c>
      <c r="AA17" s="978">
        <v>0</v>
      </c>
      <c r="AB17" s="978">
        <v>0</v>
      </c>
      <c r="AC17" s="978">
        <v>0</v>
      </c>
      <c r="AD17" s="978">
        <v>0</v>
      </c>
      <c r="AE17" s="978">
        <v>0</v>
      </c>
      <c r="AF17" s="978">
        <v>0</v>
      </c>
      <c r="AG17" s="978">
        <v>0</v>
      </c>
      <c r="AH17" s="978">
        <v>0</v>
      </c>
      <c r="AI17" s="978">
        <v>0</v>
      </c>
      <c r="AJ17" s="978">
        <v>0</v>
      </c>
      <c r="AK17" s="978">
        <v>0</v>
      </c>
      <c r="AL17" s="978">
        <v>0</v>
      </c>
      <c r="AM17" s="951"/>
    </row>
    <row r="18" spans="1:39" s="90" customFormat="1" ht="0.2" customHeight="1">
      <c r="A18" s="976" t="s">
        <v>18</v>
      </c>
      <c r="B18" s="975"/>
      <c r="C18" s="975"/>
      <c r="D18" s="975"/>
      <c r="E18" s="975"/>
      <c r="F18" s="975"/>
      <c r="G18" s="975"/>
      <c r="H18" s="975"/>
      <c r="I18" s="975"/>
      <c r="J18" s="975"/>
      <c r="K18" s="975"/>
      <c r="L18" s="977" t="s">
        <v>1022</v>
      </c>
      <c r="M18" s="179"/>
      <c r="N18" s="16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row>
    <row r="19" spans="1:39">
      <c r="A19" s="934"/>
      <c r="B19" s="934"/>
      <c r="C19" s="934"/>
      <c r="D19" s="934"/>
      <c r="E19" s="934"/>
      <c r="F19" s="934"/>
      <c r="G19" s="934"/>
      <c r="H19" s="934"/>
      <c r="I19" s="934"/>
      <c r="J19" s="934"/>
      <c r="K19" s="934"/>
      <c r="L19" s="934"/>
      <c r="M19" s="934"/>
      <c r="N19" s="934"/>
      <c r="O19" s="934"/>
      <c r="P19" s="934"/>
      <c r="Q19" s="934"/>
      <c r="R19" s="934"/>
      <c r="S19" s="934"/>
      <c r="T19" s="934"/>
      <c r="U19" s="934"/>
      <c r="V19" s="934"/>
      <c r="W19" s="934"/>
      <c r="X19" s="934"/>
      <c r="Y19" s="934"/>
      <c r="Z19" s="934"/>
      <c r="AA19" s="934"/>
      <c r="AB19" s="934"/>
      <c r="AC19" s="934"/>
      <c r="AD19" s="934"/>
      <c r="AE19" s="934"/>
      <c r="AF19" s="934"/>
      <c r="AG19" s="934"/>
      <c r="AH19" s="934"/>
      <c r="AI19" s="934"/>
      <c r="AJ19" s="934"/>
      <c r="AK19" s="934"/>
      <c r="AL19" s="934"/>
      <c r="AM19" s="934"/>
    </row>
    <row r="20" spans="1:39" ht="15" customHeight="1">
      <c r="A20" s="934"/>
      <c r="B20" s="934"/>
      <c r="C20" s="934"/>
      <c r="D20" s="934"/>
      <c r="E20" s="934"/>
      <c r="F20" s="934"/>
      <c r="G20" s="934"/>
      <c r="H20" s="934"/>
      <c r="I20" s="934"/>
      <c r="J20" s="934"/>
      <c r="K20" s="934"/>
      <c r="L20" s="966" t="s">
        <v>1425</v>
      </c>
      <c r="M20" s="966"/>
      <c r="N20" s="966"/>
      <c r="O20" s="966"/>
      <c r="P20" s="966"/>
      <c r="Q20" s="966"/>
      <c r="R20" s="966"/>
      <c r="S20" s="979"/>
      <c r="T20" s="979"/>
      <c r="U20" s="979"/>
      <c r="V20" s="979"/>
      <c r="W20" s="979"/>
      <c r="X20" s="979"/>
      <c r="Y20" s="979"/>
      <c r="Z20" s="979"/>
      <c r="AA20" s="979"/>
      <c r="AB20" s="979"/>
      <c r="AC20" s="979"/>
      <c r="AD20" s="979"/>
      <c r="AE20" s="979"/>
      <c r="AF20" s="979"/>
      <c r="AG20" s="979"/>
      <c r="AH20" s="979"/>
      <c r="AI20" s="979"/>
      <c r="AJ20" s="979"/>
      <c r="AK20" s="979"/>
      <c r="AL20" s="979"/>
      <c r="AM20" s="979"/>
    </row>
    <row r="21" spans="1:39" ht="15" customHeight="1">
      <c r="A21" s="934"/>
      <c r="B21" s="934"/>
      <c r="C21" s="934"/>
      <c r="D21" s="934"/>
      <c r="E21" s="934"/>
      <c r="F21" s="934"/>
      <c r="G21" s="934"/>
      <c r="H21" s="934"/>
      <c r="I21" s="934"/>
      <c r="J21" s="934"/>
      <c r="K21" s="807"/>
      <c r="L21" s="980"/>
      <c r="M21" s="980"/>
      <c r="N21" s="980"/>
      <c r="O21" s="980"/>
      <c r="P21" s="980"/>
      <c r="Q21" s="980"/>
      <c r="R21" s="980"/>
      <c r="S21" s="981"/>
      <c r="T21" s="981"/>
      <c r="U21" s="981"/>
      <c r="V21" s="981"/>
      <c r="W21" s="981"/>
      <c r="X21" s="981"/>
      <c r="Y21" s="981"/>
      <c r="Z21" s="981"/>
      <c r="AA21" s="981"/>
      <c r="AB21" s="981"/>
      <c r="AC21" s="981"/>
      <c r="AD21" s="981"/>
      <c r="AE21" s="981"/>
      <c r="AF21" s="981"/>
      <c r="AG21" s="981"/>
      <c r="AH21" s="981"/>
      <c r="AI21" s="981"/>
      <c r="AJ21" s="981"/>
      <c r="AK21" s="981"/>
      <c r="AL21" s="981"/>
      <c r="AM21" s="981"/>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Q16" activePane="bottomRight" state="frozen"/>
      <selection activeCell="M11" sqref="M11"/>
      <selection pane="topRight" activeCell="M11" sqref="M11"/>
      <selection pane="bottomLeft" activeCell="M11" sqref="M11"/>
      <selection pane="bottomRight" activeCell="R44" sqref="R44"/>
    </sheetView>
  </sheetViews>
  <sheetFormatPr defaultColWidth="9.140625" defaultRowHeight="11.25"/>
  <cols>
    <col min="1" max="1" width="2.7109375" style="86" hidden="1" customWidth="1"/>
    <col min="2" max="2" width="10.7109375" style="86" hidden="1" customWidth="1"/>
    <col min="3" max="3" width="6.140625" style="86" hidden="1" customWidth="1"/>
    <col min="4" max="9" width="2.7109375" style="86" hidden="1" customWidth="1"/>
    <col min="10" max="10" width="5.42578125" style="86" hidden="1" customWidth="1"/>
    <col min="11" max="11" width="3.7109375" style="86" hidden="1" customWidth="1"/>
    <col min="12" max="12" width="7" style="86" customWidth="1"/>
    <col min="13" max="13" width="35.7109375" style="86" customWidth="1"/>
    <col min="14"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40" width="13.140625" style="86" customWidth="1"/>
    <col min="41" max="16384" width="9.140625" style="86"/>
  </cols>
  <sheetData>
    <row r="1" spans="1:39" hidden="1">
      <c r="A1" s="934"/>
      <c r="B1" s="934"/>
      <c r="C1" s="934"/>
      <c r="D1" s="934"/>
      <c r="E1" s="934"/>
      <c r="F1" s="934"/>
      <c r="G1" s="934"/>
      <c r="H1" s="934"/>
      <c r="I1" s="934"/>
      <c r="J1" s="934"/>
      <c r="K1" s="934"/>
      <c r="L1" s="934"/>
      <c r="M1" s="934"/>
      <c r="N1" s="934"/>
      <c r="O1" s="934">
        <v>2022</v>
      </c>
      <c r="P1" s="934">
        <v>2022</v>
      </c>
      <c r="Q1" s="934">
        <v>2022</v>
      </c>
      <c r="R1" s="934">
        <v>2023</v>
      </c>
      <c r="S1" s="934">
        <v>2024</v>
      </c>
      <c r="T1" s="934">
        <v>2025</v>
      </c>
      <c r="U1" s="934">
        <v>2026</v>
      </c>
      <c r="V1" s="934">
        <v>2027</v>
      </c>
      <c r="W1" s="934">
        <v>2028</v>
      </c>
      <c r="X1" s="934">
        <v>2029</v>
      </c>
      <c r="Y1" s="934">
        <v>2030</v>
      </c>
      <c r="Z1" s="934">
        <v>2031</v>
      </c>
      <c r="AA1" s="934">
        <v>2032</v>
      </c>
      <c r="AB1" s="934">
        <v>2033</v>
      </c>
      <c r="AC1" s="934">
        <v>2024</v>
      </c>
      <c r="AD1" s="934">
        <v>2025</v>
      </c>
      <c r="AE1" s="934">
        <v>2026</v>
      </c>
      <c r="AF1" s="934">
        <v>2027</v>
      </c>
      <c r="AG1" s="934">
        <v>2028</v>
      </c>
      <c r="AH1" s="934">
        <v>2029</v>
      </c>
      <c r="AI1" s="934">
        <v>2030</v>
      </c>
      <c r="AJ1" s="934">
        <v>2031</v>
      </c>
      <c r="AK1" s="934">
        <v>2032</v>
      </c>
      <c r="AL1" s="934">
        <v>2033</v>
      </c>
      <c r="AM1" s="934"/>
    </row>
    <row r="2" spans="1:39" hidden="1">
      <c r="A2" s="934"/>
      <c r="B2" s="934"/>
      <c r="C2" s="934"/>
      <c r="D2" s="934"/>
      <c r="E2" s="934"/>
      <c r="F2" s="934"/>
      <c r="G2" s="934"/>
      <c r="H2" s="934"/>
      <c r="I2" s="934"/>
      <c r="J2" s="934"/>
      <c r="K2" s="934"/>
      <c r="L2" s="934"/>
      <c r="M2" s="934"/>
      <c r="N2" s="934"/>
      <c r="O2" s="934" t="s">
        <v>267</v>
      </c>
      <c r="P2" s="934" t="s">
        <v>305</v>
      </c>
      <c r="Q2" s="934" t="s">
        <v>285</v>
      </c>
      <c r="R2" s="934" t="s">
        <v>267</v>
      </c>
      <c r="S2" s="934" t="s">
        <v>268</v>
      </c>
      <c r="T2" s="934" t="s">
        <v>268</v>
      </c>
      <c r="U2" s="934" t="s">
        <v>268</v>
      </c>
      <c r="V2" s="934" t="s">
        <v>268</v>
      </c>
      <c r="W2" s="934" t="s">
        <v>268</v>
      </c>
      <c r="X2" s="934" t="s">
        <v>268</v>
      </c>
      <c r="Y2" s="934" t="s">
        <v>268</v>
      </c>
      <c r="Z2" s="934" t="s">
        <v>268</v>
      </c>
      <c r="AA2" s="934" t="s">
        <v>268</v>
      </c>
      <c r="AB2" s="934" t="s">
        <v>268</v>
      </c>
      <c r="AC2" s="934" t="s">
        <v>267</v>
      </c>
      <c r="AD2" s="934" t="s">
        <v>267</v>
      </c>
      <c r="AE2" s="934" t="s">
        <v>267</v>
      </c>
      <c r="AF2" s="934" t="s">
        <v>267</v>
      </c>
      <c r="AG2" s="934" t="s">
        <v>267</v>
      </c>
      <c r="AH2" s="934" t="s">
        <v>267</v>
      </c>
      <c r="AI2" s="934" t="s">
        <v>267</v>
      </c>
      <c r="AJ2" s="934" t="s">
        <v>267</v>
      </c>
      <c r="AK2" s="934" t="s">
        <v>267</v>
      </c>
      <c r="AL2" s="934" t="s">
        <v>267</v>
      </c>
      <c r="AM2" s="934"/>
    </row>
    <row r="3" spans="1:39" hidden="1">
      <c r="A3" s="934"/>
      <c r="B3" s="934"/>
      <c r="C3" s="934"/>
      <c r="D3" s="934"/>
      <c r="E3" s="934"/>
      <c r="F3" s="934"/>
      <c r="G3" s="934"/>
      <c r="H3" s="934"/>
      <c r="I3" s="934"/>
      <c r="J3" s="934"/>
      <c r="K3" s="934"/>
      <c r="L3" s="934"/>
      <c r="M3" s="934"/>
      <c r="N3" s="934"/>
      <c r="O3" s="934" t="s">
        <v>3032</v>
      </c>
      <c r="P3" s="934" t="s">
        <v>3033</v>
      </c>
      <c r="Q3" s="934" t="s">
        <v>3034</v>
      </c>
      <c r="R3" s="934" t="s">
        <v>3036</v>
      </c>
      <c r="S3" s="934" t="s">
        <v>3037</v>
      </c>
      <c r="T3" s="934" t="s">
        <v>3042</v>
      </c>
      <c r="U3" s="934" t="s">
        <v>3044</v>
      </c>
      <c r="V3" s="934" t="s">
        <v>3046</v>
      </c>
      <c r="W3" s="934" t="s">
        <v>3048</v>
      </c>
      <c r="X3" s="934" t="s">
        <v>3050</v>
      </c>
      <c r="Y3" s="934" t="s">
        <v>3052</v>
      </c>
      <c r="Z3" s="934" t="s">
        <v>3054</v>
      </c>
      <c r="AA3" s="934" t="s">
        <v>3056</v>
      </c>
      <c r="AB3" s="934" t="s">
        <v>3058</v>
      </c>
      <c r="AC3" s="934" t="s">
        <v>3038</v>
      </c>
      <c r="AD3" s="934" t="s">
        <v>3043</v>
      </c>
      <c r="AE3" s="934" t="s">
        <v>3045</v>
      </c>
      <c r="AF3" s="934" t="s">
        <v>3047</v>
      </c>
      <c r="AG3" s="934" t="s">
        <v>3049</v>
      </c>
      <c r="AH3" s="934" t="s">
        <v>3051</v>
      </c>
      <c r="AI3" s="934" t="s">
        <v>3053</v>
      </c>
      <c r="AJ3" s="934" t="s">
        <v>3055</v>
      </c>
      <c r="AK3" s="934" t="s">
        <v>3057</v>
      </c>
      <c r="AL3" s="934" t="s">
        <v>3059</v>
      </c>
      <c r="AM3" s="934"/>
    </row>
    <row r="4" spans="1:39" hidden="1">
      <c r="A4" s="934"/>
      <c r="B4" s="934"/>
      <c r="C4" s="934"/>
      <c r="D4" s="934"/>
      <c r="E4" s="934"/>
      <c r="F4" s="934"/>
      <c r="G4" s="934"/>
      <c r="H4" s="934"/>
      <c r="I4" s="934"/>
      <c r="J4" s="934"/>
      <c r="K4" s="934"/>
      <c r="L4" s="934"/>
      <c r="M4" s="934"/>
      <c r="N4" s="934"/>
      <c r="O4" s="934"/>
      <c r="P4" s="934"/>
      <c r="Q4" s="934"/>
      <c r="R4" s="934"/>
      <c r="S4" s="934"/>
      <c r="T4" s="934"/>
      <c r="U4" s="934"/>
      <c r="V4" s="934"/>
      <c r="W4" s="934"/>
      <c r="X4" s="934"/>
      <c r="Y4" s="934"/>
      <c r="Z4" s="934"/>
      <c r="AA4" s="934"/>
      <c r="AB4" s="934"/>
      <c r="AC4" s="934"/>
      <c r="AD4" s="934"/>
      <c r="AE4" s="934"/>
      <c r="AF4" s="934"/>
      <c r="AG4" s="934"/>
      <c r="AH4" s="934"/>
      <c r="AI4" s="934"/>
      <c r="AJ4" s="934"/>
      <c r="AK4" s="934"/>
      <c r="AL4" s="934"/>
      <c r="AM4" s="934"/>
    </row>
    <row r="5" spans="1:39" hidden="1">
      <c r="A5" s="934"/>
      <c r="B5" s="934"/>
      <c r="C5" s="934"/>
      <c r="D5" s="934"/>
      <c r="E5" s="934"/>
      <c r="F5" s="934"/>
      <c r="G5" s="934"/>
      <c r="H5" s="934"/>
      <c r="I5" s="934"/>
      <c r="J5" s="934"/>
      <c r="K5" s="934"/>
      <c r="L5" s="934"/>
      <c r="M5" s="934"/>
      <c r="N5" s="934"/>
      <c r="O5" s="934"/>
      <c r="P5" s="934"/>
      <c r="Q5" s="934"/>
      <c r="R5" s="934"/>
      <c r="S5" s="934"/>
      <c r="T5" s="934"/>
      <c r="U5" s="934"/>
      <c r="V5" s="934"/>
      <c r="W5" s="934"/>
      <c r="X5" s="934"/>
      <c r="Y5" s="934"/>
      <c r="Z5" s="934"/>
      <c r="AA5" s="934"/>
      <c r="AB5" s="934"/>
      <c r="AC5" s="934"/>
      <c r="AD5" s="934"/>
      <c r="AE5" s="934"/>
      <c r="AF5" s="934"/>
      <c r="AG5" s="934"/>
      <c r="AH5" s="934"/>
      <c r="AI5" s="934"/>
      <c r="AJ5" s="934"/>
      <c r="AK5" s="934"/>
      <c r="AL5" s="934"/>
      <c r="AM5" s="934"/>
    </row>
    <row r="6" spans="1:39" hidden="1">
      <c r="A6" s="934"/>
      <c r="B6" s="934"/>
      <c r="C6" s="934"/>
      <c r="D6" s="934"/>
      <c r="E6" s="934"/>
      <c r="F6" s="934"/>
      <c r="G6" s="934"/>
      <c r="H6" s="934"/>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4"/>
      <c r="AM6" s="934"/>
    </row>
    <row r="7" spans="1:39" hidden="1">
      <c r="A7" s="934"/>
      <c r="B7" s="934"/>
      <c r="C7" s="934"/>
      <c r="D7" s="934"/>
      <c r="E7" s="934"/>
      <c r="F7" s="934"/>
      <c r="G7" s="934"/>
      <c r="H7" s="934"/>
      <c r="I7" s="934"/>
      <c r="J7" s="934"/>
      <c r="K7" s="934"/>
      <c r="L7" s="934"/>
      <c r="M7" s="934"/>
      <c r="N7" s="934"/>
      <c r="O7" s="934"/>
      <c r="P7" s="934"/>
      <c r="Q7" s="934"/>
      <c r="R7" s="934"/>
      <c r="S7" s="886" t="b">
        <v>1</v>
      </c>
      <c r="T7" s="886" t="b">
        <v>1</v>
      </c>
      <c r="U7" s="886" t="b">
        <v>1</v>
      </c>
      <c r="V7" s="886" t="b">
        <v>1</v>
      </c>
      <c r="W7" s="886" t="b">
        <v>1</v>
      </c>
      <c r="X7" s="886" t="b">
        <v>0</v>
      </c>
      <c r="Y7" s="886" t="b">
        <v>0</v>
      </c>
      <c r="Z7" s="886" t="b">
        <v>0</v>
      </c>
      <c r="AA7" s="886" t="b">
        <v>0</v>
      </c>
      <c r="AB7" s="886" t="b">
        <v>0</v>
      </c>
      <c r="AC7" s="886" t="b">
        <v>1</v>
      </c>
      <c r="AD7" s="886" t="b">
        <v>1</v>
      </c>
      <c r="AE7" s="886" t="b">
        <v>1</v>
      </c>
      <c r="AF7" s="886" t="b">
        <v>1</v>
      </c>
      <c r="AG7" s="886" t="b">
        <v>1</v>
      </c>
      <c r="AH7" s="886" t="b">
        <v>0</v>
      </c>
      <c r="AI7" s="886" t="b">
        <v>0</v>
      </c>
      <c r="AJ7" s="886" t="b">
        <v>0</v>
      </c>
      <c r="AK7" s="886" t="b">
        <v>0</v>
      </c>
      <c r="AL7" s="886" t="b">
        <v>0</v>
      </c>
      <c r="AM7" s="934"/>
    </row>
    <row r="8" spans="1:39" hidden="1">
      <c r="A8" s="934"/>
      <c r="B8" s="934"/>
      <c r="C8" s="934"/>
      <c r="D8" s="934"/>
      <c r="E8" s="934"/>
      <c r="F8" s="934"/>
      <c r="G8" s="934"/>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row>
    <row r="9" spans="1:39" hidden="1">
      <c r="A9" s="934"/>
      <c r="B9" s="934"/>
      <c r="C9" s="934"/>
      <c r="D9" s="934"/>
      <c r="E9" s="934"/>
      <c r="F9" s="934"/>
      <c r="G9" s="934"/>
      <c r="H9" s="934"/>
      <c r="I9" s="934"/>
      <c r="J9" s="934"/>
      <c r="K9" s="934"/>
      <c r="L9" s="934"/>
      <c r="M9" s="934"/>
      <c r="N9" s="934"/>
      <c r="O9" s="934"/>
      <c r="P9" s="934"/>
      <c r="Q9" s="934"/>
      <c r="R9" s="934"/>
      <c r="S9" s="934"/>
      <c r="T9" s="934"/>
      <c r="U9" s="934"/>
      <c r="V9" s="934"/>
      <c r="W9" s="934"/>
      <c r="X9" s="934"/>
      <c r="Y9" s="934"/>
      <c r="Z9" s="934"/>
      <c r="AA9" s="934"/>
      <c r="AB9" s="934"/>
      <c r="AC9" s="934"/>
      <c r="AD9" s="934"/>
      <c r="AE9" s="934"/>
      <c r="AF9" s="934"/>
      <c r="AG9" s="934"/>
      <c r="AH9" s="934"/>
      <c r="AI9" s="934"/>
      <c r="AJ9" s="934"/>
      <c r="AK9" s="934"/>
      <c r="AL9" s="934"/>
      <c r="AM9" s="934"/>
    </row>
    <row r="10" spans="1:39" hidden="1">
      <c r="A10" s="934"/>
      <c r="B10" s="934"/>
      <c r="C10" s="934"/>
      <c r="D10" s="934"/>
      <c r="E10" s="934"/>
      <c r="F10" s="934"/>
      <c r="G10" s="934"/>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934"/>
      <c r="AF10" s="934"/>
      <c r="AG10" s="934"/>
      <c r="AH10" s="934"/>
      <c r="AI10" s="934"/>
      <c r="AJ10" s="934"/>
      <c r="AK10" s="934"/>
      <c r="AL10" s="934"/>
      <c r="AM10" s="934"/>
    </row>
    <row r="11" spans="1:39" ht="15" hidden="1" customHeight="1">
      <c r="A11" s="934"/>
      <c r="B11" s="934"/>
      <c r="C11" s="934"/>
      <c r="D11" s="934"/>
      <c r="E11" s="934"/>
      <c r="F11" s="934"/>
      <c r="G11" s="934"/>
      <c r="H11" s="934"/>
      <c r="I11" s="934"/>
      <c r="J11" s="934"/>
      <c r="K11" s="934"/>
      <c r="L11" s="934"/>
      <c r="M11" s="892"/>
      <c r="N11" s="934"/>
      <c r="O11" s="934"/>
      <c r="P11" s="934"/>
      <c r="Q11" s="934"/>
      <c r="R11" s="934"/>
      <c r="S11" s="934"/>
      <c r="T11" s="934"/>
      <c r="U11" s="934"/>
      <c r="V11" s="934"/>
      <c r="W11" s="934"/>
      <c r="X11" s="934"/>
      <c r="Y11" s="934"/>
      <c r="Z11" s="934"/>
      <c r="AA11" s="934"/>
      <c r="AB11" s="934"/>
      <c r="AC11" s="934"/>
      <c r="AD11" s="934"/>
      <c r="AE11" s="934"/>
      <c r="AF11" s="934"/>
      <c r="AG11" s="934"/>
      <c r="AH11" s="934"/>
      <c r="AI11" s="934"/>
      <c r="AJ11" s="934"/>
      <c r="AK11" s="934"/>
      <c r="AL11" s="934"/>
      <c r="AM11" s="934"/>
    </row>
    <row r="12" spans="1:39" s="87" customFormat="1" ht="20.100000000000001" customHeight="1">
      <c r="A12" s="734"/>
      <c r="B12" s="734"/>
      <c r="C12" s="734"/>
      <c r="D12" s="734"/>
      <c r="E12" s="734"/>
      <c r="F12" s="734"/>
      <c r="G12" s="734"/>
      <c r="H12" s="734"/>
      <c r="I12" s="734"/>
      <c r="J12" s="734"/>
      <c r="K12" s="734"/>
      <c r="L12" s="434" t="s">
        <v>1237</v>
      </c>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904"/>
      <c r="B14" s="904"/>
      <c r="C14" s="904"/>
      <c r="D14" s="904"/>
      <c r="E14" s="904"/>
      <c r="F14" s="904"/>
      <c r="G14" s="904"/>
      <c r="H14" s="904"/>
      <c r="I14" s="904"/>
      <c r="J14" s="904"/>
      <c r="K14" s="904"/>
      <c r="L14" s="974" t="s">
        <v>16</v>
      </c>
      <c r="M14" s="974" t="s">
        <v>121</v>
      </c>
      <c r="N14" s="974" t="s">
        <v>135</v>
      </c>
      <c r="O14" s="938" t="s">
        <v>3020</v>
      </c>
      <c r="P14" s="938" t="s">
        <v>3020</v>
      </c>
      <c r="Q14" s="938" t="s">
        <v>3020</v>
      </c>
      <c r="R14" s="939" t="s">
        <v>3021</v>
      </c>
      <c r="S14" s="940" t="s">
        <v>3022</v>
      </c>
      <c r="T14" s="940" t="s">
        <v>3060</v>
      </c>
      <c r="U14" s="940" t="s">
        <v>3061</v>
      </c>
      <c r="V14" s="940" t="s">
        <v>3062</v>
      </c>
      <c r="W14" s="940" t="s">
        <v>3063</v>
      </c>
      <c r="X14" s="940" t="s">
        <v>3064</v>
      </c>
      <c r="Y14" s="940" t="s">
        <v>3065</v>
      </c>
      <c r="Z14" s="940" t="s">
        <v>3066</v>
      </c>
      <c r="AA14" s="940" t="s">
        <v>3067</v>
      </c>
      <c r="AB14" s="940" t="s">
        <v>3068</v>
      </c>
      <c r="AC14" s="940" t="s">
        <v>3022</v>
      </c>
      <c r="AD14" s="940" t="s">
        <v>3060</v>
      </c>
      <c r="AE14" s="940" t="s">
        <v>3061</v>
      </c>
      <c r="AF14" s="940" t="s">
        <v>3062</v>
      </c>
      <c r="AG14" s="940" t="s">
        <v>3063</v>
      </c>
      <c r="AH14" s="940" t="s">
        <v>3064</v>
      </c>
      <c r="AI14" s="940" t="s">
        <v>3065</v>
      </c>
      <c r="AJ14" s="940" t="s">
        <v>3066</v>
      </c>
      <c r="AK14" s="940" t="s">
        <v>3067</v>
      </c>
      <c r="AL14" s="940" t="s">
        <v>3068</v>
      </c>
      <c r="AM14" s="941" t="s">
        <v>304</v>
      </c>
    </row>
    <row r="15" spans="1:39" s="88" customFormat="1" ht="50.1" customHeight="1">
      <c r="A15" s="904"/>
      <c r="B15" s="904"/>
      <c r="C15" s="904"/>
      <c r="D15" s="904"/>
      <c r="E15" s="904"/>
      <c r="F15" s="904"/>
      <c r="G15" s="904"/>
      <c r="H15" s="904"/>
      <c r="I15" s="904"/>
      <c r="J15" s="904"/>
      <c r="K15" s="904"/>
      <c r="L15" s="974"/>
      <c r="M15" s="974"/>
      <c r="N15" s="974"/>
      <c r="O15" s="940" t="s">
        <v>267</v>
      </c>
      <c r="P15" s="940" t="s">
        <v>305</v>
      </c>
      <c r="Q15" s="940" t="s">
        <v>285</v>
      </c>
      <c r="R15" s="940" t="s">
        <v>267</v>
      </c>
      <c r="S15" s="943" t="s">
        <v>268</v>
      </c>
      <c r="T15" s="943" t="s">
        <v>268</v>
      </c>
      <c r="U15" s="943" t="s">
        <v>268</v>
      </c>
      <c r="V15" s="943" t="s">
        <v>268</v>
      </c>
      <c r="W15" s="943" t="s">
        <v>268</v>
      </c>
      <c r="X15" s="943" t="s">
        <v>268</v>
      </c>
      <c r="Y15" s="943" t="s">
        <v>268</v>
      </c>
      <c r="Z15" s="943" t="s">
        <v>268</v>
      </c>
      <c r="AA15" s="943" t="s">
        <v>268</v>
      </c>
      <c r="AB15" s="943" t="s">
        <v>268</v>
      </c>
      <c r="AC15" s="943" t="s">
        <v>267</v>
      </c>
      <c r="AD15" s="943" t="s">
        <v>267</v>
      </c>
      <c r="AE15" s="943" t="s">
        <v>267</v>
      </c>
      <c r="AF15" s="943" t="s">
        <v>267</v>
      </c>
      <c r="AG15" s="943" t="s">
        <v>267</v>
      </c>
      <c r="AH15" s="943" t="s">
        <v>267</v>
      </c>
      <c r="AI15" s="943" t="s">
        <v>267</v>
      </c>
      <c r="AJ15" s="943" t="s">
        <v>267</v>
      </c>
      <c r="AK15" s="943" t="s">
        <v>267</v>
      </c>
      <c r="AL15" s="943" t="s">
        <v>267</v>
      </c>
      <c r="AM15" s="941"/>
    </row>
    <row r="16" spans="1:39" s="88" customFormat="1">
      <c r="A16" s="944" t="s">
        <v>18</v>
      </c>
      <c r="B16" s="934"/>
      <c r="C16" s="934"/>
      <c r="D16" s="904"/>
      <c r="E16" s="904"/>
      <c r="F16" s="904"/>
      <c r="G16" s="904"/>
      <c r="H16" s="904"/>
      <c r="I16" s="904"/>
      <c r="J16" s="904"/>
      <c r="K16" s="904"/>
      <c r="L16" s="860" t="s">
        <v>3018</v>
      </c>
      <c r="M16" s="839"/>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905"/>
    </row>
    <row r="17" spans="1:39" s="90" customFormat="1">
      <c r="A17" s="982">
        <v>1</v>
      </c>
      <c r="B17" s="983" t="s">
        <v>1480</v>
      </c>
      <c r="C17" s="983"/>
      <c r="D17" s="975"/>
      <c r="E17" s="975"/>
      <c r="F17" s="975"/>
      <c r="G17" s="975"/>
      <c r="H17" s="975"/>
      <c r="I17" s="975"/>
      <c r="J17" s="975"/>
      <c r="K17" s="975"/>
      <c r="L17" s="977" t="s">
        <v>18</v>
      </c>
      <c r="M17" s="179" t="s">
        <v>1023</v>
      </c>
      <c r="N17" s="957" t="s">
        <v>351</v>
      </c>
      <c r="O17" s="181">
        <v>646.38</v>
      </c>
      <c r="P17" s="181">
        <v>372.4</v>
      </c>
      <c r="Q17" s="181">
        <v>372.4</v>
      </c>
      <c r="R17" s="181">
        <v>738.89</v>
      </c>
      <c r="S17" s="181">
        <v>521.94799999999998</v>
      </c>
      <c r="T17" s="181">
        <v>650</v>
      </c>
      <c r="U17" s="181">
        <v>680</v>
      </c>
      <c r="V17" s="181">
        <v>750</v>
      </c>
      <c r="W17" s="181">
        <v>800</v>
      </c>
      <c r="X17" s="181">
        <v>0</v>
      </c>
      <c r="Y17" s="181">
        <v>0</v>
      </c>
      <c r="Z17" s="181">
        <v>0</v>
      </c>
      <c r="AA17" s="181">
        <v>0</v>
      </c>
      <c r="AB17" s="181">
        <v>0</v>
      </c>
      <c r="AC17" s="181">
        <v>521.94799999999998</v>
      </c>
      <c r="AD17" s="181">
        <v>542.83000000000004</v>
      </c>
      <c r="AE17" s="181">
        <v>564.54</v>
      </c>
      <c r="AF17" s="181">
        <v>587.12</v>
      </c>
      <c r="AG17" s="181">
        <v>610.61</v>
      </c>
      <c r="AH17" s="181">
        <v>0</v>
      </c>
      <c r="AI17" s="181">
        <v>0</v>
      </c>
      <c r="AJ17" s="181">
        <v>0</v>
      </c>
      <c r="AK17" s="181">
        <v>0</v>
      </c>
      <c r="AL17" s="181">
        <v>0</v>
      </c>
      <c r="AM17" s="951"/>
    </row>
    <row r="18" spans="1:39" s="90" customFormat="1" ht="22.5">
      <c r="A18" s="982">
        <v>1</v>
      </c>
      <c r="B18" s="983" t="s">
        <v>1481</v>
      </c>
      <c r="C18" s="983"/>
      <c r="D18" s="975"/>
      <c r="E18" s="975"/>
      <c r="F18" s="975"/>
      <c r="G18" s="975"/>
      <c r="H18" s="975"/>
      <c r="I18" s="975"/>
      <c r="J18" s="975"/>
      <c r="K18" s="975"/>
      <c r="L18" s="977" t="s">
        <v>102</v>
      </c>
      <c r="M18" s="179" t="s">
        <v>1135</v>
      </c>
      <c r="N18" s="940" t="s">
        <v>1201</v>
      </c>
      <c r="O18" s="181">
        <v>75.599999999999994</v>
      </c>
      <c r="P18" s="181">
        <v>49</v>
      </c>
      <c r="Q18" s="181">
        <v>49</v>
      </c>
      <c r="R18" s="181">
        <v>75.63</v>
      </c>
      <c r="S18" s="181">
        <v>59</v>
      </c>
      <c r="T18" s="181">
        <v>68</v>
      </c>
      <c r="U18" s="181">
        <v>68</v>
      </c>
      <c r="V18" s="181">
        <v>71</v>
      </c>
      <c r="W18" s="181">
        <v>72</v>
      </c>
      <c r="X18" s="181">
        <v>0</v>
      </c>
      <c r="Y18" s="181">
        <v>0</v>
      </c>
      <c r="Z18" s="181">
        <v>0</v>
      </c>
      <c r="AA18" s="181">
        <v>0</v>
      </c>
      <c r="AB18" s="181">
        <v>0</v>
      </c>
      <c r="AC18" s="181">
        <v>59</v>
      </c>
      <c r="AD18" s="181">
        <v>59</v>
      </c>
      <c r="AE18" s="181">
        <v>59</v>
      </c>
      <c r="AF18" s="181">
        <v>59</v>
      </c>
      <c r="AG18" s="181">
        <v>59</v>
      </c>
      <c r="AH18" s="181">
        <v>0</v>
      </c>
      <c r="AI18" s="181">
        <v>0</v>
      </c>
      <c r="AJ18" s="181">
        <v>0</v>
      </c>
      <c r="AK18" s="181">
        <v>0</v>
      </c>
      <c r="AL18" s="181">
        <v>0</v>
      </c>
      <c r="AM18" s="951"/>
    </row>
    <row r="19" spans="1:39" s="90" customFormat="1">
      <c r="A19" s="982">
        <v>1</v>
      </c>
      <c r="B19" s="983" t="s">
        <v>1483</v>
      </c>
      <c r="C19" s="983"/>
      <c r="D19" s="975"/>
      <c r="E19" s="975"/>
      <c r="F19" s="975"/>
      <c r="G19" s="975"/>
      <c r="H19" s="975"/>
      <c r="I19" s="975"/>
      <c r="J19" s="975"/>
      <c r="K19" s="975"/>
      <c r="L19" s="977" t="s">
        <v>103</v>
      </c>
      <c r="M19" s="179" t="s">
        <v>1136</v>
      </c>
      <c r="N19" s="940" t="s">
        <v>484</v>
      </c>
      <c r="O19" s="984">
        <v>40</v>
      </c>
      <c r="P19" s="984">
        <v>40</v>
      </c>
      <c r="Q19" s="984">
        <v>40</v>
      </c>
      <c r="R19" s="984">
        <v>40</v>
      </c>
      <c r="S19" s="984">
        <v>40</v>
      </c>
      <c r="T19" s="984">
        <v>40</v>
      </c>
      <c r="U19" s="984">
        <v>40</v>
      </c>
      <c r="V19" s="984">
        <v>40</v>
      </c>
      <c r="W19" s="984">
        <v>40</v>
      </c>
      <c r="X19" s="984"/>
      <c r="Y19" s="984"/>
      <c r="Z19" s="984"/>
      <c r="AA19" s="984"/>
      <c r="AB19" s="984"/>
      <c r="AC19" s="984">
        <v>40</v>
      </c>
      <c r="AD19" s="984">
        <v>40</v>
      </c>
      <c r="AE19" s="984">
        <v>40</v>
      </c>
      <c r="AF19" s="984">
        <v>40</v>
      </c>
      <c r="AG19" s="984">
        <v>40</v>
      </c>
      <c r="AH19" s="984"/>
      <c r="AI19" s="984"/>
      <c r="AJ19" s="984"/>
      <c r="AK19" s="984"/>
      <c r="AL19" s="984"/>
      <c r="AM19" s="951"/>
    </row>
    <row r="20" spans="1:39" s="90" customFormat="1">
      <c r="A20" s="982">
        <v>1</v>
      </c>
      <c r="B20" s="983" t="s">
        <v>1484</v>
      </c>
      <c r="C20" s="983"/>
      <c r="D20" s="975"/>
      <c r="E20" s="975"/>
      <c r="F20" s="975"/>
      <c r="G20" s="975"/>
      <c r="H20" s="975"/>
      <c r="I20" s="975"/>
      <c r="J20" s="975"/>
      <c r="K20" s="975"/>
      <c r="L20" s="977" t="s">
        <v>104</v>
      </c>
      <c r="M20" s="179" t="s">
        <v>353</v>
      </c>
      <c r="N20" s="940" t="s">
        <v>486</v>
      </c>
      <c r="O20" s="181">
        <v>8.5500000000000007</v>
      </c>
      <c r="P20" s="181">
        <v>7.6</v>
      </c>
      <c r="Q20" s="181">
        <v>7.6</v>
      </c>
      <c r="R20" s="181">
        <v>9.7698003437789236</v>
      </c>
      <c r="S20" s="181">
        <v>8.8465762711864411</v>
      </c>
      <c r="T20" s="181">
        <v>9.5588235294117645</v>
      </c>
      <c r="U20" s="181">
        <v>10</v>
      </c>
      <c r="V20" s="181">
        <v>10.56338028169014</v>
      </c>
      <c r="W20" s="181">
        <v>11.111111111111111</v>
      </c>
      <c r="X20" s="181">
        <v>0</v>
      </c>
      <c r="Y20" s="181">
        <v>0</v>
      </c>
      <c r="Z20" s="181">
        <v>0</v>
      </c>
      <c r="AA20" s="181">
        <v>0</v>
      </c>
      <c r="AB20" s="181">
        <v>0</v>
      </c>
      <c r="AC20" s="181">
        <v>8.8465762711864411</v>
      </c>
      <c r="AD20" s="181">
        <v>9.2005084745762726</v>
      </c>
      <c r="AE20" s="181">
        <v>9.5684745762711856</v>
      </c>
      <c r="AF20" s="181">
        <v>9.9511864406779669</v>
      </c>
      <c r="AG20" s="181">
        <v>10.349322033898305</v>
      </c>
      <c r="AH20" s="181">
        <v>0</v>
      </c>
      <c r="AI20" s="181">
        <v>0</v>
      </c>
      <c r="AJ20" s="181">
        <v>0</v>
      </c>
      <c r="AK20" s="181">
        <v>0</v>
      </c>
      <c r="AL20" s="181">
        <v>0</v>
      </c>
      <c r="AM20" s="951"/>
    </row>
    <row r="21" spans="1:39" s="90" customFormat="1">
      <c r="A21" s="982">
        <v>1</v>
      </c>
      <c r="B21" s="983" t="s">
        <v>1485</v>
      </c>
      <c r="C21" s="983"/>
      <c r="D21" s="975"/>
      <c r="E21" s="975"/>
      <c r="F21" s="975"/>
      <c r="G21" s="975"/>
      <c r="H21" s="975"/>
      <c r="I21" s="975"/>
      <c r="J21" s="975"/>
      <c r="K21" s="975"/>
      <c r="L21" s="977" t="s">
        <v>120</v>
      </c>
      <c r="M21" s="179" t="s">
        <v>354</v>
      </c>
      <c r="N21" s="940" t="s">
        <v>482</v>
      </c>
      <c r="O21" s="985">
        <v>1.89</v>
      </c>
      <c r="P21" s="985">
        <v>1.2250000000000001</v>
      </c>
      <c r="Q21" s="985">
        <v>1.2250000000000001</v>
      </c>
      <c r="R21" s="985">
        <v>1.8907499999999999</v>
      </c>
      <c r="S21" s="985">
        <v>1.4750000000000001</v>
      </c>
      <c r="T21" s="985">
        <v>1.7</v>
      </c>
      <c r="U21" s="985">
        <v>1.7</v>
      </c>
      <c r="V21" s="985">
        <v>1.7749999999999999</v>
      </c>
      <c r="W21" s="985">
        <v>1.8</v>
      </c>
      <c r="X21" s="985">
        <v>0</v>
      </c>
      <c r="Y21" s="985">
        <v>0</v>
      </c>
      <c r="Z21" s="985">
        <v>0</v>
      </c>
      <c r="AA21" s="985">
        <v>0</v>
      </c>
      <c r="AB21" s="985">
        <v>0</v>
      </c>
      <c r="AC21" s="985">
        <v>1.4750000000000001</v>
      </c>
      <c r="AD21" s="985">
        <v>1.4750000000000001</v>
      </c>
      <c r="AE21" s="985">
        <v>1.4750000000000001</v>
      </c>
      <c r="AF21" s="985">
        <v>1.4750000000000001</v>
      </c>
      <c r="AG21" s="985">
        <v>1.4750000000000001</v>
      </c>
      <c r="AH21" s="985">
        <v>0</v>
      </c>
      <c r="AI21" s="985">
        <v>0</v>
      </c>
      <c r="AJ21" s="985">
        <v>0</v>
      </c>
      <c r="AK21" s="985">
        <v>0</v>
      </c>
      <c r="AL21" s="985">
        <v>0</v>
      </c>
      <c r="AM21" s="951"/>
    </row>
    <row r="22" spans="1:39" s="90" customFormat="1">
      <c r="A22" s="982">
        <v>1</v>
      </c>
      <c r="B22" s="983"/>
      <c r="C22" s="983"/>
      <c r="D22" s="975"/>
      <c r="E22" s="975"/>
      <c r="F22" s="975"/>
      <c r="G22" s="975"/>
      <c r="H22" s="975"/>
      <c r="I22" s="975"/>
      <c r="J22" s="986" t="s">
        <v>1027</v>
      </c>
      <c r="K22" s="975"/>
      <c r="L22" s="987"/>
      <c r="M22" s="988" t="s">
        <v>1123</v>
      </c>
      <c r="N22" s="989"/>
      <c r="O22" s="990"/>
      <c r="P22" s="990"/>
      <c r="Q22" s="990"/>
      <c r="R22" s="990"/>
      <c r="S22" s="990"/>
      <c r="T22" s="990"/>
      <c r="U22" s="990"/>
      <c r="V22" s="990"/>
      <c r="W22" s="990"/>
      <c r="X22" s="990"/>
      <c r="Y22" s="990"/>
      <c r="Z22" s="990"/>
      <c r="AA22" s="990"/>
      <c r="AB22" s="990"/>
      <c r="AC22" s="990"/>
      <c r="AD22" s="990"/>
      <c r="AE22" s="990"/>
      <c r="AF22" s="990"/>
      <c r="AG22" s="990"/>
      <c r="AH22" s="990"/>
      <c r="AI22" s="990"/>
      <c r="AJ22" s="990"/>
      <c r="AK22" s="990"/>
      <c r="AL22" s="990"/>
      <c r="AM22" s="991"/>
    </row>
    <row r="23" spans="1:39" s="90" customFormat="1" ht="14.25">
      <c r="A23" s="841">
        <v>1</v>
      </c>
      <c r="B23" s="983" t="s">
        <v>1486</v>
      </c>
      <c r="C23" s="983" t="s">
        <v>1185</v>
      </c>
      <c r="D23" s="975"/>
      <c r="E23" s="975"/>
      <c r="F23" s="975"/>
      <c r="G23" s="975"/>
      <c r="H23" s="975"/>
      <c r="I23" s="975"/>
      <c r="J23" s="992" t="s">
        <v>179</v>
      </c>
      <c r="K23" s="807"/>
      <c r="L23" s="977" t="s">
        <v>179</v>
      </c>
      <c r="M23" s="993" t="s">
        <v>1185</v>
      </c>
      <c r="N23" s="957" t="s">
        <v>351</v>
      </c>
      <c r="O23" s="994">
        <v>646.38</v>
      </c>
      <c r="P23" s="994">
        <v>372.4</v>
      </c>
      <c r="Q23" s="994">
        <v>372.4</v>
      </c>
      <c r="R23" s="994">
        <v>738.89</v>
      </c>
      <c r="S23" s="994">
        <v>521.94799999999998</v>
      </c>
      <c r="T23" s="994">
        <v>650</v>
      </c>
      <c r="U23" s="994">
        <v>680</v>
      </c>
      <c r="V23" s="994">
        <v>750</v>
      </c>
      <c r="W23" s="994">
        <v>800</v>
      </c>
      <c r="X23" s="994"/>
      <c r="Y23" s="994"/>
      <c r="Z23" s="994"/>
      <c r="AA23" s="994"/>
      <c r="AB23" s="994"/>
      <c r="AC23" s="994">
        <v>521.94799999999998</v>
      </c>
      <c r="AD23" s="994">
        <v>542.83000000000004</v>
      </c>
      <c r="AE23" s="994">
        <v>564.54</v>
      </c>
      <c r="AF23" s="994">
        <v>587.12</v>
      </c>
      <c r="AG23" s="994">
        <v>610.61</v>
      </c>
      <c r="AH23" s="994"/>
      <c r="AI23" s="994"/>
      <c r="AJ23" s="994"/>
      <c r="AK23" s="994"/>
      <c r="AL23" s="994"/>
      <c r="AM23" s="951"/>
    </row>
    <row r="24" spans="1:39" s="90" customFormat="1">
      <c r="A24" s="841">
        <v>1</v>
      </c>
      <c r="B24" s="983" t="s">
        <v>1526</v>
      </c>
      <c r="C24" s="983" t="s">
        <v>1185</v>
      </c>
      <c r="D24" s="975"/>
      <c r="E24" s="975"/>
      <c r="F24" s="975"/>
      <c r="G24" s="975"/>
      <c r="H24" s="975"/>
      <c r="I24" s="975"/>
      <c r="J24" s="992"/>
      <c r="K24" s="975"/>
      <c r="L24" s="995" t="s">
        <v>1266</v>
      </c>
      <c r="M24" s="198" t="s">
        <v>1028</v>
      </c>
      <c r="N24" s="940" t="s">
        <v>486</v>
      </c>
      <c r="O24" s="978">
        <v>8.5500000000000007</v>
      </c>
      <c r="P24" s="978">
        <v>7.6</v>
      </c>
      <c r="Q24" s="978">
        <v>7.6</v>
      </c>
      <c r="R24" s="978">
        <v>9.7698003437789236</v>
      </c>
      <c r="S24" s="978">
        <v>8.8465762711864411</v>
      </c>
      <c r="T24" s="978">
        <v>9.5588235294117645</v>
      </c>
      <c r="U24" s="978">
        <v>10</v>
      </c>
      <c r="V24" s="978">
        <v>10.56338028169014</v>
      </c>
      <c r="W24" s="978">
        <v>11.111111111111111</v>
      </c>
      <c r="X24" s="978">
        <v>0</v>
      </c>
      <c r="Y24" s="978">
        <v>0</v>
      </c>
      <c r="Z24" s="978">
        <v>0</v>
      </c>
      <c r="AA24" s="978">
        <v>0</v>
      </c>
      <c r="AB24" s="978">
        <v>0</v>
      </c>
      <c r="AC24" s="978">
        <v>8.8465762711864411</v>
      </c>
      <c r="AD24" s="978">
        <v>9.2005084745762726</v>
      </c>
      <c r="AE24" s="978">
        <v>9.5684745762711856</v>
      </c>
      <c r="AF24" s="978">
        <v>9.9511864406779669</v>
      </c>
      <c r="AG24" s="978">
        <v>10.349322033898305</v>
      </c>
      <c r="AH24" s="978">
        <v>0</v>
      </c>
      <c r="AI24" s="978">
        <v>0</v>
      </c>
      <c r="AJ24" s="978">
        <v>0</v>
      </c>
      <c r="AK24" s="978">
        <v>0</v>
      </c>
      <c r="AL24" s="978">
        <v>0</v>
      </c>
      <c r="AM24" s="951"/>
    </row>
    <row r="25" spans="1:39" s="90" customFormat="1">
      <c r="A25" s="841">
        <v>1</v>
      </c>
      <c r="B25" s="983" t="s">
        <v>1527</v>
      </c>
      <c r="C25" s="983" t="s">
        <v>1185</v>
      </c>
      <c r="D25" s="975"/>
      <c r="E25" s="975"/>
      <c r="F25" s="975"/>
      <c r="G25" s="975"/>
      <c r="H25" s="975"/>
      <c r="I25" s="975"/>
      <c r="J25" s="992"/>
      <c r="K25" s="975"/>
      <c r="L25" s="995" t="s">
        <v>1267</v>
      </c>
      <c r="M25" s="198" t="s">
        <v>1137</v>
      </c>
      <c r="N25" s="940" t="s">
        <v>1201</v>
      </c>
      <c r="O25" s="994">
        <v>75.599999999999994</v>
      </c>
      <c r="P25" s="994">
        <v>49</v>
      </c>
      <c r="Q25" s="994">
        <v>49</v>
      </c>
      <c r="R25" s="994">
        <v>75.63</v>
      </c>
      <c r="S25" s="994">
        <v>59</v>
      </c>
      <c r="T25" s="994">
        <v>68</v>
      </c>
      <c r="U25" s="994">
        <v>68</v>
      </c>
      <c r="V25" s="994">
        <v>71</v>
      </c>
      <c r="W25" s="994">
        <v>72</v>
      </c>
      <c r="X25" s="994"/>
      <c r="Y25" s="994"/>
      <c r="Z25" s="994"/>
      <c r="AA25" s="994"/>
      <c r="AB25" s="994"/>
      <c r="AC25" s="994">
        <v>59</v>
      </c>
      <c r="AD25" s="994">
        <v>59</v>
      </c>
      <c r="AE25" s="994">
        <v>59</v>
      </c>
      <c r="AF25" s="994">
        <v>59</v>
      </c>
      <c r="AG25" s="994">
        <v>59</v>
      </c>
      <c r="AH25" s="994"/>
      <c r="AI25" s="994"/>
      <c r="AJ25" s="994"/>
      <c r="AK25" s="994"/>
      <c r="AL25" s="994"/>
      <c r="AM25" s="951"/>
    </row>
    <row r="26" spans="1:39" s="90" customFormat="1">
      <c r="A26" s="982">
        <v>1</v>
      </c>
      <c r="B26" s="983"/>
      <c r="C26" s="983"/>
      <c r="D26" s="975"/>
      <c r="E26" s="975"/>
      <c r="F26" s="975"/>
      <c r="G26" s="975"/>
      <c r="H26" s="975"/>
      <c r="I26" s="975"/>
      <c r="J26" s="986" t="s">
        <v>1107</v>
      </c>
      <c r="K26" s="975"/>
      <c r="L26" s="987"/>
      <c r="M26" s="988" t="s">
        <v>1124</v>
      </c>
      <c r="N26" s="989"/>
      <c r="O26" s="990"/>
      <c r="P26" s="990"/>
      <c r="Q26" s="990"/>
      <c r="R26" s="990"/>
      <c r="S26" s="990"/>
      <c r="T26" s="990"/>
      <c r="U26" s="990"/>
      <c r="V26" s="990"/>
      <c r="W26" s="990"/>
      <c r="X26" s="990"/>
      <c r="Y26" s="990"/>
      <c r="Z26" s="990"/>
      <c r="AA26" s="990"/>
      <c r="AB26" s="990"/>
      <c r="AC26" s="990"/>
      <c r="AD26" s="990"/>
      <c r="AE26" s="990"/>
      <c r="AF26" s="990"/>
      <c r="AG26" s="990"/>
      <c r="AH26" s="990"/>
      <c r="AI26" s="990"/>
      <c r="AJ26" s="990"/>
      <c r="AK26" s="990"/>
      <c r="AL26" s="990"/>
      <c r="AM26" s="991"/>
    </row>
    <row r="27" spans="1:39">
      <c r="A27" s="934"/>
      <c r="B27" s="934"/>
      <c r="C27" s="934"/>
      <c r="D27" s="934"/>
      <c r="E27" s="934"/>
      <c r="F27" s="934"/>
      <c r="G27" s="934"/>
      <c r="H27" s="934"/>
      <c r="I27" s="934"/>
      <c r="J27" s="934"/>
      <c r="K27" s="934"/>
      <c r="L27" s="934"/>
      <c r="M27" s="934"/>
      <c r="N27" s="934"/>
      <c r="O27" s="934"/>
      <c r="P27" s="934"/>
      <c r="Q27" s="934"/>
      <c r="R27" s="934"/>
      <c r="S27" s="934"/>
      <c r="T27" s="934"/>
      <c r="U27" s="934"/>
      <c r="V27" s="934"/>
      <c r="W27" s="934"/>
      <c r="X27" s="934"/>
      <c r="Y27" s="934"/>
      <c r="Z27" s="934"/>
      <c r="AA27" s="934"/>
      <c r="AB27" s="934"/>
      <c r="AC27" s="934"/>
      <c r="AD27" s="934"/>
      <c r="AE27" s="934"/>
      <c r="AF27" s="934"/>
      <c r="AG27" s="934"/>
      <c r="AH27" s="934"/>
      <c r="AI27" s="934"/>
      <c r="AJ27" s="934"/>
      <c r="AK27" s="934"/>
      <c r="AL27" s="934"/>
      <c r="AM27" s="934"/>
    </row>
    <row r="28" spans="1:39">
      <c r="A28" s="934"/>
      <c r="B28" s="934"/>
      <c r="C28" s="934"/>
      <c r="D28" s="934"/>
      <c r="E28" s="934"/>
      <c r="F28" s="934"/>
      <c r="G28" s="934"/>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row>
    <row r="29" spans="1:39" ht="15" customHeight="1">
      <c r="A29" s="934"/>
      <c r="B29" s="934"/>
      <c r="C29" s="934"/>
      <c r="D29" s="934"/>
      <c r="E29" s="934"/>
      <c r="F29" s="934"/>
      <c r="G29" s="934"/>
      <c r="H29" s="934"/>
      <c r="I29" s="934"/>
      <c r="J29" s="934"/>
      <c r="K29" s="934"/>
      <c r="L29" s="966" t="s">
        <v>1425</v>
      </c>
      <c r="M29" s="966"/>
      <c r="N29" s="966"/>
      <c r="O29" s="966"/>
      <c r="P29" s="966"/>
      <c r="Q29" s="966"/>
      <c r="R29" s="966"/>
      <c r="S29" s="979"/>
      <c r="T29" s="979"/>
      <c r="U29" s="979"/>
      <c r="V29" s="979"/>
      <c r="W29" s="979"/>
      <c r="X29" s="979"/>
      <c r="Y29" s="979"/>
      <c r="Z29" s="979"/>
      <c r="AA29" s="979"/>
      <c r="AB29" s="979"/>
      <c r="AC29" s="979"/>
      <c r="AD29" s="979"/>
      <c r="AE29" s="979"/>
      <c r="AF29" s="979"/>
      <c r="AG29" s="979"/>
      <c r="AH29" s="979"/>
      <c r="AI29" s="979"/>
      <c r="AJ29" s="979"/>
      <c r="AK29" s="979"/>
      <c r="AL29" s="979"/>
      <c r="AM29" s="979"/>
    </row>
    <row r="30" spans="1:39" ht="97.5" customHeight="1">
      <c r="A30" s="934"/>
      <c r="B30" s="934"/>
      <c r="C30" s="934"/>
      <c r="D30" s="934"/>
      <c r="E30" s="934"/>
      <c r="F30" s="934"/>
      <c r="G30" s="934"/>
      <c r="H30" s="934"/>
      <c r="I30" s="934"/>
      <c r="J30" s="934"/>
      <c r="K30" s="807"/>
      <c r="L30" s="996" t="s">
        <v>2994</v>
      </c>
      <c r="M30" s="980"/>
      <c r="N30" s="980"/>
      <c r="O30" s="980"/>
      <c r="P30" s="980"/>
      <c r="Q30" s="980"/>
      <c r="R30" s="980"/>
      <c r="S30" s="981"/>
      <c r="T30" s="981"/>
      <c r="U30" s="981"/>
      <c r="V30" s="981"/>
      <c r="W30" s="981"/>
      <c r="X30" s="981"/>
      <c r="Y30" s="981"/>
      <c r="Z30" s="981"/>
      <c r="AA30" s="981"/>
      <c r="AB30" s="981"/>
      <c r="AC30" s="981"/>
      <c r="AD30" s="981"/>
      <c r="AE30" s="981"/>
      <c r="AF30" s="981"/>
      <c r="AG30" s="981"/>
      <c r="AH30" s="981"/>
      <c r="AI30" s="981"/>
      <c r="AJ30" s="981"/>
      <c r="AK30" s="981"/>
      <c r="AL30" s="981"/>
      <c r="AM30" s="981"/>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zoomScale="60" zoomScaleNormal="100" workbookViewId="0">
      <pane xSplit="14" ySplit="15" topLeftCell="O34" activePane="bottomRight" state="frozen"/>
      <selection activeCell="M11" sqref="M11"/>
      <selection pane="topRight" activeCell="M11" sqref="M11"/>
      <selection pane="bottomLeft" activeCell="M11" sqref="M11"/>
      <selection pane="bottomRight" activeCell="R50" sqref="R50"/>
    </sheetView>
  </sheetViews>
  <sheetFormatPr defaultColWidth="8.7109375" defaultRowHeight="11.25"/>
  <cols>
    <col min="1" max="1" width="2.7109375" style="91" hidden="1" customWidth="1"/>
    <col min="2" max="2" width="7.140625" style="91" hidden="1" customWidth="1"/>
    <col min="3"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23" width="13.28515625" style="92" customWidth="1"/>
    <col min="24" max="28" width="13.28515625" style="92" hidden="1" customWidth="1"/>
    <col min="29" max="33" width="13.28515625" style="92" customWidth="1"/>
    <col min="34" max="38" width="13.28515625" style="92" hidden="1" customWidth="1"/>
    <col min="39" max="39" width="20.7109375" style="91" customWidth="1"/>
    <col min="40" max="16384" width="8.7109375" style="91"/>
  </cols>
  <sheetData>
    <row r="1" spans="1:39" hidden="1">
      <c r="A1" s="997"/>
      <c r="B1" s="997"/>
      <c r="C1" s="997"/>
      <c r="D1" s="997"/>
      <c r="E1" s="997"/>
      <c r="F1" s="997"/>
      <c r="G1" s="997"/>
      <c r="H1" s="997"/>
      <c r="I1" s="997"/>
      <c r="J1" s="997"/>
      <c r="K1" s="997"/>
      <c r="L1" s="997"/>
      <c r="M1" s="997"/>
      <c r="N1" s="998"/>
      <c r="O1" s="998">
        <v>2022</v>
      </c>
      <c r="P1" s="998">
        <v>2022</v>
      </c>
      <c r="Q1" s="998">
        <v>2022</v>
      </c>
      <c r="R1" s="998">
        <v>2023</v>
      </c>
      <c r="S1" s="934">
        <v>2024</v>
      </c>
      <c r="T1" s="934">
        <v>2025</v>
      </c>
      <c r="U1" s="934">
        <v>2026</v>
      </c>
      <c r="V1" s="934">
        <v>2027</v>
      </c>
      <c r="W1" s="934">
        <v>2028</v>
      </c>
      <c r="X1" s="934">
        <v>2029</v>
      </c>
      <c r="Y1" s="934">
        <v>2030</v>
      </c>
      <c r="Z1" s="934">
        <v>2031</v>
      </c>
      <c r="AA1" s="934">
        <v>2032</v>
      </c>
      <c r="AB1" s="934">
        <v>2033</v>
      </c>
      <c r="AC1" s="934">
        <v>2024</v>
      </c>
      <c r="AD1" s="934">
        <v>2025</v>
      </c>
      <c r="AE1" s="934">
        <v>2026</v>
      </c>
      <c r="AF1" s="934">
        <v>2027</v>
      </c>
      <c r="AG1" s="934">
        <v>2028</v>
      </c>
      <c r="AH1" s="934">
        <v>2029</v>
      </c>
      <c r="AI1" s="934">
        <v>2030</v>
      </c>
      <c r="AJ1" s="934">
        <v>2031</v>
      </c>
      <c r="AK1" s="934">
        <v>2032</v>
      </c>
      <c r="AL1" s="934">
        <v>2033</v>
      </c>
      <c r="AM1" s="997"/>
    </row>
    <row r="2" spans="1:39" hidden="1">
      <c r="A2" s="997"/>
      <c r="B2" s="997"/>
      <c r="C2" s="997"/>
      <c r="D2" s="997"/>
      <c r="E2" s="997"/>
      <c r="F2" s="997"/>
      <c r="G2" s="997"/>
      <c r="H2" s="997"/>
      <c r="I2" s="997"/>
      <c r="J2" s="997"/>
      <c r="K2" s="997"/>
      <c r="L2" s="997"/>
      <c r="M2" s="997"/>
      <c r="N2" s="998"/>
      <c r="O2" s="999" t="s">
        <v>267</v>
      </c>
      <c r="P2" s="999" t="s">
        <v>305</v>
      </c>
      <c r="Q2" s="999" t="s">
        <v>285</v>
      </c>
      <c r="R2" s="999" t="s">
        <v>267</v>
      </c>
      <c r="S2" s="999" t="s">
        <v>268</v>
      </c>
      <c r="T2" s="999" t="s">
        <v>268</v>
      </c>
      <c r="U2" s="999" t="s">
        <v>268</v>
      </c>
      <c r="V2" s="999" t="s">
        <v>268</v>
      </c>
      <c r="W2" s="999" t="s">
        <v>268</v>
      </c>
      <c r="X2" s="999" t="s">
        <v>268</v>
      </c>
      <c r="Y2" s="999" t="s">
        <v>268</v>
      </c>
      <c r="Z2" s="999" t="s">
        <v>268</v>
      </c>
      <c r="AA2" s="999" t="s">
        <v>268</v>
      </c>
      <c r="AB2" s="999" t="s">
        <v>268</v>
      </c>
      <c r="AC2" s="999" t="s">
        <v>267</v>
      </c>
      <c r="AD2" s="999" t="s">
        <v>267</v>
      </c>
      <c r="AE2" s="999" t="s">
        <v>267</v>
      </c>
      <c r="AF2" s="999" t="s">
        <v>267</v>
      </c>
      <c r="AG2" s="999" t="s">
        <v>267</v>
      </c>
      <c r="AH2" s="999" t="s">
        <v>267</v>
      </c>
      <c r="AI2" s="999" t="s">
        <v>267</v>
      </c>
      <c r="AJ2" s="999" t="s">
        <v>267</v>
      </c>
      <c r="AK2" s="999" t="s">
        <v>267</v>
      </c>
      <c r="AL2" s="999" t="s">
        <v>267</v>
      </c>
      <c r="AM2" s="997"/>
    </row>
    <row r="3" spans="1:39" hidden="1">
      <c r="A3" s="997"/>
      <c r="B3" s="997"/>
      <c r="C3" s="997"/>
      <c r="D3" s="997"/>
      <c r="E3" s="997"/>
      <c r="F3" s="997"/>
      <c r="G3" s="997"/>
      <c r="H3" s="997"/>
      <c r="I3" s="997"/>
      <c r="J3" s="997"/>
      <c r="K3" s="997"/>
      <c r="L3" s="997"/>
      <c r="M3" s="997"/>
      <c r="N3" s="998"/>
      <c r="O3" s="998"/>
      <c r="P3" s="998"/>
      <c r="Q3" s="998"/>
      <c r="R3" s="998"/>
      <c r="S3" s="934"/>
      <c r="T3" s="934"/>
      <c r="U3" s="934"/>
      <c r="V3" s="934"/>
      <c r="W3" s="934"/>
      <c r="X3" s="934"/>
      <c r="Y3" s="934"/>
      <c r="Z3" s="934"/>
      <c r="AA3" s="934"/>
      <c r="AB3" s="934"/>
      <c r="AC3" s="934"/>
      <c r="AD3" s="934"/>
      <c r="AE3" s="934"/>
      <c r="AF3" s="934"/>
      <c r="AG3" s="934"/>
      <c r="AH3" s="934"/>
      <c r="AI3" s="934"/>
      <c r="AJ3" s="934"/>
      <c r="AK3" s="934"/>
      <c r="AL3" s="934"/>
      <c r="AM3" s="997"/>
    </row>
    <row r="4" spans="1:39" hidden="1">
      <c r="A4" s="997"/>
      <c r="B4" s="997"/>
      <c r="C4" s="997"/>
      <c r="D4" s="997"/>
      <c r="E4" s="997"/>
      <c r="F4" s="997"/>
      <c r="G4" s="997"/>
      <c r="H4" s="997"/>
      <c r="I4" s="997"/>
      <c r="J4" s="997"/>
      <c r="K4" s="997"/>
      <c r="L4" s="997"/>
      <c r="M4" s="997"/>
      <c r="N4" s="998"/>
      <c r="O4" s="998"/>
      <c r="P4" s="998"/>
      <c r="Q4" s="998"/>
      <c r="R4" s="998"/>
      <c r="S4" s="934"/>
      <c r="T4" s="934"/>
      <c r="U4" s="934"/>
      <c r="V4" s="934"/>
      <c r="W4" s="934"/>
      <c r="X4" s="934"/>
      <c r="Y4" s="934"/>
      <c r="Z4" s="934"/>
      <c r="AA4" s="934"/>
      <c r="AB4" s="934"/>
      <c r="AC4" s="934"/>
      <c r="AD4" s="934"/>
      <c r="AE4" s="934"/>
      <c r="AF4" s="934"/>
      <c r="AG4" s="934"/>
      <c r="AH4" s="934"/>
      <c r="AI4" s="934"/>
      <c r="AJ4" s="934"/>
      <c r="AK4" s="934"/>
      <c r="AL4" s="934"/>
      <c r="AM4" s="997"/>
    </row>
    <row r="5" spans="1:39" hidden="1">
      <c r="A5" s="997"/>
      <c r="B5" s="997"/>
      <c r="C5" s="997"/>
      <c r="D5" s="997"/>
      <c r="E5" s="997"/>
      <c r="F5" s="997"/>
      <c r="G5" s="997"/>
      <c r="H5" s="997"/>
      <c r="I5" s="997"/>
      <c r="J5" s="997"/>
      <c r="K5" s="997"/>
      <c r="L5" s="997"/>
      <c r="M5" s="997"/>
      <c r="N5" s="998"/>
      <c r="O5" s="998"/>
      <c r="P5" s="998"/>
      <c r="Q5" s="998"/>
      <c r="R5" s="998"/>
      <c r="S5" s="934"/>
      <c r="T5" s="934"/>
      <c r="U5" s="934"/>
      <c r="V5" s="934"/>
      <c r="W5" s="934"/>
      <c r="X5" s="934"/>
      <c r="Y5" s="934"/>
      <c r="Z5" s="934"/>
      <c r="AA5" s="934"/>
      <c r="AB5" s="934"/>
      <c r="AC5" s="934"/>
      <c r="AD5" s="934"/>
      <c r="AE5" s="934"/>
      <c r="AF5" s="934"/>
      <c r="AG5" s="934"/>
      <c r="AH5" s="934"/>
      <c r="AI5" s="934"/>
      <c r="AJ5" s="934"/>
      <c r="AK5" s="934"/>
      <c r="AL5" s="934"/>
      <c r="AM5" s="997"/>
    </row>
    <row r="6" spans="1:39" hidden="1">
      <c r="A6" s="997"/>
      <c r="B6" s="997"/>
      <c r="C6" s="997"/>
      <c r="D6" s="997"/>
      <c r="E6" s="997"/>
      <c r="F6" s="997"/>
      <c r="G6" s="997"/>
      <c r="H6" s="997"/>
      <c r="I6" s="997"/>
      <c r="J6" s="997"/>
      <c r="K6" s="997"/>
      <c r="L6" s="997"/>
      <c r="M6" s="997"/>
      <c r="N6" s="998"/>
      <c r="O6" s="998"/>
      <c r="P6" s="998"/>
      <c r="Q6" s="998"/>
      <c r="R6" s="998"/>
      <c r="S6" s="934"/>
      <c r="T6" s="934"/>
      <c r="U6" s="934"/>
      <c r="V6" s="934"/>
      <c r="W6" s="934"/>
      <c r="X6" s="934"/>
      <c r="Y6" s="934"/>
      <c r="Z6" s="934"/>
      <c r="AA6" s="934"/>
      <c r="AB6" s="934"/>
      <c r="AC6" s="934"/>
      <c r="AD6" s="934"/>
      <c r="AE6" s="934"/>
      <c r="AF6" s="934"/>
      <c r="AG6" s="934"/>
      <c r="AH6" s="934"/>
      <c r="AI6" s="934"/>
      <c r="AJ6" s="934"/>
      <c r="AK6" s="934"/>
      <c r="AL6" s="934"/>
      <c r="AM6" s="997"/>
    </row>
    <row r="7" spans="1:39" hidden="1">
      <c r="A7" s="997"/>
      <c r="B7" s="997"/>
      <c r="C7" s="997"/>
      <c r="D7" s="997"/>
      <c r="E7" s="997"/>
      <c r="F7" s="997"/>
      <c r="G7" s="997"/>
      <c r="H7" s="997"/>
      <c r="I7" s="997"/>
      <c r="J7" s="997"/>
      <c r="K7" s="997"/>
      <c r="L7" s="997"/>
      <c r="M7" s="997"/>
      <c r="N7" s="998"/>
      <c r="O7" s="998"/>
      <c r="P7" s="998"/>
      <c r="Q7" s="998"/>
      <c r="R7" s="998"/>
      <c r="S7" s="886" t="b">
        <v>1</v>
      </c>
      <c r="T7" s="886" t="b">
        <v>1</v>
      </c>
      <c r="U7" s="886" t="b">
        <v>1</v>
      </c>
      <c r="V7" s="886" t="b">
        <v>1</v>
      </c>
      <c r="W7" s="886" t="b">
        <v>1</v>
      </c>
      <c r="X7" s="886" t="b">
        <v>0</v>
      </c>
      <c r="Y7" s="886" t="b">
        <v>0</v>
      </c>
      <c r="Z7" s="886" t="b">
        <v>0</v>
      </c>
      <c r="AA7" s="886" t="b">
        <v>0</v>
      </c>
      <c r="AB7" s="886" t="b">
        <v>0</v>
      </c>
      <c r="AC7" s="886" t="b">
        <v>1</v>
      </c>
      <c r="AD7" s="886" t="b">
        <v>1</v>
      </c>
      <c r="AE7" s="886" t="b">
        <v>1</v>
      </c>
      <c r="AF7" s="886" t="b">
        <v>1</v>
      </c>
      <c r="AG7" s="886" t="b">
        <v>1</v>
      </c>
      <c r="AH7" s="886" t="b">
        <v>0</v>
      </c>
      <c r="AI7" s="886" t="b">
        <v>0</v>
      </c>
      <c r="AJ7" s="886" t="b">
        <v>0</v>
      </c>
      <c r="AK7" s="886" t="b">
        <v>0</v>
      </c>
      <c r="AL7" s="886" t="b">
        <v>0</v>
      </c>
      <c r="AM7" s="997"/>
    </row>
    <row r="8" spans="1:39" hidden="1">
      <c r="A8" s="997"/>
      <c r="B8" s="997"/>
      <c r="C8" s="997"/>
      <c r="D8" s="997"/>
      <c r="E8" s="997"/>
      <c r="F8" s="997"/>
      <c r="G8" s="997"/>
      <c r="H8" s="997"/>
      <c r="I8" s="997"/>
      <c r="J8" s="997"/>
      <c r="K8" s="997"/>
      <c r="L8" s="997"/>
      <c r="M8" s="997"/>
      <c r="N8" s="998"/>
      <c r="O8" s="998"/>
      <c r="P8" s="998"/>
      <c r="Q8" s="998"/>
      <c r="R8" s="998"/>
      <c r="S8" s="998"/>
      <c r="T8" s="998"/>
      <c r="U8" s="998"/>
      <c r="V8" s="998"/>
      <c r="W8" s="998"/>
      <c r="X8" s="998"/>
      <c r="Y8" s="998"/>
      <c r="Z8" s="998"/>
      <c r="AA8" s="998"/>
      <c r="AB8" s="998"/>
      <c r="AC8" s="998"/>
      <c r="AD8" s="998"/>
      <c r="AE8" s="998"/>
      <c r="AF8" s="998"/>
      <c r="AG8" s="998"/>
      <c r="AH8" s="998"/>
      <c r="AI8" s="998"/>
      <c r="AJ8" s="998"/>
      <c r="AK8" s="998"/>
      <c r="AL8" s="998"/>
      <c r="AM8" s="997"/>
    </row>
    <row r="9" spans="1:39" hidden="1">
      <c r="A9" s="997"/>
      <c r="B9" s="997"/>
      <c r="C9" s="997"/>
      <c r="D9" s="997"/>
      <c r="E9" s="997"/>
      <c r="F9" s="997"/>
      <c r="G9" s="997"/>
      <c r="H9" s="997"/>
      <c r="I9" s="997"/>
      <c r="J9" s="997"/>
      <c r="K9" s="997"/>
      <c r="L9" s="997"/>
      <c r="M9" s="997"/>
      <c r="N9" s="998"/>
      <c r="O9" s="998"/>
      <c r="P9" s="998"/>
      <c r="Q9" s="998"/>
      <c r="R9" s="998"/>
      <c r="S9" s="998"/>
      <c r="T9" s="998"/>
      <c r="U9" s="998"/>
      <c r="V9" s="998"/>
      <c r="W9" s="998"/>
      <c r="X9" s="998"/>
      <c r="Y9" s="998"/>
      <c r="Z9" s="998"/>
      <c r="AA9" s="998"/>
      <c r="AB9" s="998"/>
      <c r="AC9" s="998"/>
      <c r="AD9" s="998"/>
      <c r="AE9" s="998"/>
      <c r="AF9" s="998"/>
      <c r="AG9" s="998"/>
      <c r="AH9" s="998"/>
      <c r="AI9" s="998"/>
      <c r="AJ9" s="998"/>
      <c r="AK9" s="998"/>
      <c r="AL9" s="998"/>
      <c r="AM9" s="997"/>
    </row>
    <row r="10" spans="1:39" hidden="1">
      <c r="A10" s="997"/>
      <c r="B10" s="997"/>
      <c r="C10" s="997"/>
      <c r="D10" s="997"/>
      <c r="E10" s="997"/>
      <c r="F10" s="997"/>
      <c r="G10" s="997"/>
      <c r="H10" s="997"/>
      <c r="I10" s="997"/>
      <c r="J10" s="997"/>
      <c r="K10" s="997"/>
      <c r="L10" s="997"/>
      <c r="M10" s="997"/>
      <c r="N10" s="998"/>
      <c r="O10" s="998"/>
      <c r="P10" s="998"/>
      <c r="Q10" s="998"/>
      <c r="R10" s="998"/>
      <c r="S10" s="998"/>
      <c r="T10" s="998"/>
      <c r="U10" s="998"/>
      <c r="V10" s="998"/>
      <c r="W10" s="998"/>
      <c r="X10" s="998"/>
      <c r="Y10" s="998"/>
      <c r="Z10" s="998"/>
      <c r="AA10" s="998"/>
      <c r="AB10" s="998"/>
      <c r="AC10" s="998"/>
      <c r="AD10" s="998"/>
      <c r="AE10" s="998"/>
      <c r="AF10" s="998"/>
      <c r="AG10" s="998"/>
      <c r="AH10" s="998"/>
      <c r="AI10" s="998"/>
      <c r="AJ10" s="998"/>
      <c r="AK10" s="998"/>
      <c r="AL10" s="998"/>
      <c r="AM10" s="997"/>
    </row>
    <row r="11" spans="1:39" ht="15" hidden="1" customHeight="1">
      <c r="A11" s="997"/>
      <c r="B11" s="997"/>
      <c r="C11" s="997"/>
      <c r="D11" s="997"/>
      <c r="E11" s="997"/>
      <c r="F11" s="997"/>
      <c r="G11" s="997"/>
      <c r="H11" s="997"/>
      <c r="I11" s="997"/>
      <c r="J11" s="997"/>
      <c r="K11" s="997"/>
      <c r="L11" s="997"/>
      <c r="M11" s="1000"/>
      <c r="N11" s="998"/>
      <c r="O11" s="998"/>
      <c r="P11" s="998"/>
      <c r="Q11" s="998"/>
      <c r="R11" s="998"/>
      <c r="S11" s="998"/>
      <c r="T11" s="998"/>
      <c r="U11" s="998"/>
      <c r="V11" s="998"/>
      <c r="W11" s="998"/>
      <c r="X11" s="998"/>
      <c r="Y11" s="998"/>
      <c r="Z11" s="998"/>
      <c r="AA11" s="998"/>
      <c r="AB11" s="998"/>
      <c r="AC11" s="998"/>
      <c r="AD11" s="998"/>
      <c r="AE11" s="998"/>
      <c r="AF11" s="998"/>
      <c r="AG11" s="998"/>
      <c r="AH11" s="998"/>
      <c r="AI11" s="998"/>
      <c r="AJ11" s="998"/>
      <c r="AK11" s="998"/>
      <c r="AL11" s="998"/>
      <c r="AM11" s="997"/>
    </row>
    <row r="12" spans="1:39" s="201" customFormat="1" ht="20.100000000000001" customHeight="1">
      <c r="A12" s="1001"/>
      <c r="B12" s="1001"/>
      <c r="C12" s="1001"/>
      <c r="D12" s="1001"/>
      <c r="E12" s="1001"/>
      <c r="F12" s="1001"/>
      <c r="G12" s="1001"/>
      <c r="H12" s="1001"/>
      <c r="I12" s="1001"/>
      <c r="J12" s="1001"/>
      <c r="K12" s="1001"/>
      <c r="L12" s="435" t="s">
        <v>1238</v>
      </c>
      <c r="M12" s="202"/>
      <c r="N12" s="204"/>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3"/>
    </row>
    <row r="13" spans="1:39" s="201" customFormat="1">
      <c r="A13" s="1001"/>
      <c r="B13" s="1001"/>
      <c r="C13" s="1001"/>
      <c r="D13" s="1001"/>
      <c r="E13" s="1001"/>
      <c r="F13" s="1001"/>
      <c r="G13" s="1001"/>
      <c r="H13" s="1001"/>
      <c r="I13" s="1001"/>
      <c r="J13" s="1001"/>
      <c r="K13" s="1001"/>
      <c r="L13" s="1002"/>
      <c r="M13" s="1002"/>
      <c r="N13" s="1002"/>
      <c r="O13" s="1002"/>
      <c r="P13" s="1002"/>
      <c r="Q13" s="1002"/>
      <c r="R13" s="1002"/>
      <c r="S13" s="1002"/>
      <c r="T13" s="1002"/>
      <c r="U13" s="1002"/>
      <c r="V13" s="1002"/>
      <c r="W13" s="1002"/>
      <c r="X13" s="1002"/>
      <c r="Y13" s="1002"/>
      <c r="Z13" s="1002"/>
      <c r="AA13" s="1002"/>
      <c r="AB13" s="1002"/>
      <c r="AC13" s="1002"/>
      <c r="AD13" s="1002"/>
      <c r="AE13" s="1002"/>
      <c r="AF13" s="1002"/>
      <c r="AG13" s="1002"/>
      <c r="AH13" s="1002"/>
      <c r="AI13" s="1002"/>
      <c r="AJ13" s="1002"/>
      <c r="AK13" s="1002"/>
      <c r="AL13" s="1002"/>
      <c r="AM13" s="1001"/>
    </row>
    <row r="14" spans="1:39" ht="15" customHeight="1">
      <c r="A14" s="997"/>
      <c r="B14" s="997"/>
      <c r="C14" s="997"/>
      <c r="D14" s="997"/>
      <c r="E14" s="997"/>
      <c r="F14" s="997"/>
      <c r="G14" s="997"/>
      <c r="H14" s="997"/>
      <c r="I14" s="997"/>
      <c r="J14" s="997"/>
      <c r="K14" s="997"/>
      <c r="L14" s="1003" t="s">
        <v>355</v>
      </c>
      <c r="M14" s="1004" t="s">
        <v>212</v>
      </c>
      <c r="N14" s="1003" t="s">
        <v>135</v>
      </c>
      <c r="O14" s="938" t="s">
        <v>3020</v>
      </c>
      <c r="P14" s="938" t="s">
        <v>3020</v>
      </c>
      <c r="Q14" s="938" t="s">
        <v>3020</v>
      </c>
      <c r="R14" s="939" t="s">
        <v>3021</v>
      </c>
      <c r="S14" s="940" t="s">
        <v>3022</v>
      </c>
      <c r="T14" s="940" t="s">
        <v>3060</v>
      </c>
      <c r="U14" s="940" t="s">
        <v>3061</v>
      </c>
      <c r="V14" s="940" t="s">
        <v>3062</v>
      </c>
      <c r="W14" s="940" t="s">
        <v>3063</v>
      </c>
      <c r="X14" s="940" t="s">
        <v>3064</v>
      </c>
      <c r="Y14" s="940" t="s">
        <v>3065</v>
      </c>
      <c r="Z14" s="940" t="s">
        <v>3066</v>
      </c>
      <c r="AA14" s="940" t="s">
        <v>3067</v>
      </c>
      <c r="AB14" s="940" t="s">
        <v>3068</v>
      </c>
      <c r="AC14" s="940" t="s">
        <v>3022</v>
      </c>
      <c r="AD14" s="940" t="s">
        <v>3060</v>
      </c>
      <c r="AE14" s="940" t="s">
        <v>3061</v>
      </c>
      <c r="AF14" s="940" t="s">
        <v>3062</v>
      </c>
      <c r="AG14" s="940" t="s">
        <v>3063</v>
      </c>
      <c r="AH14" s="940" t="s">
        <v>3064</v>
      </c>
      <c r="AI14" s="940" t="s">
        <v>3065</v>
      </c>
      <c r="AJ14" s="940" t="s">
        <v>3066</v>
      </c>
      <c r="AK14" s="940" t="s">
        <v>3067</v>
      </c>
      <c r="AL14" s="940" t="s">
        <v>3068</v>
      </c>
      <c r="AM14" s="1005" t="s">
        <v>304</v>
      </c>
    </row>
    <row r="15" spans="1:39" ht="50.1" customHeight="1">
      <c r="A15" s="997"/>
      <c r="B15" s="997"/>
      <c r="C15" s="997"/>
      <c r="D15" s="997"/>
      <c r="E15" s="997"/>
      <c r="F15" s="997"/>
      <c r="G15" s="997"/>
      <c r="H15" s="997"/>
      <c r="I15" s="997"/>
      <c r="J15" s="997"/>
      <c r="K15" s="997"/>
      <c r="L15" s="1003"/>
      <c r="M15" s="1004"/>
      <c r="N15" s="1003"/>
      <c r="O15" s="940" t="s">
        <v>267</v>
      </c>
      <c r="P15" s="940" t="s">
        <v>305</v>
      </c>
      <c r="Q15" s="940" t="s">
        <v>285</v>
      </c>
      <c r="R15" s="940" t="s">
        <v>267</v>
      </c>
      <c r="S15" s="943" t="s">
        <v>268</v>
      </c>
      <c r="T15" s="943" t="s">
        <v>268</v>
      </c>
      <c r="U15" s="943" t="s">
        <v>268</v>
      </c>
      <c r="V15" s="943" t="s">
        <v>268</v>
      </c>
      <c r="W15" s="943" t="s">
        <v>268</v>
      </c>
      <c r="X15" s="943" t="s">
        <v>268</v>
      </c>
      <c r="Y15" s="943" t="s">
        <v>268</v>
      </c>
      <c r="Z15" s="943" t="s">
        <v>268</v>
      </c>
      <c r="AA15" s="943" t="s">
        <v>268</v>
      </c>
      <c r="AB15" s="943" t="s">
        <v>268</v>
      </c>
      <c r="AC15" s="943" t="s">
        <v>267</v>
      </c>
      <c r="AD15" s="943" t="s">
        <v>267</v>
      </c>
      <c r="AE15" s="943" t="s">
        <v>267</v>
      </c>
      <c r="AF15" s="943" t="s">
        <v>267</v>
      </c>
      <c r="AG15" s="943" t="s">
        <v>267</v>
      </c>
      <c r="AH15" s="943" t="s">
        <v>267</v>
      </c>
      <c r="AI15" s="943" t="s">
        <v>267</v>
      </c>
      <c r="AJ15" s="943" t="s">
        <v>267</v>
      </c>
      <c r="AK15" s="943" t="s">
        <v>267</v>
      </c>
      <c r="AL15" s="943" t="s">
        <v>267</v>
      </c>
      <c r="AM15" s="1006"/>
    </row>
    <row r="16" spans="1:39">
      <c r="A16" s="944" t="s">
        <v>18</v>
      </c>
      <c r="B16" s="997"/>
      <c r="C16" s="997"/>
      <c r="D16" s="997"/>
      <c r="E16" s="997"/>
      <c r="F16" s="997"/>
      <c r="G16" s="997"/>
      <c r="H16" s="997"/>
      <c r="I16" s="997"/>
      <c r="J16" s="997"/>
      <c r="K16" s="997"/>
      <c r="L16" s="1007" t="s">
        <v>3018</v>
      </c>
      <c r="M16" s="839"/>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1008"/>
    </row>
    <row r="17" spans="1:39" s="93" customFormat="1" ht="22.5">
      <c r="A17" s="982">
        <v>1</v>
      </c>
      <c r="B17" s="997" t="s">
        <v>1480</v>
      </c>
      <c r="C17" s="1009"/>
      <c r="D17" s="1009"/>
      <c r="E17" s="1009"/>
      <c r="F17" s="1009"/>
      <c r="G17" s="1009"/>
      <c r="H17" s="1009"/>
      <c r="I17" s="1009"/>
      <c r="J17" s="1009"/>
      <c r="K17" s="1009"/>
      <c r="L17" s="1010">
        <v>1</v>
      </c>
      <c r="M17" s="207" t="s">
        <v>356</v>
      </c>
      <c r="N17" s="957" t="s">
        <v>351</v>
      </c>
      <c r="O17" s="1011">
        <v>0</v>
      </c>
      <c r="P17" s="1011">
        <v>0</v>
      </c>
      <c r="Q17" s="1011">
        <v>0</v>
      </c>
      <c r="R17" s="1011">
        <v>0</v>
      </c>
      <c r="S17" s="1011">
        <v>0</v>
      </c>
      <c r="T17" s="1011">
        <v>0</v>
      </c>
      <c r="U17" s="1011">
        <v>0</v>
      </c>
      <c r="V17" s="1011">
        <v>0</v>
      </c>
      <c r="W17" s="1011">
        <v>0</v>
      </c>
      <c r="X17" s="1011">
        <v>0</v>
      </c>
      <c r="Y17" s="1011">
        <v>0</v>
      </c>
      <c r="Z17" s="1011">
        <v>0</v>
      </c>
      <c r="AA17" s="1011">
        <v>0</v>
      </c>
      <c r="AB17" s="1011">
        <v>0</v>
      </c>
      <c r="AC17" s="1011">
        <v>0</v>
      </c>
      <c r="AD17" s="1011">
        <v>0</v>
      </c>
      <c r="AE17" s="1011">
        <v>0</v>
      </c>
      <c r="AF17" s="1011">
        <v>0</v>
      </c>
      <c r="AG17" s="1011">
        <v>0</v>
      </c>
      <c r="AH17" s="1011">
        <v>0</v>
      </c>
      <c r="AI17" s="1011">
        <v>0</v>
      </c>
      <c r="AJ17" s="1011">
        <v>0</v>
      </c>
      <c r="AK17" s="1011">
        <v>0</v>
      </c>
      <c r="AL17" s="1011">
        <v>0</v>
      </c>
      <c r="AM17" s="951"/>
    </row>
    <row r="18" spans="1:39">
      <c r="A18" s="982">
        <v>1</v>
      </c>
      <c r="B18" s="997" t="s">
        <v>1491</v>
      </c>
      <c r="C18" s="997"/>
      <c r="D18" s="997"/>
      <c r="E18" s="997"/>
      <c r="F18" s="997"/>
      <c r="G18" s="997"/>
      <c r="H18" s="997"/>
      <c r="I18" s="997"/>
      <c r="J18" s="997"/>
      <c r="K18" s="997"/>
      <c r="L18" s="1012">
        <v>1.1000000000000001</v>
      </c>
      <c r="M18" s="211" t="s">
        <v>357</v>
      </c>
      <c r="N18" s="957" t="s">
        <v>351</v>
      </c>
      <c r="O18" s="1013"/>
      <c r="P18" s="1013"/>
      <c r="Q18" s="1013"/>
      <c r="R18" s="1013"/>
      <c r="S18" s="1013"/>
      <c r="T18" s="1013"/>
      <c r="U18" s="1013"/>
      <c r="V18" s="1013"/>
      <c r="W18" s="1013"/>
      <c r="X18" s="1013"/>
      <c r="Y18" s="1013"/>
      <c r="Z18" s="1013"/>
      <c r="AA18" s="1013"/>
      <c r="AB18" s="1013"/>
      <c r="AC18" s="1013"/>
      <c r="AD18" s="1013"/>
      <c r="AE18" s="1013"/>
      <c r="AF18" s="1013"/>
      <c r="AG18" s="1013"/>
      <c r="AH18" s="1013"/>
      <c r="AI18" s="1013"/>
      <c r="AJ18" s="1013"/>
      <c r="AK18" s="1013"/>
      <c r="AL18" s="1013"/>
      <c r="AM18" s="951"/>
    </row>
    <row r="19" spans="1:39">
      <c r="A19" s="982">
        <v>1</v>
      </c>
      <c r="B19" s="997" t="s">
        <v>1489</v>
      </c>
      <c r="C19" s="997"/>
      <c r="D19" s="997"/>
      <c r="E19" s="997"/>
      <c r="F19" s="997"/>
      <c r="G19" s="997"/>
      <c r="H19" s="997"/>
      <c r="I19" s="997"/>
      <c r="J19" s="997"/>
      <c r="K19" s="997"/>
      <c r="L19" s="1012">
        <v>1.2</v>
      </c>
      <c r="M19" s="211" t="s">
        <v>358</v>
      </c>
      <c r="N19" s="957" t="s">
        <v>351</v>
      </c>
      <c r="O19" s="1013"/>
      <c r="P19" s="1013"/>
      <c r="Q19" s="1013"/>
      <c r="R19" s="1013"/>
      <c r="S19" s="1013"/>
      <c r="T19" s="1013"/>
      <c r="U19" s="1013"/>
      <c r="V19" s="1013"/>
      <c r="W19" s="1013"/>
      <c r="X19" s="1013"/>
      <c r="Y19" s="1013"/>
      <c r="Z19" s="1013"/>
      <c r="AA19" s="1013"/>
      <c r="AB19" s="1013"/>
      <c r="AC19" s="1013"/>
      <c r="AD19" s="1013"/>
      <c r="AE19" s="1013"/>
      <c r="AF19" s="1013"/>
      <c r="AG19" s="1013"/>
      <c r="AH19" s="1013"/>
      <c r="AI19" s="1013"/>
      <c r="AJ19" s="1013"/>
      <c r="AK19" s="1013"/>
      <c r="AL19" s="1013"/>
      <c r="AM19" s="951"/>
    </row>
    <row r="20" spans="1:39">
      <c r="A20" s="982">
        <v>1</v>
      </c>
      <c r="B20" s="997" t="s">
        <v>1490</v>
      </c>
      <c r="C20" s="997"/>
      <c r="D20" s="997"/>
      <c r="E20" s="997"/>
      <c r="F20" s="997"/>
      <c r="G20" s="997"/>
      <c r="H20" s="997"/>
      <c r="I20" s="997"/>
      <c r="J20" s="997"/>
      <c r="K20" s="997"/>
      <c r="L20" s="1012">
        <v>1.3</v>
      </c>
      <c r="M20" s="211" t="s">
        <v>360</v>
      </c>
      <c r="N20" s="957" t="s">
        <v>351</v>
      </c>
      <c r="O20" s="1013"/>
      <c r="P20" s="1013"/>
      <c r="Q20" s="1013"/>
      <c r="R20" s="1013"/>
      <c r="S20" s="1013"/>
      <c r="T20" s="1013"/>
      <c r="U20" s="1013"/>
      <c r="V20" s="1013"/>
      <c r="W20" s="1013"/>
      <c r="X20" s="1013"/>
      <c r="Y20" s="1013"/>
      <c r="Z20" s="1013"/>
      <c r="AA20" s="1013"/>
      <c r="AB20" s="1013"/>
      <c r="AC20" s="1013"/>
      <c r="AD20" s="1013"/>
      <c r="AE20" s="1013"/>
      <c r="AF20" s="1013"/>
      <c r="AG20" s="1013"/>
      <c r="AH20" s="1013"/>
      <c r="AI20" s="1013"/>
      <c r="AJ20" s="1013"/>
      <c r="AK20" s="1013"/>
      <c r="AL20" s="1013"/>
      <c r="AM20" s="951"/>
    </row>
    <row r="21" spans="1:39">
      <c r="A21" s="982">
        <v>1</v>
      </c>
      <c r="B21" s="997" t="s">
        <v>1488</v>
      </c>
      <c r="C21" s="997"/>
      <c r="D21" s="997"/>
      <c r="E21" s="997"/>
      <c r="F21" s="997"/>
      <c r="G21" s="997"/>
      <c r="H21" s="997"/>
      <c r="I21" s="997"/>
      <c r="J21" s="997"/>
      <c r="K21" s="997"/>
      <c r="L21" s="1012">
        <v>1.4</v>
      </c>
      <c r="M21" s="211" t="s">
        <v>362</v>
      </c>
      <c r="N21" s="957" t="s">
        <v>351</v>
      </c>
      <c r="O21" s="1013"/>
      <c r="P21" s="1013"/>
      <c r="Q21" s="1013"/>
      <c r="R21" s="1013"/>
      <c r="S21" s="1013"/>
      <c r="T21" s="1013"/>
      <c r="U21" s="1013"/>
      <c r="V21" s="1013"/>
      <c r="W21" s="1013"/>
      <c r="X21" s="1013"/>
      <c r="Y21" s="1013"/>
      <c r="Z21" s="1013"/>
      <c r="AA21" s="1013"/>
      <c r="AB21" s="1013"/>
      <c r="AC21" s="1013"/>
      <c r="AD21" s="1013"/>
      <c r="AE21" s="1013"/>
      <c r="AF21" s="1013"/>
      <c r="AG21" s="1013"/>
      <c r="AH21" s="1013"/>
      <c r="AI21" s="1013"/>
      <c r="AJ21" s="1013"/>
      <c r="AK21" s="1013"/>
      <c r="AL21" s="1013"/>
      <c r="AM21" s="951"/>
    </row>
    <row r="22" spans="1:39">
      <c r="A22" s="982">
        <v>1</v>
      </c>
      <c r="B22" s="997" t="s">
        <v>1551</v>
      </c>
      <c r="C22" s="997"/>
      <c r="D22" s="997"/>
      <c r="E22" s="997"/>
      <c r="F22" s="997"/>
      <c r="G22" s="997"/>
      <c r="H22" s="997"/>
      <c r="I22" s="997"/>
      <c r="J22" s="997"/>
      <c r="K22" s="997"/>
      <c r="L22" s="1012">
        <v>1.5</v>
      </c>
      <c r="M22" s="211" t="s">
        <v>364</v>
      </c>
      <c r="N22" s="957" t="s">
        <v>351</v>
      </c>
      <c r="O22" s="1013"/>
      <c r="P22" s="1013"/>
      <c r="Q22" s="1013"/>
      <c r="R22" s="1013"/>
      <c r="S22" s="1013"/>
      <c r="T22" s="1013"/>
      <c r="U22" s="1013"/>
      <c r="V22" s="1013"/>
      <c r="W22" s="1013"/>
      <c r="X22" s="1013"/>
      <c r="Y22" s="1013"/>
      <c r="Z22" s="1013"/>
      <c r="AA22" s="1013"/>
      <c r="AB22" s="1013"/>
      <c r="AC22" s="1013"/>
      <c r="AD22" s="1013"/>
      <c r="AE22" s="1013"/>
      <c r="AF22" s="1013"/>
      <c r="AG22" s="1013"/>
      <c r="AH22" s="1013"/>
      <c r="AI22" s="1013"/>
      <c r="AJ22" s="1013"/>
      <c r="AK22" s="1013"/>
      <c r="AL22" s="1013"/>
      <c r="AM22" s="951"/>
    </row>
    <row r="23" spans="1:39" s="93" customFormat="1">
      <c r="A23" s="982">
        <v>1</v>
      </c>
      <c r="B23" s="997" t="s">
        <v>1481</v>
      </c>
      <c r="C23" s="1009"/>
      <c r="D23" s="1009"/>
      <c r="E23" s="1009"/>
      <c r="F23" s="1009"/>
      <c r="G23" s="1009"/>
      <c r="H23" s="1009"/>
      <c r="I23" s="1009"/>
      <c r="J23" s="1009"/>
      <c r="K23" s="1009"/>
      <c r="L23" s="1010">
        <v>2</v>
      </c>
      <c r="M23" s="207" t="s">
        <v>365</v>
      </c>
      <c r="N23" s="957" t="s">
        <v>351</v>
      </c>
      <c r="O23" s="1011">
        <v>0</v>
      </c>
      <c r="P23" s="1011">
        <v>0</v>
      </c>
      <c r="Q23" s="1011">
        <v>0</v>
      </c>
      <c r="R23" s="1011">
        <v>0</v>
      </c>
      <c r="S23" s="1011">
        <v>0</v>
      </c>
      <c r="T23" s="1011">
        <v>0</v>
      </c>
      <c r="U23" s="1011">
        <v>0</v>
      </c>
      <c r="V23" s="1011">
        <v>0</v>
      </c>
      <c r="W23" s="1011">
        <v>0</v>
      </c>
      <c r="X23" s="1011">
        <v>0</v>
      </c>
      <c r="Y23" s="1011">
        <v>0</v>
      </c>
      <c r="Z23" s="1011">
        <v>0</v>
      </c>
      <c r="AA23" s="1011">
        <v>0</v>
      </c>
      <c r="AB23" s="1011">
        <v>0</v>
      </c>
      <c r="AC23" s="1011">
        <v>0</v>
      </c>
      <c r="AD23" s="1011">
        <v>0</v>
      </c>
      <c r="AE23" s="1011">
        <v>0</v>
      </c>
      <c r="AF23" s="1011">
        <v>0</v>
      </c>
      <c r="AG23" s="1011">
        <v>0</v>
      </c>
      <c r="AH23" s="1011">
        <v>0</v>
      </c>
      <c r="AI23" s="1011">
        <v>0</v>
      </c>
      <c r="AJ23" s="1011">
        <v>0</v>
      </c>
      <c r="AK23" s="1011">
        <v>0</v>
      </c>
      <c r="AL23" s="1011">
        <v>0</v>
      </c>
      <c r="AM23" s="951"/>
    </row>
    <row r="24" spans="1:39">
      <c r="A24" s="982">
        <v>1</v>
      </c>
      <c r="B24" s="997" t="s">
        <v>1492</v>
      </c>
      <c r="C24" s="997"/>
      <c r="D24" s="997"/>
      <c r="E24" s="997"/>
      <c r="F24" s="997"/>
      <c r="G24" s="997"/>
      <c r="H24" s="997"/>
      <c r="I24" s="997"/>
      <c r="J24" s="997"/>
      <c r="K24" s="997"/>
      <c r="L24" s="1012">
        <v>2.1</v>
      </c>
      <c r="M24" s="211" t="s">
        <v>357</v>
      </c>
      <c r="N24" s="957" t="s">
        <v>351</v>
      </c>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3"/>
      <c r="AM24" s="951"/>
    </row>
    <row r="25" spans="1:39">
      <c r="A25" s="982">
        <v>1</v>
      </c>
      <c r="B25" s="997" t="s">
        <v>1493</v>
      </c>
      <c r="C25" s="997"/>
      <c r="D25" s="997"/>
      <c r="E25" s="997"/>
      <c r="F25" s="997"/>
      <c r="G25" s="997"/>
      <c r="H25" s="997"/>
      <c r="I25" s="997"/>
      <c r="J25" s="997"/>
      <c r="K25" s="997"/>
      <c r="L25" s="1012">
        <v>2.2000000000000002</v>
      </c>
      <c r="M25" s="211" t="s">
        <v>358</v>
      </c>
      <c r="N25" s="957" t="s">
        <v>351</v>
      </c>
      <c r="O25" s="1013"/>
      <c r="P25" s="1013"/>
      <c r="Q25" s="1013"/>
      <c r="R25" s="1013"/>
      <c r="S25" s="1013"/>
      <c r="T25" s="1013"/>
      <c r="U25" s="1013"/>
      <c r="V25" s="1013"/>
      <c r="W25" s="1013"/>
      <c r="X25" s="1013"/>
      <c r="Y25" s="1013"/>
      <c r="Z25" s="1013"/>
      <c r="AA25" s="1013"/>
      <c r="AB25" s="1013"/>
      <c r="AC25" s="1013"/>
      <c r="AD25" s="1013"/>
      <c r="AE25" s="1013"/>
      <c r="AF25" s="1013"/>
      <c r="AG25" s="1013"/>
      <c r="AH25" s="1013"/>
      <c r="AI25" s="1013"/>
      <c r="AJ25" s="1013"/>
      <c r="AK25" s="1013"/>
      <c r="AL25" s="1013"/>
      <c r="AM25" s="951"/>
    </row>
    <row r="26" spans="1:39">
      <c r="A26" s="982">
        <v>1</v>
      </c>
      <c r="B26" s="997" t="s">
        <v>1552</v>
      </c>
      <c r="C26" s="997"/>
      <c r="D26" s="997"/>
      <c r="E26" s="997"/>
      <c r="F26" s="997"/>
      <c r="G26" s="997"/>
      <c r="H26" s="997"/>
      <c r="I26" s="997"/>
      <c r="J26" s="997"/>
      <c r="K26" s="997"/>
      <c r="L26" s="1012">
        <v>2.2999999999999998</v>
      </c>
      <c r="M26" s="211" t="s">
        <v>360</v>
      </c>
      <c r="N26" s="957" t="s">
        <v>351</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3"/>
      <c r="AK26" s="1013"/>
      <c r="AL26" s="1013"/>
      <c r="AM26" s="951"/>
    </row>
    <row r="27" spans="1:39">
      <c r="A27" s="982">
        <v>1</v>
      </c>
      <c r="B27" s="997" t="s">
        <v>1553</v>
      </c>
      <c r="C27" s="997"/>
      <c r="D27" s="997"/>
      <c r="E27" s="997"/>
      <c r="F27" s="997"/>
      <c r="G27" s="997"/>
      <c r="H27" s="997"/>
      <c r="I27" s="997"/>
      <c r="J27" s="997"/>
      <c r="K27" s="997"/>
      <c r="L27" s="1012">
        <v>2.4</v>
      </c>
      <c r="M27" s="211" t="s">
        <v>362</v>
      </c>
      <c r="N27" s="957" t="s">
        <v>351</v>
      </c>
      <c r="O27" s="1013"/>
      <c r="P27" s="1013"/>
      <c r="Q27" s="1013"/>
      <c r="R27" s="1013"/>
      <c r="S27" s="1013"/>
      <c r="T27" s="1013"/>
      <c r="U27" s="1013"/>
      <c r="V27" s="1013"/>
      <c r="W27" s="1013"/>
      <c r="X27" s="1013"/>
      <c r="Y27" s="1013"/>
      <c r="Z27" s="1013"/>
      <c r="AA27" s="1013"/>
      <c r="AB27" s="1013"/>
      <c r="AC27" s="1013"/>
      <c r="AD27" s="1013"/>
      <c r="AE27" s="1013"/>
      <c r="AF27" s="1013"/>
      <c r="AG27" s="1013"/>
      <c r="AH27" s="1013"/>
      <c r="AI27" s="1013"/>
      <c r="AJ27" s="1013"/>
      <c r="AK27" s="1013"/>
      <c r="AL27" s="1013"/>
      <c r="AM27" s="951"/>
    </row>
    <row r="28" spans="1:39">
      <c r="A28" s="982">
        <v>1</v>
      </c>
      <c r="B28" s="997" t="s">
        <v>1554</v>
      </c>
      <c r="C28" s="997"/>
      <c r="D28" s="997"/>
      <c r="E28" s="997"/>
      <c r="F28" s="997"/>
      <c r="G28" s="997"/>
      <c r="H28" s="997"/>
      <c r="I28" s="997"/>
      <c r="J28" s="997"/>
      <c r="K28" s="997"/>
      <c r="L28" s="1012">
        <v>2.5</v>
      </c>
      <c r="M28" s="211" t="s">
        <v>364</v>
      </c>
      <c r="N28" s="957" t="s">
        <v>351</v>
      </c>
      <c r="O28" s="1013"/>
      <c r="P28" s="1013"/>
      <c r="Q28" s="1013"/>
      <c r="R28" s="1013"/>
      <c r="S28" s="1013"/>
      <c r="T28" s="1013"/>
      <c r="U28" s="1013"/>
      <c r="V28" s="1013"/>
      <c r="W28" s="1013"/>
      <c r="X28" s="1013"/>
      <c r="Y28" s="1013"/>
      <c r="Z28" s="1013"/>
      <c r="AA28" s="1013"/>
      <c r="AB28" s="1013"/>
      <c r="AC28" s="1013"/>
      <c r="AD28" s="1013"/>
      <c r="AE28" s="1013"/>
      <c r="AF28" s="1013"/>
      <c r="AG28" s="1013"/>
      <c r="AH28" s="1013"/>
      <c r="AI28" s="1013"/>
      <c r="AJ28" s="1013"/>
      <c r="AK28" s="1013"/>
      <c r="AL28" s="1013"/>
      <c r="AM28" s="951"/>
    </row>
    <row r="29" spans="1:39" s="93" customFormat="1">
      <c r="A29" s="982">
        <v>1</v>
      </c>
      <c r="B29" s="997" t="s">
        <v>1483</v>
      </c>
      <c r="C29" s="1009"/>
      <c r="D29" s="1009"/>
      <c r="E29" s="1009"/>
      <c r="F29" s="1009"/>
      <c r="G29" s="1009"/>
      <c r="H29" s="1009"/>
      <c r="I29" s="1009"/>
      <c r="J29" s="1009"/>
      <c r="K29" s="1009"/>
      <c r="L29" s="1010">
        <v>3</v>
      </c>
      <c r="M29" s="207" t="s">
        <v>367</v>
      </c>
      <c r="N29" s="957" t="s">
        <v>351</v>
      </c>
      <c r="O29" s="1011">
        <v>0</v>
      </c>
      <c r="P29" s="1011">
        <v>0</v>
      </c>
      <c r="Q29" s="1011">
        <v>0</v>
      </c>
      <c r="R29" s="1011">
        <v>0</v>
      </c>
      <c r="S29" s="1011">
        <v>0</v>
      </c>
      <c r="T29" s="1011">
        <v>0</v>
      </c>
      <c r="U29" s="1011">
        <v>0</v>
      </c>
      <c r="V29" s="1011">
        <v>0</v>
      </c>
      <c r="W29" s="1011">
        <v>0</v>
      </c>
      <c r="X29" s="1011">
        <v>0</v>
      </c>
      <c r="Y29" s="1011">
        <v>0</v>
      </c>
      <c r="Z29" s="1011">
        <v>0</v>
      </c>
      <c r="AA29" s="1011">
        <v>0</v>
      </c>
      <c r="AB29" s="1011">
        <v>0</v>
      </c>
      <c r="AC29" s="1011">
        <v>0</v>
      </c>
      <c r="AD29" s="1011">
        <v>0</v>
      </c>
      <c r="AE29" s="1011">
        <v>0</v>
      </c>
      <c r="AF29" s="1011">
        <v>0</v>
      </c>
      <c r="AG29" s="1011">
        <v>0</v>
      </c>
      <c r="AH29" s="1011">
        <v>0</v>
      </c>
      <c r="AI29" s="1011">
        <v>0</v>
      </c>
      <c r="AJ29" s="1011">
        <v>0</v>
      </c>
      <c r="AK29" s="1011">
        <v>0</v>
      </c>
      <c r="AL29" s="1011">
        <v>0</v>
      </c>
      <c r="AM29" s="951"/>
    </row>
    <row r="30" spans="1:39">
      <c r="A30" s="982">
        <v>1</v>
      </c>
      <c r="B30" s="997" t="s">
        <v>1548</v>
      </c>
      <c r="C30" s="997"/>
      <c r="D30" s="997"/>
      <c r="E30" s="997"/>
      <c r="F30" s="997"/>
      <c r="G30" s="997"/>
      <c r="H30" s="997"/>
      <c r="I30" s="997"/>
      <c r="J30" s="997"/>
      <c r="K30" s="997"/>
      <c r="L30" s="1012">
        <v>3.1</v>
      </c>
      <c r="M30" s="211" t="s">
        <v>357</v>
      </c>
      <c r="N30" s="957" t="s">
        <v>351</v>
      </c>
      <c r="O30" s="1013"/>
      <c r="P30" s="1013"/>
      <c r="Q30" s="1013"/>
      <c r="R30" s="1013"/>
      <c r="S30" s="1013"/>
      <c r="T30" s="1013"/>
      <c r="U30" s="1013"/>
      <c r="V30" s="1013"/>
      <c r="W30" s="1013"/>
      <c r="X30" s="1013"/>
      <c r="Y30" s="1013"/>
      <c r="Z30" s="1013"/>
      <c r="AA30" s="1013"/>
      <c r="AB30" s="1013"/>
      <c r="AC30" s="1013"/>
      <c r="AD30" s="1013"/>
      <c r="AE30" s="1013"/>
      <c r="AF30" s="1013"/>
      <c r="AG30" s="1013"/>
      <c r="AH30" s="1013"/>
      <c r="AI30" s="1013"/>
      <c r="AJ30" s="1013"/>
      <c r="AK30" s="1013"/>
      <c r="AL30" s="1013"/>
      <c r="AM30" s="951"/>
    </row>
    <row r="31" spans="1:39">
      <c r="A31" s="982">
        <v>1</v>
      </c>
      <c r="B31" s="997" t="s">
        <v>1550</v>
      </c>
      <c r="C31" s="997"/>
      <c r="D31" s="997"/>
      <c r="E31" s="997"/>
      <c r="F31" s="997"/>
      <c r="G31" s="997"/>
      <c r="H31" s="997"/>
      <c r="I31" s="997"/>
      <c r="J31" s="997"/>
      <c r="K31" s="997"/>
      <c r="L31" s="1012">
        <v>3.2</v>
      </c>
      <c r="M31" s="211" t="s">
        <v>358</v>
      </c>
      <c r="N31" s="957" t="s">
        <v>351</v>
      </c>
      <c r="O31" s="1013"/>
      <c r="P31" s="1013"/>
      <c r="Q31" s="1013"/>
      <c r="R31" s="1013"/>
      <c r="S31" s="1013"/>
      <c r="T31" s="1013"/>
      <c r="U31" s="1013"/>
      <c r="V31" s="1013"/>
      <c r="W31" s="1013"/>
      <c r="X31" s="1013"/>
      <c r="Y31" s="1013"/>
      <c r="Z31" s="1013"/>
      <c r="AA31" s="1013"/>
      <c r="AB31" s="1013"/>
      <c r="AC31" s="1013"/>
      <c r="AD31" s="1013"/>
      <c r="AE31" s="1013"/>
      <c r="AF31" s="1013"/>
      <c r="AG31" s="1013"/>
      <c r="AH31" s="1013"/>
      <c r="AI31" s="1013"/>
      <c r="AJ31" s="1013"/>
      <c r="AK31" s="1013"/>
      <c r="AL31" s="1013"/>
      <c r="AM31" s="951"/>
    </row>
    <row r="32" spans="1:39">
      <c r="A32" s="982">
        <v>1</v>
      </c>
      <c r="B32" s="997" t="s">
        <v>1555</v>
      </c>
      <c r="C32" s="997"/>
      <c r="D32" s="997"/>
      <c r="E32" s="997"/>
      <c r="F32" s="997"/>
      <c r="G32" s="997"/>
      <c r="H32" s="997"/>
      <c r="I32" s="997"/>
      <c r="J32" s="997"/>
      <c r="K32" s="997"/>
      <c r="L32" s="1012">
        <v>3.3</v>
      </c>
      <c r="M32" s="211" t="s">
        <v>360</v>
      </c>
      <c r="N32" s="957" t="s">
        <v>351</v>
      </c>
      <c r="O32" s="1013"/>
      <c r="P32" s="1013"/>
      <c r="Q32" s="1013"/>
      <c r="R32" s="1013"/>
      <c r="S32" s="1013"/>
      <c r="T32" s="1013"/>
      <c r="U32" s="1013"/>
      <c r="V32" s="1013"/>
      <c r="W32" s="1013"/>
      <c r="X32" s="1013"/>
      <c r="Y32" s="1013"/>
      <c r="Z32" s="1013"/>
      <c r="AA32" s="1013"/>
      <c r="AB32" s="1013"/>
      <c r="AC32" s="1013"/>
      <c r="AD32" s="1013"/>
      <c r="AE32" s="1013"/>
      <c r="AF32" s="1013"/>
      <c r="AG32" s="1013"/>
      <c r="AH32" s="1013"/>
      <c r="AI32" s="1013"/>
      <c r="AJ32" s="1013"/>
      <c r="AK32" s="1013"/>
      <c r="AL32" s="1013"/>
      <c r="AM32" s="951"/>
    </row>
    <row r="33" spans="1:39">
      <c r="A33" s="982">
        <v>1</v>
      </c>
      <c r="B33" s="997" t="s">
        <v>1556</v>
      </c>
      <c r="C33" s="997"/>
      <c r="D33" s="997"/>
      <c r="E33" s="997"/>
      <c r="F33" s="997"/>
      <c r="G33" s="997"/>
      <c r="H33" s="997"/>
      <c r="I33" s="997"/>
      <c r="J33" s="997"/>
      <c r="K33" s="997"/>
      <c r="L33" s="1012">
        <v>3.4</v>
      </c>
      <c r="M33" s="211" t="s">
        <v>362</v>
      </c>
      <c r="N33" s="957" t="s">
        <v>351</v>
      </c>
      <c r="O33" s="1013"/>
      <c r="P33" s="1013"/>
      <c r="Q33" s="1013"/>
      <c r="R33" s="1013"/>
      <c r="S33" s="1013"/>
      <c r="T33" s="1013"/>
      <c r="U33" s="1013"/>
      <c r="V33" s="1013"/>
      <c r="W33" s="1013"/>
      <c r="X33" s="1013"/>
      <c r="Y33" s="1013"/>
      <c r="Z33" s="1013"/>
      <c r="AA33" s="1013"/>
      <c r="AB33" s="1013"/>
      <c r="AC33" s="1013"/>
      <c r="AD33" s="1013"/>
      <c r="AE33" s="1013"/>
      <c r="AF33" s="1013"/>
      <c r="AG33" s="1013"/>
      <c r="AH33" s="1013"/>
      <c r="AI33" s="1013"/>
      <c r="AJ33" s="1013"/>
      <c r="AK33" s="1013"/>
      <c r="AL33" s="1013"/>
      <c r="AM33" s="951"/>
    </row>
    <row r="34" spans="1:39">
      <c r="A34" s="982">
        <v>1</v>
      </c>
      <c r="B34" s="997" t="s">
        <v>1557</v>
      </c>
      <c r="C34" s="997"/>
      <c r="D34" s="997"/>
      <c r="E34" s="997"/>
      <c r="F34" s="997"/>
      <c r="G34" s="997"/>
      <c r="H34" s="997"/>
      <c r="I34" s="997"/>
      <c r="J34" s="997"/>
      <c r="K34" s="997"/>
      <c r="L34" s="1012">
        <v>3.5</v>
      </c>
      <c r="M34" s="211" t="s">
        <v>364</v>
      </c>
      <c r="N34" s="957" t="s">
        <v>351</v>
      </c>
      <c r="O34" s="1013"/>
      <c r="P34" s="1013"/>
      <c r="Q34" s="1013"/>
      <c r="R34" s="1013"/>
      <c r="S34" s="1013"/>
      <c r="T34" s="1013"/>
      <c r="U34" s="1013"/>
      <c r="V34" s="1013"/>
      <c r="W34" s="1013"/>
      <c r="X34" s="1013"/>
      <c r="Y34" s="1013"/>
      <c r="Z34" s="1013"/>
      <c r="AA34" s="1013"/>
      <c r="AB34" s="1013"/>
      <c r="AC34" s="1013"/>
      <c r="AD34" s="1013"/>
      <c r="AE34" s="1013"/>
      <c r="AF34" s="1013"/>
      <c r="AG34" s="1013"/>
      <c r="AH34" s="1013"/>
      <c r="AI34" s="1013"/>
      <c r="AJ34" s="1013"/>
      <c r="AK34" s="1013"/>
      <c r="AL34" s="1013"/>
      <c r="AM34" s="951"/>
    </row>
    <row r="35" spans="1:39" s="93" customFormat="1" ht="22.5">
      <c r="A35" s="982">
        <v>1</v>
      </c>
      <c r="B35" s="997" t="s">
        <v>1484</v>
      </c>
      <c r="C35" s="1009"/>
      <c r="D35" s="1009"/>
      <c r="E35" s="1009"/>
      <c r="F35" s="1009"/>
      <c r="G35" s="1009"/>
      <c r="H35" s="1009"/>
      <c r="I35" s="1009"/>
      <c r="J35" s="1009"/>
      <c r="K35" s="1009"/>
      <c r="L35" s="1010">
        <v>4</v>
      </c>
      <c r="M35" s="207" t="s">
        <v>371</v>
      </c>
      <c r="N35" s="957" t="s">
        <v>351</v>
      </c>
      <c r="O35" s="1011">
        <v>0</v>
      </c>
      <c r="P35" s="1011">
        <v>0</v>
      </c>
      <c r="Q35" s="1011">
        <v>0</v>
      </c>
      <c r="R35" s="1011">
        <v>0</v>
      </c>
      <c r="S35" s="1011">
        <v>0</v>
      </c>
      <c r="T35" s="1011">
        <v>0</v>
      </c>
      <c r="U35" s="1011">
        <v>0</v>
      </c>
      <c r="V35" s="1011">
        <v>0</v>
      </c>
      <c r="W35" s="1011">
        <v>0</v>
      </c>
      <c r="X35" s="1011">
        <v>0</v>
      </c>
      <c r="Y35" s="1011">
        <v>0</v>
      </c>
      <c r="Z35" s="1011">
        <v>0</v>
      </c>
      <c r="AA35" s="1011">
        <v>0</v>
      </c>
      <c r="AB35" s="1011">
        <v>0</v>
      </c>
      <c r="AC35" s="1011">
        <v>0</v>
      </c>
      <c r="AD35" s="1011">
        <v>0</v>
      </c>
      <c r="AE35" s="1011">
        <v>0</v>
      </c>
      <c r="AF35" s="1011">
        <v>0</v>
      </c>
      <c r="AG35" s="1011">
        <v>0</v>
      </c>
      <c r="AH35" s="1011">
        <v>0</v>
      </c>
      <c r="AI35" s="1011">
        <v>0</v>
      </c>
      <c r="AJ35" s="1011">
        <v>0</v>
      </c>
      <c r="AK35" s="1011">
        <v>0</v>
      </c>
      <c r="AL35" s="1011">
        <v>0</v>
      </c>
      <c r="AM35" s="951"/>
    </row>
    <row r="36" spans="1:39">
      <c r="A36" s="982">
        <v>1</v>
      </c>
      <c r="B36" s="997" t="s">
        <v>1499</v>
      </c>
      <c r="C36" s="997"/>
      <c r="D36" s="997"/>
      <c r="E36" s="997"/>
      <c r="F36" s="997"/>
      <c r="G36" s="997"/>
      <c r="H36" s="997"/>
      <c r="I36" s="997"/>
      <c r="J36" s="997"/>
      <c r="K36" s="997"/>
      <c r="L36" s="1012">
        <v>4.0999999999999996</v>
      </c>
      <c r="M36" s="211" t="s">
        <v>357</v>
      </c>
      <c r="N36" s="957" t="s">
        <v>351</v>
      </c>
      <c r="O36" s="1013">
        <v>0</v>
      </c>
      <c r="P36" s="1013">
        <v>0</v>
      </c>
      <c r="Q36" s="1013">
        <v>0</v>
      </c>
      <c r="R36" s="1013">
        <v>0</v>
      </c>
      <c r="S36" s="1013">
        <v>0</v>
      </c>
      <c r="T36" s="1013">
        <v>0</v>
      </c>
      <c r="U36" s="1013">
        <v>0</v>
      </c>
      <c r="V36" s="1013">
        <v>0</v>
      </c>
      <c r="W36" s="1013">
        <v>0</v>
      </c>
      <c r="X36" s="1013">
        <v>0</v>
      </c>
      <c r="Y36" s="1013">
        <v>0</v>
      </c>
      <c r="Z36" s="1013">
        <v>0</v>
      </c>
      <c r="AA36" s="1013">
        <v>0</v>
      </c>
      <c r="AB36" s="1013">
        <v>0</v>
      </c>
      <c r="AC36" s="1013">
        <v>0</v>
      </c>
      <c r="AD36" s="1013">
        <v>0</v>
      </c>
      <c r="AE36" s="1013">
        <v>0</v>
      </c>
      <c r="AF36" s="1013">
        <v>0</v>
      </c>
      <c r="AG36" s="1013">
        <v>0</v>
      </c>
      <c r="AH36" s="1013">
        <v>0</v>
      </c>
      <c r="AI36" s="1013">
        <v>0</v>
      </c>
      <c r="AJ36" s="1013">
        <v>0</v>
      </c>
      <c r="AK36" s="1013">
        <v>0</v>
      </c>
      <c r="AL36" s="1013">
        <v>0</v>
      </c>
      <c r="AM36" s="951"/>
    </row>
    <row r="37" spans="1:39">
      <c r="A37" s="982">
        <v>1</v>
      </c>
      <c r="B37" s="997" t="s">
        <v>1500</v>
      </c>
      <c r="C37" s="997"/>
      <c r="D37" s="997"/>
      <c r="E37" s="997"/>
      <c r="F37" s="997"/>
      <c r="G37" s="997"/>
      <c r="H37" s="997"/>
      <c r="I37" s="997"/>
      <c r="J37" s="997"/>
      <c r="K37" s="997"/>
      <c r="L37" s="1012">
        <v>4.2</v>
      </c>
      <c r="M37" s="211" t="s">
        <v>358</v>
      </c>
      <c r="N37" s="957" t="s">
        <v>351</v>
      </c>
      <c r="O37" s="1013">
        <v>0</v>
      </c>
      <c r="P37" s="1013">
        <v>0</v>
      </c>
      <c r="Q37" s="1013">
        <v>0</v>
      </c>
      <c r="R37" s="1013">
        <v>0</v>
      </c>
      <c r="S37" s="1013">
        <v>0</v>
      </c>
      <c r="T37" s="1013">
        <v>0</v>
      </c>
      <c r="U37" s="1013">
        <v>0</v>
      </c>
      <c r="V37" s="1013">
        <v>0</v>
      </c>
      <c r="W37" s="1013">
        <v>0</v>
      </c>
      <c r="X37" s="1013">
        <v>0</v>
      </c>
      <c r="Y37" s="1013">
        <v>0</v>
      </c>
      <c r="Z37" s="1013">
        <v>0</v>
      </c>
      <c r="AA37" s="1013">
        <v>0</v>
      </c>
      <c r="AB37" s="1013">
        <v>0</v>
      </c>
      <c r="AC37" s="1013">
        <v>0</v>
      </c>
      <c r="AD37" s="1013">
        <v>0</v>
      </c>
      <c r="AE37" s="1013">
        <v>0</v>
      </c>
      <c r="AF37" s="1013">
        <v>0</v>
      </c>
      <c r="AG37" s="1013">
        <v>0</v>
      </c>
      <c r="AH37" s="1013">
        <v>0</v>
      </c>
      <c r="AI37" s="1013">
        <v>0</v>
      </c>
      <c r="AJ37" s="1013">
        <v>0</v>
      </c>
      <c r="AK37" s="1013">
        <v>0</v>
      </c>
      <c r="AL37" s="1013">
        <v>0</v>
      </c>
      <c r="AM37" s="951"/>
    </row>
    <row r="38" spans="1:39">
      <c r="A38" s="982">
        <v>1</v>
      </c>
      <c r="B38" s="997" t="s">
        <v>1501</v>
      </c>
      <c r="C38" s="997"/>
      <c r="D38" s="997"/>
      <c r="E38" s="997"/>
      <c r="F38" s="997"/>
      <c r="G38" s="997"/>
      <c r="H38" s="997"/>
      <c r="I38" s="997"/>
      <c r="J38" s="997"/>
      <c r="K38" s="997"/>
      <c r="L38" s="1012">
        <v>4.3</v>
      </c>
      <c r="M38" s="211" t="s">
        <v>360</v>
      </c>
      <c r="N38" s="957" t="s">
        <v>351</v>
      </c>
      <c r="O38" s="1013">
        <v>0</v>
      </c>
      <c r="P38" s="1013">
        <v>0</v>
      </c>
      <c r="Q38" s="1013">
        <v>0</v>
      </c>
      <c r="R38" s="1013">
        <v>0</v>
      </c>
      <c r="S38" s="1013">
        <v>0</v>
      </c>
      <c r="T38" s="1013">
        <v>0</v>
      </c>
      <c r="U38" s="1013">
        <v>0</v>
      </c>
      <c r="V38" s="1013">
        <v>0</v>
      </c>
      <c r="W38" s="1013">
        <v>0</v>
      </c>
      <c r="X38" s="1013">
        <v>0</v>
      </c>
      <c r="Y38" s="1013">
        <v>0</v>
      </c>
      <c r="Z38" s="1013">
        <v>0</v>
      </c>
      <c r="AA38" s="1013">
        <v>0</v>
      </c>
      <c r="AB38" s="1013">
        <v>0</v>
      </c>
      <c r="AC38" s="1013">
        <v>0</v>
      </c>
      <c r="AD38" s="1013">
        <v>0</v>
      </c>
      <c r="AE38" s="1013">
        <v>0</v>
      </c>
      <c r="AF38" s="1013">
        <v>0</v>
      </c>
      <c r="AG38" s="1013">
        <v>0</v>
      </c>
      <c r="AH38" s="1013">
        <v>0</v>
      </c>
      <c r="AI38" s="1013">
        <v>0</v>
      </c>
      <c r="AJ38" s="1013">
        <v>0</v>
      </c>
      <c r="AK38" s="1013">
        <v>0</v>
      </c>
      <c r="AL38" s="1013">
        <v>0</v>
      </c>
      <c r="AM38" s="951"/>
    </row>
    <row r="39" spans="1:39">
      <c r="A39" s="982">
        <v>1</v>
      </c>
      <c r="B39" s="997" t="s">
        <v>1558</v>
      </c>
      <c r="C39" s="997"/>
      <c r="D39" s="997"/>
      <c r="E39" s="997"/>
      <c r="F39" s="997"/>
      <c r="G39" s="997"/>
      <c r="H39" s="997"/>
      <c r="I39" s="997"/>
      <c r="J39" s="997"/>
      <c r="K39" s="997"/>
      <c r="L39" s="1012">
        <v>4.4000000000000004</v>
      </c>
      <c r="M39" s="211" t="s">
        <v>362</v>
      </c>
      <c r="N39" s="957" t="s">
        <v>351</v>
      </c>
      <c r="O39" s="1013">
        <v>0</v>
      </c>
      <c r="P39" s="1013">
        <v>0</v>
      </c>
      <c r="Q39" s="1013">
        <v>0</v>
      </c>
      <c r="R39" s="1013">
        <v>0</v>
      </c>
      <c r="S39" s="1013">
        <v>0</v>
      </c>
      <c r="T39" s="1013">
        <v>0</v>
      </c>
      <c r="U39" s="1013">
        <v>0</v>
      </c>
      <c r="V39" s="1013">
        <v>0</v>
      </c>
      <c r="W39" s="1013">
        <v>0</v>
      </c>
      <c r="X39" s="1013">
        <v>0</v>
      </c>
      <c r="Y39" s="1013">
        <v>0</v>
      </c>
      <c r="Z39" s="1013">
        <v>0</v>
      </c>
      <c r="AA39" s="1013">
        <v>0</v>
      </c>
      <c r="AB39" s="1013">
        <v>0</v>
      </c>
      <c r="AC39" s="1013">
        <v>0</v>
      </c>
      <c r="AD39" s="1013">
        <v>0</v>
      </c>
      <c r="AE39" s="1013">
        <v>0</v>
      </c>
      <c r="AF39" s="1013">
        <v>0</v>
      </c>
      <c r="AG39" s="1013">
        <v>0</v>
      </c>
      <c r="AH39" s="1013">
        <v>0</v>
      </c>
      <c r="AI39" s="1013">
        <v>0</v>
      </c>
      <c r="AJ39" s="1013">
        <v>0</v>
      </c>
      <c r="AK39" s="1013">
        <v>0</v>
      </c>
      <c r="AL39" s="1013">
        <v>0</v>
      </c>
      <c r="AM39" s="951"/>
    </row>
    <row r="40" spans="1:39">
      <c r="A40" s="982">
        <v>1</v>
      </c>
      <c r="B40" s="997" t="s">
        <v>1559</v>
      </c>
      <c r="C40" s="997"/>
      <c r="D40" s="997"/>
      <c r="E40" s="997"/>
      <c r="F40" s="997"/>
      <c r="G40" s="997"/>
      <c r="H40" s="997"/>
      <c r="I40" s="997"/>
      <c r="J40" s="997"/>
      <c r="K40" s="997"/>
      <c r="L40" s="1012">
        <v>4.5</v>
      </c>
      <c r="M40" s="211" t="s">
        <v>364</v>
      </c>
      <c r="N40" s="957" t="s">
        <v>351</v>
      </c>
      <c r="O40" s="1013">
        <v>0</v>
      </c>
      <c r="P40" s="1013">
        <v>0</v>
      </c>
      <c r="Q40" s="1013">
        <v>0</v>
      </c>
      <c r="R40" s="1013">
        <v>0</v>
      </c>
      <c r="S40" s="1013">
        <v>0</v>
      </c>
      <c r="T40" s="1013">
        <v>0</v>
      </c>
      <c r="U40" s="1013">
        <v>0</v>
      </c>
      <c r="V40" s="1013">
        <v>0</v>
      </c>
      <c r="W40" s="1013">
        <v>0</v>
      </c>
      <c r="X40" s="1013">
        <v>0</v>
      </c>
      <c r="Y40" s="1013">
        <v>0</v>
      </c>
      <c r="Z40" s="1013">
        <v>0</v>
      </c>
      <c r="AA40" s="1013">
        <v>0</v>
      </c>
      <c r="AB40" s="1013">
        <v>0</v>
      </c>
      <c r="AC40" s="1013">
        <v>0</v>
      </c>
      <c r="AD40" s="1013">
        <v>0</v>
      </c>
      <c r="AE40" s="1013">
        <v>0</v>
      </c>
      <c r="AF40" s="1013">
        <v>0</v>
      </c>
      <c r="AG40" s="1013">
        <v>0</v>
      </c>
      <c r="AH40" s="1013">
        <v>0</v>
      </c>
      <c r="AI40" s="1013">
        <v>0</v>
      </c>
      <c r="AJ40" s="1013">
        <v>0</v>
      </c>
      <c r="AK40" s="1013">
        <v>0</v>
      </c>
      <c r="AL40" s="1013">
        <v>0</v>
      </c>
      <c r="AM40" s="951"/>
    </row>
    <row r="41" spans="1:39" s="93" customFormat="1">
      <c r="A41" s="982">
        <v>1</v>
      </c>
      <c r="B41" s="997" t="s">
        <v>1485</v>
      </c>
      <c r="C41" s="1009"/>
      <c r="D41" s="1009"/>
      <c r="E41" s="1009"/>
      <c r="F41" s="1009"/>
      <c r="G41" s="1009"/>
      <c r="H41" s="1009"/>
      <c r="I41" s="1009"/>
      <c r="J41" s="1009"/>
      <c r="K41" s="1009"/>
      <c r="L41" s="1010">
        <v>5</v>
      </c>
      <c r="M41" s="207" t="s">
        <v>376</v>
      </c>
      <c r="N41" s="957" t="s">
        <v>351</v>
      </c>
      <c r="O41" s="1011">
        <v>0</v>
      </c>
      <c r="P41" s="1011">
        <v>0</v>
      </c>
      <c r="Q41" s="1011">
        <v>0</v>
      </c>
      <c r="R41" s="1011">
        <v>0</v>
      </c>
      <c r="S41" s="1011">
        <v>0</v>
      </c>
      <c r="T41" s="1011">
        <v>0</v>
      </c>
      <c r="U41" s="1011">
        <v>0</v>
      </c>
      <c r="V41" s="1011">
        <v>0</v>
      </c>
      <c r="W41" s="1011">
        <v>0</v>
      </c>
      <c r="X41" s="1011">
        <v>0</v>
      </c>
      <c r="Y41" s="1011">
        <v>0</v>
      </c>
      <c r="Z41" s="1011">
        <v>0</v>
      </c>
      <c r="AA41" s="1011">
        <v>0</v>
      </c>
      <c r="AB41" s="1011">
        <v>0</v>
      </c>
      <c r="AC41" s="1011">
        <v>0</v>
      </c>
      <c r="AD41" s="1011">
        <v>0</v>
      </c>
      <c r="AE41" s="1011">
        <v>0</v>
      </c>
      <c r="AF41" s="1011">
        <v>0</v>
      </c>
      <c r="AG41" s="1011">
        <v>0</v>
      </c>
      <c r="AH41" s="1011">
        <v>0</v>
      </c>
      <c r="AI41" s="1011">
        <v>0</v>
      </c>
      <c r="AJ41" s="1011">
        <v>0</v>
      </c>
      <c r="AK41" s="1011">
        <v>0</v>
      </c>
      <c r="AL41" s="1011">
        <v>0</v>
      </c>
      <c r="AM41" s="951"/>
    </row>
    <row r="42" spans="1:39">
      <c r="A42" s="982">
        <v>1</v>
      </c>
      <c r="B42" s="997" t="s">
        <v>1502</v>
      </c>
      <c r="C42" s="997"/>
      <c r="D42" s="997"/>
      <c r="E42" s="997"/>
      <c r="F42" s="997"/>
      <c r="G42" s="997"/>
      <c r="H42" s="997"/>
      <c r="I42" s="997"/>
      <c r="J42" s="997"/>
      <c r="K42" s="997"/>
      <c r="L42" s="1012">
        <v>5.0999999999999996</v>
      </c>
      <c r="M42" s="211" t="s">
        <v>357</v>
      </c>
      <c r="N42" s="957" t="s">
        <v>351</v>
      </c>
      <c r="O42" s="1013">
        <v>0</v>
      </c>
      <c r="P42" s="1013">
        <v>0</v>
      </c>
      <c r="Q42" s="1013">
        <v>0</v>
      </c>
      <c r="R42" s="1013">
        <v>0</v>
      </c>
      <c r="S42" s="1013">
        <v>0</v>
      </c>
      <c r="T42" s="1013">
        <v>0</v>
      </c>
      <c r="U42" s="1013">
        <v>0</v>
      </c>
      <c r="V42" s="1013">
        <v>0</v>
      </c>
      <c r="W42" s="1013">
        <v>0</v>
      </c>
      <c r="X42" s="1013">
        <v>0</v>
      </c>
      <c r="Y42" s="1013">
        <v>0</v>
      </c>
      <c r="Z42" s="1013">
        <v>0</v>
      </c>
      <c r="AA42" s="1013">
        <v>0</v>
      </c>
      <c r="AB42" s="1013">
        <v>0</v>
      </c>
      <c r="AC42" s="1013">
        <v>0</v>
      </c>
      <c r="AD42" s="1013">
        <v>0</v>
      </c>
      <c r="AE42" s="1013">
        <v>0</v>
      </c>
      <c r="AF42" s="1013">
        <v>0</v>
      </c>
      <c r="AG42" s="1013">
        <v>0</v>
      </c>
      <c r="AH42" s="1013">
        <v>0</v>
      </c>
      <c r="AI42" s="1013">
        <v>0</v>
      </c>
      <c r="AJ42" s="1013">
        <v>0</v>
      </c>
      <c r="AK42" s="1013">
        <v>0</v>
      </c>
      <c r="AL42" s="1013">
        <v>0</v>
      </c>
      <c r="AM42" s="951"/>
    </row>
    <row r="43" spans="1:39">
      <c r="A43" s="982">
        <v>1</v>
      </c>
      <c r="B43" s="997" t="s">
        <v>1503</v>
      </c>
      <c r="C43" s="997"/>
      <c r="D43" s="997"/>
      <c r="E43" s="997"/>
      <c r="F43" s="997"/>
      <c r="G43" s="997"/>
      <c r="H43" s="997"/>
      <c r="I43" s="997"/>
      <c r="J43" s="997"/>
      <c r="K43" s="997"/>
      <c r="L43" s="1012">
        <v>5.2</v>
      </c>
      <c r="M43" s="211" t="s">
        <v>358</v>
      </c>
      <c r="N43" s="957" t="s">
        <v>351</v>
      </c>
      <c r="O43" s="1013">
        <v>0</v>
      </c>
      <c r="P43" s="1013">
        <v>0</v>
      </c>
      <c r="Q43" s="1013">
        <v>0</v>
      </c>
      <c r="R43" s="1013">
        <v>0</v>
      </c>
      <c r="S43" s="1013">
        <v>0</v>
      </c>
      <c r="T43" s="1013">
        <v>0</v>
      </c>
      <c r="U43" s="1013">
        <v>0</v>
      </c>
      <c r="V43" s="1013">
        <v>0</v>
      </c>
      <c r="W43" s="1013">
        <v>0</v>
      </c>
      <c r="X43" s="1013">
        <v>0</v>
      </c>
      <c r="Y43" s="1013">
        <v>0</v>
      </c>
      <c r="Z43" s="1013">
        <v>0</v>
      </c>
      <c r="AA43" s="1013">
        <v>0</v>
      </c>
      <c r="AB43" s="1013">
        <v>0</v>
      </c>
      <c r="AC43" s="1013">
        <v>0</v>
      </c>
      <c r="AD43" s="1013">
        <v>0</v>
      </c>
      <c r="AE43" s="1013">
        <v>0</v>
      </c>
      <c r="AF43" s="1013">
        <v>0</v>
      </c>
      <c r="AG43" s="1013">
        <v>0</v>
      </c>
      <c r="AH43" s="1013">
        <v>0</v>
      </c>
      <c r="AI43" s="1013">
        <v>0</v>
      </c>
      <c r="AJ43" s="1013">
        <v>0</v>
      </c>
      <c r="AK43" s="1013">
        <v>0</v>
      </c>
      <c r="AL43" s="1013">
        <v>0</v>
      </c>
      <c r="AM43" s="951"/>
    </row>
    <row r="44" spans="1:39">
      <c r="A44" s="982">
        <v>1</v>
      </c>
      <c r="B44" s="997" t="s">
        <v>1543</v>
      </c>
      <c r="C44" s="997"/>
      <c r="D44" s="997"/>
      <c r="E44" s="997"/>
      <c r="F44" s="997"/>
      <c r="G44" s="997"/>
      <c r="H44" s="997"/>
      <c r="I44" s="997"/>
      <c r="J44" s="997"/>
      <c r="K44" s="997"/>
      <c r="L44" s="1012">
        <v>5.3</v>
      </c>
      <c r="M44" s="211" t="s">
        <v>360</v>
      </c>
      <c r="N44" s="957" t="s">
        <v>351</v>
      </c>
      <c r="O44" s="1013">
        <v>0</v>
      </c>
      <c r="P44" s="1013">
        <v>0</v>
      </c>
      <c r="Q44" s="1013">
        <v>0</v>
      </c>
      <c r="R44" s="1013">
        <v>0</v>
      </c>
      <c r="S44" s="1013">
        <v>0</v>
      </c>
      <c r="T44" s="1013">
        <v>0</v>
      </c>
      <c r="U44" s="1013">
        <v>0</v>
      </c>
      <c r="V44" s="1013">
        <v>0</v>
      </c>
      <c r="W44" s="1013">
        <v>0</v>
      </c>
      <c r="X44" s="1013">
        <v>0</v>
      </c>
      <c r="Y44" s="1013">
        <v>0</v>
      </c>
      <c r="Z44" s="1013">
        <v>0</v>
      </c>
      <c r="AA44" s="1013">
        <v>0</v>
      </c>
      <c r="AB44" s="1013">
        <v>0</v>
      </c>
      <c r="AC44" s="1013">
        <v>0</v>
      </c>
      <c r="AD44" s="1013">
        <v>0</v>
      </c>
      <c r="AE44" s="1013">
        <v>0</v>
      </c>
      <c r="AF44" s="1013">
        <v>0</v>
      </c>
      <c r="AG44" s="1013">
        <v>0</v>
      </c>
      <c r="AH44" s="1013">
        <v>0</v>
      </c>
      <c r="AI44" s="1013">
        <v>0</v>
      </c>
      <c r="AJ44" s="1013">
        <v>0</v>
      </c>
      <c r="AK44" s="1013">
        <v>0</v>
      </c>
      <c r="AL44" s="1013">
        <v>0</v>
      </c>
      <c r="AM44" s="951"/>
    </row>
    <row r="45" spans="1:39">
      <c r="A45" s="982">
        <v>1</v>
      </c>
      <c r="B45" s="997" t="s">
        <v>1560</v>
      </c>
      <c r="C45" s="997"/>
      <c r="D45" s="997"/>
      <c r="E45" s="997"/>
      <c r="F45" s="997"/>
      <c r="G45" s="997"/>
      <c r="H45" s="997"/>
      <c r="I45" s="997"/>
      <c r="J45" s="997"/>
      <c r="K45" s="997"/>
      <c r="L45" s="1012">
        <v>5.4</v>
      </c>
      <c r="M45" s="211" t="s">
        <v>362</v>
      </c>
      <c r="N45" s="957" t="s">
        <v>351</v>
      </c>
      <c r="O45" s="1013">
        <v>0</v>
      </c>
      <c r="P45" s="1013">
        <v>0</v>
      </c>
      <c r="Q45" s="1013">
        <v>0</v>
      </c>
      <c r="R45" s="1013">
        <v>0</v>
      </c>
      <c r="S45" s="1013">
        <v>0</v>
      </c>
      <c r="T45" s="1013">
        <v>0</v>
      </c>
      <c r="U45" s="1013">
        <v>0</v>
      </c>
      <c r="V45" s="1013">
        <v>0</v>
      </c>
      <c r="W45" s="1013">
        <v>0</v>
      </c>
      <c r="X45" s="1013">
        <v>0</v>
      </c>
      <c r="Y45" s="1013">
        <v>0</v>
      </c>
      <c r="Z45" s="1013">
        <v>0</v>
      </c>
      <c r="AA45" s="1013">
        <v>0</v>
      </c>
      <c r="AB45" s="1013">
        <v>0</v>
      </c>
      <c r="AC45" s="1013">
        <v>0</v>
      </c>
      <c r="AD45" s="1013">
        <v>0</v>
      </c>
      <c r="AE45" s="1013">
        <v>0</v>
      </c>
      <c r="AF45" s="1013">
        <v>0</v>
      </c>
      <c r="AG45" s="1013">
        <v>0</v>
      </c>
      <c r="AH45" s="1013">
        <v>0</v>
      </c>
      <c r="AI45" s="1013">
        <v>0</v>
      </c>
      <c r="AJ45" s="1013">
        <v>0</v>
      </c>
      <c r="AK45" s="1013">
        <v>0</v>
      </c>
      <c r="AL45" s="1013">
        <v>0</v>
      </c>
      <c r="AM45" s="951"/>
    </row>
    <row r="46" spans="1:39">
      <c r="A46" s="982">
        <v>1</v>
      </c>
      <c r="B46" s="997" t="s">
        <v>1561</v>
      </c>
      <c r="C46" s="997"/>
      <c r="D46" s="997"/>
      <c r="E46" s="997"/>
      <c r="F46" s="997"/>
      <c r="G46" s="997"/>
      <c r="H46" s="997"/>
      <c r="I46" s="997"/>
      <c r="J46" s="997"/>
      <c r="K46" s="997"/>
      <c r="L46" s="1012">
        <v>5.5</v>
      </c>
      <c r="M46" s="211" t="s">
        <v>364</v>
      </c>
      <c r="N46" s="957" t="s">
        <v>351</v>
      </c>
      <c r="O46" s="1013">
        <v>0</v>
      </c>
      <c r="P46" s="1013">
        <v>0</v>
      </c>
      <c r="Q46" s="1013">
        <v>0</v>
      </c>
      <c r="R46" s="1013">
        <v>0</v>
      </c>
      <c r="S46" s="1013">
        <v>0</v>
      </c>
      <c r="T46" s="1013">
        <v>0</v>
      </c>
      <c r="U46" s="1013">
        <v>0</v>
      </c>
      <c r="V46" s="1013">
        <v>0</v>
      </c>
      <c r="W46" s="1013">
        <v>0</v>
      </c>
      <c r="X46" s="1013">
        <v>0</v>
      </c>
      <c r="Y46" s="1013">
        <v>0</v>
      </c>
      <c r="Z46" s="1013">
        <v>0</v>
      </c>
      <c r="AA46" s="1013">
        <v>0</v>
      </c>
      <c r="AB46" s="1013">
        <v>0</v>
      </c>
      <c r="AC46" s="1013">
        <v>0</v>
      </c>
      <c r="AD46" s="1013">
        <v>0</v>
      </c>
      <c r="AE46" s="1013">
        <v>0</v>
      </c>
      <c r="AF46" s="1013">
        <v>0</v>
      </c>
      <c r="AG46" s="1013">
        <v>0</v>
      </c>
      <c r="AH46" s="1013">
        <v>0</v>
      </c>
      <c r="AI46" s="1013">
        <v>0</v>
      </c>
      <c r="AJ46" s="1013">
        <v>0</v>
      </c>
      <c r="AK46" s="1013">
        <v>0</v>
      </c>
      <c r="AL46" s="1013">
        <v>0</v>
      </c>
      <c r="AM46" s="951"/>
    </row>
    <row r="47" spans="1:39" s="93" customFormat="1" ht="22.5">
      <c r="A47" s="982">
        <v>1</v>
      </c>
      <c r="B47" s="997" t="s">
        <v>1486</v>
      </c>
      <c r="C47" s="1009"/>
      <c r="D47" s="1009"/>
      <c r="E47" s="1009"/>
      <c r="F47" s="1009"/>
      <c r="G47" s="1009"/>
      <c r="H47" s="1009"/>
      <c r="I47" s="1009"/>
      <c r="J47" s="1009"/>
      <c r="K47" s="1009"/>
      <c r="L47" s="1010">
        <v>6</v>
      </c>
      <c r="M47" s="207" t="s">
        <v>380</v>
      </c>
      <c r="N47" s="213"/>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951"/>
    </row>
    <row r="48" spans="1:39">
      <c r="A48" s="982">
        <v>1</v>
      </c>
      <c r="B48" s="997" t="s">
        <v>1526</v>
      </c>
      <c r="C48" s="997"/>
      <c r="D48" s="997"/>
      <c r="E48" s="997"/>
      <c r="F48" s="997"/>
      <c r="G48" s="997"/>
      <c r="H48" s="997"/>
      <c r="I48" s="997"/>
      <c r="J48" s="997"/>
      <c r="K48" s="997"/>
      <c r="L48" s="1012">
        <v>6.1</v>
      </c>
      <c r="M48" s="211" t="s">
        <v>357</v>
      </c>
      <c r="N48" s="208" t="s">
        <v>137</v>
      </c>
      <c r="O48" s="1013">
        <v>0</v>
      </c>
      <c r="P48" s="1013">
        <v>0</v>
      </c>
      <c r="Q48" s="1013">
        <v>0</v>
      </c>
      <c r="R48" s="1013">
        <v>0</v>
      </c>
      <c r="S48" s="1013">
        <v>0</v>
      </c>
      <c r="T48" s="1013">
        <v>0</v>
      </c>
      <c r="U48" s="1013">
        <v>0</v>
      </c>
      <c r="V48" s="1013">
        <v>0</v>
      </c>
      <c r="W48" s="1013">
        <v>0</v>
      </c>
      <c r="X48" s="1013">
        <v>0</v>
      </c>
      <c r="Y48" s="1013">
        <v>0</v>
      </c>
      <c r="Z48" s="1013">
        <v>0</v>
      </c>
      <c r="AA48" s="1013">
        <v>0</v>
      </c>
      <c r="AB48" s="1013">
        <v>0</v>
      </c>
      <c r="AC48" s="1013">
        <v>0</v>
      </c>
      <c r="AD48" s="1013">
        <v>0</v>
      </c>
      <c r="AE48" s="1013">
        <v>0</v>
      </c>
      <c r="AF48" s="1013">
        <v>0</v>
      </c>
      <c r="AG48" s="1013">
        <v>0</v>
      </c>
      <c r="AH48" s="1013">
        <v>0</v>
      </c>
      <c r="AI48" s="1013">
        <v>0</v>
      </c>
      <c r="AJ48" s="1013">
        <v>0</v>
      </c>
      <c r="AK48" s="1013">
        <v>0</v>
      </c>
      <c r="AL48" s="1013">
        <v>0</v>
      </c>
      <c r="AM48" s="951"/>
    </row>
    <row r="49" spans="1:39">
      <c r="A49" s="982">
        <v>1</v>
      </c>
      <c r="B49" s="997" t="s">
        <v>1527</v>
      </c>
      <c r="C49" s="997"/>
      <c r="D49" s="997"/>
      <c r="E49" s="997"/>
      <c r="F49" s="997"/>
      <c r="G49" s="997"/>
      <c r="H49" s="997"/>
      <c r="I49" s="997"/>
      <c r="J49" s="997"/>
      <c r="K49" s="997"/>
      <c r="L49" s="1012">
        <v>6.2</v>
      </c>
      <c r="M49" s="211" t="s">
        <v>358</v>
      </c>
      <c r="N49" s="208" t="s">
        <v>137</v>
      </c>
      <c r="O49" s="1013">
        <v>0</v>
      </c>
      <c r="P49" s="1013">
        <v>0</v>
      </c>
      <c r="Q49" s="1013">
        <v>0</v>
      </c>
      <c r="R49" s="1013">
        <v>0</v>
      </c>
      <c r="S49" s="1013">
        <v>0</v>
      </c>
      <c r="T49" s="1013">
        <v>0</v>
      </c>
      <c r="U49" s="1013">
        <v>0</v>
      </c>
      <c r="V49" s="1013">
        <v>0</v>
      </c>
      <c r="W49" s="1013">
        <v>0</v>
      </c>
      <c r="X49" s="1013">
        <v>0</v>
      </c>
      <c r="Y49" s="1013">
        <v>0</v>
      </c>
      <c r="Z49" s="1013">
        <v>0</v>
      </c>
      <c r="AA49" s="1013">
        <v>0</v>
      </c>
      <c r="AB49" s="1013">
        <v>0</v>
      </c>
      <c r="AC49" s="1013">
        <v>0</v>
      </c>
      <c r="AD49" s="1013">
        <v>0</v>
      </c>
      <c r="AE49" s="1013">
        <v>0</v>
      </c>
      <c r="AF49" s="1013">
        <v>0</v>
      </c>
      <c r="AG49" s="1013">
        <v>0</v>
      </c>
      <c r="AH49" s="1013">
        <v>0</v>
      </c>
      <c r="AI49" s="1013">
        <v>0</v>
      </c>
      <c r="AJ49" s="1013">
        <v>0</v>
      </c>
      <c r="AK49" s="1013">
        <v>0</v>
      </c>
      <c r="AL49" s="1013">
        <v>0</v>
      </c>
      <c r="AM49" s="951"/>
    </row>
    <row r="50" spans="1:39">
      <c r="A50" s="982">
        <v>1</v>
      </c>
      <c r="B50" s="997" t="s">
        <v>1534</v>
      </c>
      <c r="C50" s="997"/>
      <c r="D50" s="997"/>
      <c r="E50" s="997"/>
      <c r="F50" s="997"/>
      <c r="G50" s="997"/>
      <c r="H50" s="997"/>
      <c r="I50" s="997"/>
      <c r="J50" s="997"/>
      <c r="K50" s="997"/>
      <c r="L50" s="1012">
        <v>6.3</v>
      </c>
      <c r="M50" s="211" t="s">
        <v>360</v>
      </c>
      <c r="N50" s="208" t="s">
        <v>137</v>
      </c>
      <c r="O50" s="1013">
        <v>0</v>
      </c>
      <c r="P50" s="1013">
        <v>0</v>
      </c>
      <c r="Q50" s="1013">
        <v>0</v>
      </c>
      <c r="R50" s="1013">
        <v>0</v>
      </c>
      <c r="S50" s="1013">
        <v>0</v>
      </c>
      <c r="T50" s="1013">
        <v>0</v>
      </c>
      <c r="U50" s="1013">
        <v>0</v>
      </c>
      <c r="V50" s="1013">
        <v>0</v>
      </c>
      <c r="W50" s="1013">
        <v>0</v>
      </c>
      <c r="X50" s="1013">
        <v>0</v>
      </c>
      <c r="Y50" s="1013">
        <v>0</v>
      </c>
      <c r="Z50" s="1013">
        <v>0</v>
      </c>
      <c r="AA50" s="1013">
        <v>0</v>
      </c>
      <c r="AB50" s="1013">
        <v>0</v>
      </c>
      <c r="AC50" s="1013">
        <v>0</v>
      </c>
      <c r="AD50" s="1013">
        <v>0</v>
      </c>
      <c r="AE50" s="1013">
        <v>0</v>
      </c>
      <c r="AF50" s="1013">
        <v>0</v>
      </c>
      <c r="AG50" s="1013">
        <v>0</v>
      </c>
      <c r="AH50" s="1013">
        <v>0</v>
      </c>
      <c r="AI50" s="1013">
        <v>0</v>
      </c>
      <c r="AJ50" s="1013">
        <v>0</v>
      </c>
      <c r="AK50" s="1013">
        <v>0</v>
      </c>
      <c r="AL50" s="1013">
        <v>0</v>
      </c>
      <c r="AM50" s="951"/>
    </row>
    <row r="51" spans="1:39">
      <c r="A51" s="982">
        <v>1</v>
      </c>
      <c r="B51" s="997" t="s">
        <v>1537</v>
      </c>
      <c r="C51" s="997"/>
      <c r="D51" s="997"/>
      <c r="E51" s="997"/>
      <c r="F51" s="997"/>
      <c r="G51" s="997"/>
      <c r="H51" s="997"/>
      <c r="I51" s="997"/>
      <c r="J51" s="997"/>
      <c r="K51" s="997"/>
      <c r="L51" s="1012">
        <v>6.4</v>
      </c>
      <c r="M51" s="211" t="s">
        <v>362</v>
      </c>
      <c r="N51" s="208" t="s">
        <v>137</v>
      </c>
      <c r="O51" s="1013">
        <v>0</v>
      </c>
      <c r="P51" s="1013">
        <v>0</v>
      </c>
      <c r="Q51" s="1013">
        <v>0</v>
      </c>
      <c r="R51" s="1013">
        <v>0</v>
      </c>
      <c r="S51" s="1013">
        <v>0</v>
      </c>
      <c r="T51" s="1013">
        <v>0</v>
      </c>
      <c r="U51" s="1013">
        <v>0</v>
      </c>
      <c r="V51" s="1013">
        <v>0</v>
      </c>
      <c r="W51" s="1013">
        <v>0</v>
      </c>
      <c r="X51" s="1013">
        <v>0</v>
      </c>
      <c r="Y51" s="1013">
        <v>0</v>
      </c>
      <c r="Z51" s="1013">
        <v>0</v>
      </c>
      <c r="AA51" s="1013">
        <v>0</v>
      </c>
      <c r="AB51" s="1013">
        <v>0</v>
      </c>
      <c r="AC51" s="1013">
        <v>0</v>
      </c>
      <c r="AD51" s="1013">
        <v>0</v>
      </c>
      <c r="AE51" s="1013">
        <v>0</v>
      </c>
      <c r="AF51" s="1013">
        <v>0</v>
      </c>
      <c r="AG51" s="1013">
        <v>0</v>
      </c>
      <c r="AH51" s="1013">
        <v>0</v>
      </c>
      <c r="AI51" s="1013">
        <v>0</v>
      </c>
      <c r="AJ51" s="1013">
        <v>0</v>
      </c>
      <c r="AK51" s="1013">
        <v>0</v>
      </c>
      <c r="AL51" s="1013">
        <v>0</v>
      </c>
      <c r="AM51" s="951"/>
    </row>
    <row r="52" spans="1:39">
      <c r="A52" s="982">
        <v>1</v>
      </c>
      <c r="B52" s="997" t="s">
        <v>1540</v>
      </c>
      <c r="C52" s="997"/>
      <c r="D52" s="997"/>
      <c r="E52" s="997"/>
      <c r="F52" s="997"/>
      <c r="G52" s="997"/>
      <c r="H52" s="997"/>
      <c r="I52" s="997"/>
      <c r="J52" s="997"/>
      <c r="K52" s="997"/>
      <c r="L52" s="1012">
        <v>6.5</v>
      </c>
      <c r="M52" s="211" t="s">
        <v>364</v>
      </c>
      <c r="N52" s="208" t="s">
        <v>137</v>
      </c>
      <c r="O52" s="1013">
        <v>0</v>
      </c>
      <c r="P52" s="1013">
        <v>0</v>
      </c>
      <c r="Q52" s="1013">
        <v>0</v>
      </c>
      <c r="R52" s="1013">
        <v>0</v>
      </c>
      <c r="S52" s="1013">
        <v>0</v>
      </c>
      <c r="T52" s="1013">
        <v>0</v>
      </c>
      <c r="U52" s="1013">
        <v>0</v>
      </c>
      <c r="V52" s="1013">
        <v>0</v>
      </c>
      <c r="W52" s="1013">
        <v>0</v>
      </c>
      <c r="X52" s="1013">
        <v>0</v>
      </c>
      <c r="Y52" s="1013">
        <v>0</v>
      </c>
      <c r="Z52" s="1013">
        <v>0</v>
      </c>
      <c r="AA52" s="1013">
        <v>0</v>
      </c>
      <c r="AB52" s="1013">
        <v>0</v>
      </c>
      <c r="AC52" s="1013">
        <v>0</v>
      </c>
      <c r="AD52" s="1013">
        <v>0</v>
      </c>
      <c r="AE52" s="1013">
        <v>0</v>
      </c>
      <c r="AF52" s="1013">
        <v>0</v>
      </c>
      <c r="AG52" s="1013">
        <v>0</v>
      </c>
      <c r="AH52" s="1013">
        <v>0</v>
      </c>
      <c r="AI52" s="1013">
        <v>0</v>
      </c>
      <c r="AJ52" s="1013">
        <v>0</v>
      </c>
      <c r="AK52" s="1013">
        <v>0</v>
      </c>
      <c r="AL52" s="1013">
        <v>0</v>
      </c>
      <c r="AM52" s="951"/>
    </row>
    <row r="53" spans="1:39" s="93" customFormat="1">
      <c r="A53" s="982">
        <v>1</v>
      </c>
      <c r="B53" s="997" t="s">
        <v>1487</v>
      </c>
      <c r="C53" s="1009"/>
      <c r="D53" s="1009"/>
      <c r="E53" s="1009"/>
      <c r="F53" s="1009"/>
      <c r="G53" s="1009"/>
      <c r="H53" s="1009"/>
      <c r="I53" s="1009"/>
      <c r="J53" s="1009"/>
      <c r="K53" s="1009"/>
      <c r="L53" s="1010">
        <v>7</v>
      </c>
      <c r="M53" s="207" t="s">
        <v>384</v>
      </c>
      <c r="N53" s="957" t="s">
        <v>351</v>
      </c>
      <c r="O53" s="1011">
        <v>0</v>
      </c>
      <c r="P53" s="1011">
        <v>0</v>
      </c>
      <c r="Q53" s="1011">
        <v>0</v>
      </c>
      <c r="R53" s="1011">
        <v>0</v>
      </c>
      <c r="S53" s="1011">
        <v>0</v>
      </c>
      <c r="T53" s="1011">
        <v>0</v>
      </c>
      <c r="U53" s="1011">
        <v>0</v>
      </c>
      <c r="V53" s="1011">
        <v>0</v>
      </c>
      <c r="W53" s="1011">
        <v>0</v>
      </c>
      <c r="X53" s="1011">
        <v>0</v>
      </c>
      <c r="Y53" s="1011">
        <v>0</v>
      </c>
      <c r="Z53" s="1011">
        <v>0</v>
      </c>
      <c r="AA53" s="1011">
        <v>0</v>
      </c>
      <c r="AB53" s="1011">
        <v>0</v>
      </c>
      <c r="AC53" s="1011">
        <v>0</v>
      </c>
      <c r="AD53" s="1011">
        <v>0</v>
      </c>
      <c r="AE53" s="1011">
        <v>0</v>
      </c>
      <c r="AF53" s="1011">
        <v>0</v>
      </c>
      <c r="AG53" s="1011">
        <v>0</v>
      </c>
      <c r="AH53" s="1011">
        <v>0</v>
      </c>
      <c r="AI53" s="1011">
        <v>0</v>
      </c>
      <c r="AJ53" s="1011">
        <v>0</v>
      </c>
      <c r="AK53" s="1011">
        <v>0</v>
      </c>
      <c r="AL53" s="1011">
        <v>0</v>
      </c>
      <c r="AM53" s="951"/>
    </row>
    <row r="54" spans="1:39">
      <c r="A54" s="982">
        <v>1</v>
      </c>
      <c r="B54" s="997" t="s">
        <v>1528</v>
      </c>
      <c r="C54" s="997"/>
      <c r="D54" s="997"/>
      <c r="E54" s="997"/>
      <c r="F54" s="997"/>
      <c r="G54" s="997"/>
      <c r="H54" s="997"/>
      <c r="I54" s="997"/>
      <c r="J54" s="997"/>
      <c r="K54" s="997"/>
      <c r="L54" s="1012">
        <v>7.1</v>
      </c>
      <c r="M54" s="211" t="s">
        <v>357</v>
      </c>
      <c r="N54" s="957" t="s">
        <v>351</v>
      </c>
      <c r="O54" s="1013"/>
      <c r="P54" s="1013"/>
      <c r="Q54" s="1013"/>
      <c r="R54" s="1013"/>
      <c r="S54" s="1013"/>
      <c r="T54" s="1013"/>
      <c r="U54" s="1013"/>
      <c r="V54" s="1013"/>
      <c r="W54" s="1013"/>
      <c r="X54" s="1013"/>
      <c r="Y54" s="1013"/>
      <c r="Z54" s="1013"/>
      <c r="AA54" s="1013"/>
      <c r="AB54" s="1013"/>
      <c r="AC54" s="1013"/>
      <c r="AD54" s="1013"/>
      <c r="AE54" s="1013"/>
      <c r="AF54" s="1013"/>
      <c r="AG54" s="1013"/>
      <c r="AH54" s="1013"/>
      <c r="AI54" s="1013"/>
      <c r="AJ54" s="1013"/>
      <c r="AK54" s="1013"/>
      <c r="AL54" s="1013"/>
      <c r="AM54" s="951"/>
    </row>
    <row r="55" spans="1:39">
      <c r="A55" s="982">
        <v>1</v>
      </c>
      <c r="B55" s="997" t="s">
        <v>1529</v>
      </c>
      <c r="C55" s="997"/>
      <c r="D55" s="997"/>
      <c r="E55" s="997"/>
      <c r="F55" s="997"/>
      <c r="G55" s="997"/>
      <c r="H55" s="997"/>
      <c r="I55" s="997"/>
      <c r="J55" s="997"/>
      <c r="K55" s="997"/>
      <c r="L55" s="1012">
        <v>7.2</v>
      </c>
      <c r="M55" s="211" t="s">
        <v>358</v>
      </c>
      <c r="N55" s="957" t="s">
        <v>351</v>
      </c>
      <c r="O55" s="1013"/>
      <c r="P55" s="1013"/>
      <c r="Q55" s="1013"/>
      <c r="R55" s="1013"/>
      <c r="S55" s="1013"/>
      <c r="T55" s="1013"/>
      <c r="U55" s="1013"/>
      <c r="V55" s="1013"/>
      <c r="W55" s="1013"/>
      <c r="X55" s="1013"/>
      <c r="Y55" s="1013"/>
      <c r="Z55" s="1013"/>
      <c r="AA55" s="1013"/>
      <c r="AB55" s="1013"/>
      <c r="AC55" s="1013"/>
      <c r="AD55" s="1013"/>
      <c r="AE55" s="1013"/>
      <c r="AF55" s="1013"/>
      <c r="AG55" s="1013"/>
      <c r="AH55" s="1013"/>
      <c r="AI55" s="1013"/>
      <c r="AJ55" s="1013"/>
      <c r="AK55" s="1013"/>
      <c r="AL55" s="1013"/>
      <c r="AM55" s="951"/>
    </row>
    <row r="56" spans="1:39">
      <c r="A56" s="982">
        <v>1</v>
      </c>
      <c r="B56" s="997" t="s">
        <v>1562</v>
      </c>
      <c r="C56" s="997"/>
      <c r="D56" s="997"/>
      <c r="E56" s="997"/>
      <c r="F56" s="997"/>
      <c r="G56" s="997"/>
      <c r="H56" s="997"/>
      <c r="I56" s="997"/>
      <c r="J56" s="997"/>
      <c r="K56" s="997"/>
      <c r="L56" s="1012">
        <v>7.3</v>
      </c>
      <c r="M56" s="211" t="s">
        <v>360</v>
      </c>
      <c r="N56" s="957" t="s">
        <v>351</v>
      </c>
      <c r="O56" s="1013"/>
      <c r="P56" s="1013"/>
      <c r="Q56" s="1013"/>
      <c r="R56" s="1013"/>
      <c r="S56" s="1013"/>
      <c r="T56" s="1013"/>
      <c r="U56" s="1013"/>
      <c r="V56" s="1013"/>
      <c r="W56" s="1013"/>
      <c r="X56" s="1013"/>
      <c r="Y56" s="1013"/>
      <c r="Z56" s="1013"/>
      <c r="AA56" s="1013"/>
      <c r="AB56" s="1013"/>
      <c r="AC56" s="1013"/>
      <c r="AD56" s="1013"/>
      <c r="AE56" s="1013"/>
      <c r="AF56" s="1013"/>
      <c r="AG56" s="1013"/>
      <c r="AH56" s="1013"/>
      <c r="AI56" s="1013"/>
      <c r="AJ56" s="1013"/>
      <c r="AK56" s="1013"/>
      <c r="AL56" s="1013"/>
      <c r="AM56" s="951"/>
    </row>
    <row r="57" spans="1:39">
      <c r="A57" s="982">
        <v>1</v>
      </c>
      <c r="B57" s="997" t="s">
        <v>1563</v>
      </c>
      <c r="C57" s="997"/>
      <c r="D57" s="997"/>
      <c r="E57" s="997"/>
      <c r="F57" s="997"/>
      <c r="G57" s="997"/>
      <c r="H57" s="997"/>
      <c r="I57" s="997"/>
      <c r="J57" s="997"/>
      <c r="K57" s="997"/>
      <c r="L57" s="1012">
        <v>7.4</v>
      </c>
      <c r="M57" s="211" t="s">
        <v>362</v>
      </c>
      <c r="N57" s="957" t="s">
        <v>351</v>
      </c>
      <c r="O57" s="1013"/>
      <c r="P57" s="1013"/>
      <c r="Q57" s="1013"/>
      <c r="R57" s="1013"/>
      <c r="S57" s="1013"/>
      <c r="T57" s="1013"/>
      <c r="U57" s="1013"/>
      <c r="V57" s="1013"/>
      <c r="W57" s="1013"/>
      <c r="X57" s="1013"/>
      <c r="Y57" s="1013"/>
      <c r="Z57" s="1013"/>
      <c r="AA57" s="1013"/>
      <c r="AB57" s="1013"/>
      <c r="AC57" s="1013"/>
      <c r="AD57" s="1013"/>
      <c r="AE57" s="1013"/>
      <c r="AF57" s="1013"/>
      <c r="AG57" s="1013"/>
      <c r="AH57" s="1013"/>
      <c r="AI57" s="1013"/>
      <c r="AJ57" s="1013"/>
      <c r="AK57" s="1013"/>
      <c r="AL57" s="1013"/>
      <c r="AM57" s="951"/>
    </row>
    <row r="58" spans="1:39">
      <c r="A58" s="982">
        <v>1</v>
      </c>
      <c r="B58" s="997" t="s">
        <v>1564</v>
      </c>
      <c r="C58" s="997"/>
      <c r="D58" s="997"/>
      <c r="E58" s="997"/>
      <c r="F58" s="997"/>
      <c r="G58" s="997"/>
      <c r="H58" s="997"/>
      <c r="I58" s="997"/>
      <c r="J58" s="997"/>
      <c r="K58" s="997"/>
      <c r="L58" s="1012">
        <v>7.5</v>
      </c>
      <c r="M58" s="211" t="s">
        <v>364</v>
      </c>
      <c r="N58" s="957" t="s">
        <v>351</v>
      </c>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013"/>
      <c r="AM58" s="951"/>
    </row>
    <row r="59" spans="1:39" s="93" customFormat="1">
      <c r="A59" s="982">
        <v>1</v>
      </c>
      <c r="B59" s="997" t="s">
        <v>1494</v>
      </c>
      <c r="C59" s="1009"/>
      <c r="D59" s="1009"/>
      <c r="E59" s="1009"/>
      <c r="F59" s="1009"/>
      <c r="G59" s="1009"/>
      <c r="H59" s="1009"/>
      <c r="I59" s="1009"/>
      <c r="J59" s="1009"/>
      <c r="K59" s="1009"/>
      <c r="L59" s="1010">
        <v>8</v>
      </c>
      <c r="M59" s="207" t="s">
        <v>388</v>
      </c>
      <c r="N59" s="957" t="s">
        <v>351</v>
      </c>
      <c r="O59" s="1011">
        <v>0</v>
      </c>
      <c r="P59" s="1011">
        <v>0</v>
      </c>
      <c r="Q59" s="1011">
        <v>0</v>
      </c>
      <c r="R59" s="1011">
        <v>0</v>
      </c>
      <c r="S59" s="1011">
        <v>0</v>
      </c>
      <c r="T59" s="1011">
        <v>0</v>
      </c>
      <c r="U59" s="1011">
        <v>0</v>
      </c>
      <c r="V59" s="1011">
        <v>0</v>
      </c>
      <c r="W59" s="1011">
        <v>0</v>
      </c>
      <c r="X59" s="1011">
        <v>0</v>
      </c>
      <c r="Y59" s="1011">
        <v>0</v>
      </c>
      <c r="Z59" s="1011">
        <v>0</v>
      </c>
      <c r="AA59" s="1011">
        <v>0</v>
      </c>
      <c r="AB59" s="1011">
        <v>0</v>
      </c>
      <c r="AC59" s="1011">
        <v>0</v>
      </c>
      <c r="AD59" s="1011">
        <v>0</v>
      </c>
      <c r="AE59" s="1011">
        <v>0</v>
      </c>
      <c r="AF59" s="1011">
        <v>0</v>
      </c>
      <c r="AG59" s="1011">
        <v>0</v>
      </c>
      <c r="AH59" s="1011">
        <v>0</v>
      </c>
      <c r="AI59" s="1011">
        <v>0</v>
      </c>
      <c r="AJ59" s="1011">
        <v>0</v>
      </c>
      <c r="AK59" s="1011">
        <v>0</v>
      </c>
      <c r="AL59" s="1011">
        <v>0</v>
      </c>
      <c r="AM59" s="951"/>
    </row>
    <row r="60" spans="1:39">
      <c r="A60" s="982">
        <v>1</v>
      </c>
      <c r="B60" s="997" t="s">
        <v>1504</v>
      </c>
      <c r="C60" s="997"/>
      <c r="D60" s="997"/>
      <c r="E60" s="997"/>
      <c r="F60" s="997"/>
      <c r="G60" s="997"/>
      <c r="H60" s="997"/>
      <c r="I60" s="997"/>
      <c r="J60" s="997"/>
      <c r="K60" s="997"/>
      <c r="L60" s="1012">
        <v>8.1</v>
      </c>
      <c r="M60" s="211" t="s">
        <v>357</v>
      </c>
      <c r="N60" s="957" t="s">
        <v>351</v>
      </c>
      <c r="O60" s="1013"/>
      <c r="P60" s="1013"/>
      <c r="Q60" s="1013"/>
      <c r="R60" s="1013"/>
      <c r="S60" s="1013"/>
      <c r="T60" s="1013"/>
      <c r="U60" s="1013"/>
      <c r="V60" s="1013"/>
      <c r="W60" s="1013"/>
      <c r="X60" s="1013"/>
      <c r="Y60" s="1013"/>
      <c r="Z60" s="1013"/>
      <c r="AA60" s="1013"/>
      <c r="AB60" s="1013"/>
      <c r="AC60" s="1013"/>
      <c r="AD60" s="1013"/>
      <c r="AE60" s="1013"/>
      <c r="AF60" s="1013"/>
      <c r="AG60" s="1013"/>
      <c r="AH60" s="1013"/>
      <c r="AI60" s="1013"/>
      <c r="AJ60" s="1013"/>
      <c r="AK60" s="1013"/>
      <c r="AL60" s="1013"/>
      <c r="AM60" s="951"/>
    </row>
    <row r="61" spans="1:39">
      <c r="A61" s="982">
        <v>1</v>
      </c>
      <c r="B61" s="997" t="s">
        <v>1505</v>
      </c>
      <c r="C61" s="997"/>
      <c r="D61" s="997"/>
      <c r="E61" s="997"/>
      <c r="F61" s="997"/>
      <c r="G61" s="997"/>
      <c r="H61" s="997"/>
      <c r="I61" s="997"/>
      <c r="J61" s="997"/>
      <c r="K61" s="997"/>
      <c r="L61" s="1012">
        <v>8.1999999999999993</v>
      </c>
      <c r="M61" s="211" t="s">
        <v>358</v>
      </c>
      <c r="N61" s="957" t="s">
        <v>351</v>
      </c>
      <c r="O61" s="1013"/>
      <c r="P61" s="1013"/>
      <c r="Q61" s="1013"/>
      <c r="R61" s="1013"/>
      <c r="S61" s="1013"/>
      <c r="T61" s="1013"/>
      <c r="U61" s="1013"/>
      <c r="V61" s="1013"/>
      <c r="W61" s="1013"/>
      <c r="X61" s="1013"/>
      <c r="Y61" s="1013"/>
      <c r="Z61" s="1013"/>
      <c r="AA61" s="1013"/>
      <c r="AB61" s="1013"/>
      <c r="AC61" s="1013"/>
      <c r="AD61" s="1013"/>
      <c r="AE61" s="1013"/>
      <c r="AF61" s="1013"/>
      <c r="AG61" s="1013"/>
      <c r="AH61" s="1013"/>
      <c r="AI61" s="1013"/>
      <c r="AJ61" s="1013"/>
      <c r="AK61" s="1013"/>
      <c r="AL61" s="1013"/>
      <c r="AM61" s="951"/>
    </row>
    <row r="62" spans="1:39">
      <c r="A62" s="982">
        <v>1</v>
      </c>
      <c r="B62" s="997" t="s">
        <v>1506</v>
      </c>
      <c r="C62" s="997"/>
      <c r="D62" s="997"/>
      <c r="E62" s="997"/>
      <c r="F62" s="997"/>
      <c r="G62" s="997"/>
      <c r="H62" s="997"/>
      <c r="I62" s="997"/>
      <c r="J62" s="997"/>
      <c r="K62" s="997"/>
      <c r="L62" s="1012">
        <v>8.3000000000000007</v>
      </c>
      <c r="M62" s="211" t="s">
        <v>360</v>
      </c>
      <c r="N62" s="957" t="s">
        <v>351</v>
      </c>
      <c r="O62" s="1013"/>
      <c r="P62" s="1013"/>
      <c r="Q62" s="1013"/>
      <c r="R62" s="1013"/>
      <c r="S62" s="1013"/>
      <c r="T62" s="1013"/>
      <c r="U62" s="1013"/>
      <c r="V62" s="1013"/>
      <c r="W62" s="1013"/>
      <c r="X62" s="1013"/>
      <c r="Y62" s="1013"/>
      <c r="Z62" s="1013"/>
      <c r="AA62" s="1013"/>
      <c r="AB62" s="1013"/>
      <c r="AC62" s="1013"/>
      <c r="AD62" s="1013"/>
      <c r="AE62" s="1013"/>
      <c r="AF62" s="1013"/>
      <c r="AG62" s="1013"/>
      <c r="AH62" s="1013"/>
      <c r="AI62" s="1013"/>
      <c r="AJ62" s="1013"/>
      <c r="AK62" s="1013"/>
      <c r="AL62" s="1013"/>
      <c r="AM62" s="951"/>
    </row>
    <row r="63" spans="1:39">
      <c r="A63" s="982">
        <v>1</v>
      </c>
      <c r="B63" s="997" t="s">
        <v>1565</v>
      </c>
      <c r="C63" s="997"/>
      <c r="D63" s="997"/>
      <c r="E63" s="997"/>
      <c r="F63" s="997"/>
      <c r="G63" s="997"/>
      <c r="H63" s="997"/>
      <c r="I63" s="997"/>
      <c r="J63" s="997"/>
      <c r="K63" s="997"/>
      <c r="L63" s="1012">
        <v>8.4</v>
      </c>
      <c r="M63" s="211" t="s">
        <v>362</v>
      </c>
      <c r="N63" s="957" t="s">
        <v>351</v>
      </c>
      <c r="O63" s="1013"/>
      <c r="P63" s="1013"/>
      <c r="Q63" s="1013"/>
      <c r="R63" s="1013"/>
      <c r="S63" s="1013"/>
      <c r="T63" s="1013"/>
      <c r="U63" s="1013"/>
      <c r="V63" s="1013"/>
      <c r="W63" s="1013"/>
      <c r="X63" s="1013"/>
      <c r="Y63" s="1013"/>
      <c r="Z63" s="1013"/>
      <c r="AA63" s="1013"/>
      <c r="AB63" s="1013"/>
      <c r="AC63" s="1013"/>
      <c r="AD63" s="1013"/>
      <c r="AE63" s="1013"/>
      <c r="AF63" s="1013"/>
      <c r="AG63" s="1013"/>
      <c r="AH63" s="1013"/>
      <c r="AI63" s="1013"/>
      <c r="AJ63" s="1013"/>
      <c r="AK63" s="1013"/>
      <c r="AL63" s="1013"/>
      <c r="AM63" s="951"/>
    </row>
    <row r="64" spans="1:39">
      <c r="A64" s="982">
        <v>1</v>
      </c>
      <c r="B64" s="997" t="s">
        <v>1566</v>
      </c>
      <c r="C64" s="997"/>
      <c r="D64" s="997"/>
      <c r="E64" s="997"/>
      <c r="F64" s="997"/>
      <c r="G64" s="997"/>
      <c r="H64" s="997"/>
      <c r="I64" s="997"/>
      <c r="J64" s="997"/>
      <c r="K64" s="997"/>
      <c r="L64" s="1012">
        <v>8.5</v>
      </c>
      <c r="M64" s="211" t="s">
        <v>364</v>
      </c>
      <c r="N64" s="957" t="s">
        <v>351</v>
      </c>
      <c r="O64" s="1013"/>
      <c r="P64" s="1013"/>
      <c r="Q64" s="1013"/>
      <c r="R64" s="1013"/>
      <c r="S64" s="1013"/>
      <c r="T64" s="1013"/>
      <c r="U64" s="1013"/>
      <c r="V64" s="1013"/>
      <c r="W64" s="1013"/>
      <c r="X64" s="1013"/>
      <c r="Y64" s="1013"/>
      <c r="Z64" s="1013"/>
      <c r="AA64" s="1013"/>
      <c r="AB64" s="1013"/>
      <c r="AC64" s="1013"/>
      <c r="AD64" s="1013"/>
      <c r="AE64" s="1013"/>
      <c r="AF64" s="1013"/>
      <c r="AG64" s="1013"/>
      <c r="AH64" s="1013"/>
      <c r="AI64" s="1013"/>
      <c r="AJ64" s="1013"/>
      <c r="AK64" s="1013"/>
      <c r="AL64" s="1013"/>
      <c r="AM64" s="951"/>
    </row>
    <row r="65" spans="1:39">
      <c r="A65" s="997"/>
      <c r="B65" s="997"/>
      <c r="C65" s="997"/>
      <c r="D65" s="997"/>
      <c r="E65" s="997"/>
      <c r="F65" s="997"/>
      <c r="G65" s="997"/>
      <c r="H65" s="997"/>
      <c r="I65" s="997"/>
      <c r="J65" s="997"/>
      <c r="K65" s="997"/>
      <c r="L65" s="1014"/>
      <c r="M65" s="1015"/>
      <c r="N65" s="1014"/>
      <c r="O65" s="1016"/>
      <c r="P65" s="1016"/>
      <c r="Q65" s="1016"/>
      <c r="R65" s="1016"/>
      <c r="S65" s="1016"/>
      <c r="T65" s="1016"/>
      <c r="U65" s="1016"/>
      <c r="V65" s="1016"/>
      <c r="W65" s="1016"/>
      <c r="X65" s="1016"/>
      <c r="Y65" s="1016"/>
      <c r="Z65" s="1016"/>
      <c r="AA65" s="1016"/>
      <c r="AB65" s="1016"/>
      <c r="AC65" s="998"/>
      <c r="AD65" s="998"/>
      <c r="AE65" s="998"/>
      <c r="AF65" s="998"/>
      <c r="AG65" s="998"/>
      <c r="AH65" s="998"/>
      <c r="AI65" s="998"/>
      <c r="AJ65" s="998"/>
      <c r="AK65" s="998"/>
      <c r="AL65" s="998"/>
      <c r="AM65" s="997"/>
    </row>
    <row r="66" spans="1:39" s="86" customFormat="1" ht="15" customHeight="1">
      <c r="A66" s="934"/>
      <c r="B66" s="934"/>
      <c r="C66" s="934"/>
      <c r="D66" s="934"/>
      <c r="E66" s="934"/>
      <c r="F66" s="934"/>
      <c r="G66" s="934"/>
      <c r="H66" s="934"/>
      <c r="I66" s="934"/>
      <c r="J66" s="934"/>
      <c r="K66" s="934"/>
      <c r="L66" s="966" t="s">
        <v>1425</v>
      </c>
      <c r="M66" s="966"/>
      <c r="N66" s="966"/>
      <c r="O66" s="966"/>
      <c r="P66" s="966"/>
      <c r="Q66" s="966"/>
      <c r="R66" s="966"/>
      <c r="S66" s="979"/>
      <c r="T66" s="979"/>
      <c r="U66" s="979"/>
      <c r="V66" s="979"/>
      <c r="W66" s="979"/>
      <c r="X66" s="979"/>
      <c r="Y66" s="979"/>
      <c r="Z66" s="979"/>
      <c r="AA66" s="979"/>
      <c r="AB66" s="979"/>
      <c r="AC66" s="979"/>
      <c r="AD66" s="979"/>
      <c r="AE66" s="979"/>
      <c r="AF66" s="979"/>
      <c r="AG66" s="979"/>
      <c r="AH66" s="979"/>
      <c r="AI66" s="979"/>
      <c r="AJ66" s="979"/>
      <c r="AK66" s="979"/>
      <c r="AL66" s="979"/>
      <c r="AM66" s="979"/>
    </row>
    <row r="67" spans="1:39" s="86" customFormat="1" ht="15" customHeight="1">
      <c r="A67" s="934"/>
      <c r="B67" s="934"/>
      <c r="C67" s="934"/>
      <c r="D67" s="934"/>
      <c r="E67" s="934"/>
      <c r="F67" s="934"/>
      <c r="G67" s="934"/>
      <c r="H67" s="934"/>
      <c r="I67" s="934"/>
      <c r="J67" s="934"/>
      <c r="K67" s="807"/>
      <c r="L67" s="980"/>
      <c r="M67" s="980"/>
      <c r="N67" s="980"/>
      <c r="O67" s="980"/>
      <c r="P67" s="980"/>
      <c r="Q67" s="980"/>
      <c r="R67" s="980"/>
      <c r="S67" s="981"/>
      <c r="T67" s="981"/>
      <c r="U67" s="981"/>
      <c r="V67" s="981"/>
      <c r="W67" s="981"/>
      <c r="X67" s="981"/>
      <c r="Y67" s="981"/>
      <c r="Z67" s="981"/>
      <c r="AA67" s="981"/>
      <c r="AB67" s="981"/>
      <c r="AC67" s="981"/>
      <c r="AD67" s="981"/>
      <c r="AE67" s="981"/>
      <c r="AF67" s="981"/>
      <c r="AG67" s="981"/>
      <c r="AH67" s="981"/>
      <c r="AI67" s="981"/>
      <c r="AJ67" s="981"/>
      <c r="AK67" s="981"/>
      <c r="AL67" s="981"/>
      <c r="AM67" s="981"/>
    </row>
    <row r="68" spans="1:39">
      <c r="A68" s="997"/>
      <c r="B68" s="997"/>
      <c r="C68" s="997"/>
      <c r="D68" s="997"/>
      <c r="E68" s="997"/>
      <c r="F68" s="997"/>
      <c r="G68" s="997"/>
      <c r="H68" s="997"/>
      <c r="I68" s="997"/>
      <c r="J68" s="997"/>
      <c r="K68" s="997"/>
      <c r="L68" s="997"/>
      <c r="M68" s="1017"/>
      <c r="N68" s="998"/>
      <c r="O68" s="998"/>
      <c r="P68" s="998"/>
      <c r="Q68" s="998"/>
      <c r="R68" s="998"/>
      <c r="S68" s="998"/>
      <c r="T68" s="998"/>
      <c r="U68" s="998"/>
      <c r="V68" s="998"/>
      <c r="W68" s="998"/>
      <c r="X68" s="998"/>
      <c r="Y68" s="998"/>
      <c r="Z68" s="998"/>
      <c r="AA68" s="998"/>
      <c r="AB68" s="998"/>
      <c r="AC68" s="998"/>
      <c r="AD68" s="998"/>
      <c r="AE68" s="998"/>
      <c r="AF68" s="998"/>
      <c r="AG68" s="998"/>
      <c r="AH68" s="998"/>
      <c r="AI68" s="998"/>
      <c r="AJ68" s="998"/>
      <c r="AK68" s="998"/>
      <c r="AL68" s="998"/>
      <c r="AM68" s="997"/>
    </row>
    <row r="69" spans="1:39">
      <c r="A69" s="997"/>
      <c r="B69" s="997"/>
      <c r="C69" s="997"/>
      <c r="D69" s="997"/>
      <c r="E69" s="997"/>
      <c r="F69" s="997"/>
      <c r="G69" s="997"/>
      <c r="H69" s="997"/>
      <c r="I69" s="997"/>
      <c r="J69" s="997"/>
      <c r="K69" s="997"/>
      <c r="L69" s="997"/>
      <c r="M69" s="1017"/>
      <c r="N69" s="998"/>
      <c r="O69" s="998"/>
      <c r="P69" s="998"/>
      <c r="Q69" s="998"/>
      <c r="R69" s="998"/>
      <c r="S69" s="998"/>
      <c r="T69" s="998"/>
      <c r="U69" s="998"/>
      <c r="V69" s="998"/>
      <c r="W69" s="998"/>
      <c r="X69" s="998"/>
      <c r="Y69" s="998"/>
      <c r="Z69" s="998"/>
      <c r="AA69" s="998"/>
      <c r="AB69" s="998"/>
      <c r="AC69" s="998"/>
      <c r="AD69" s="998"/>
      <c r="AE69" s="998"/>
      <c r="AF69" s="998"/>
      <c r="AG69" s="998"/>
      <c r="AH69" s="998"/>
      <c r="AI69" s="998"/>
      <c r="AJ69" s="998"/>
      <c r="AK69" s="998"/>
      <c r="AL69" s="998"/>
      <c r="AM69" s="997"/>
    </row>
    <row r="70" spans="1:39">
      <c r="A70" s="997"/>
      <c r="B70" s="997"/>
      <c r="C70" s="997"/>
      <c r="D70" s="997"/>
      <c r="E70" s="997"/>
      <c r="F70" s="997"/>
      <c r="G70" s="997"/>
      <c r="H70" s="997"/>
      <c r="I70" s="997"/>
      <c r="J70" s="997"/>
      <c r="K70" s="997"/>
      <c r="L70" s="997"/>
      <c r="M70" s="1017"/>
      <c r="N70" s="998"/>
      <c r="O70" s="998"/>
      <c r="P70" s="998"/>
      <c r="Q70" s="998"/>
      <c r="R70" s="998"/>
      <c r="S70" s="998"/>
      <c r="T70" s="998"/>
      <c r="U70" s="998"/>
      <c r="V70" s="998"/>
      <c r="W70" s="998"/>
      <c r="X70" s="998"/>
      <c r="Y70" s="998"/>
      <c r="Z70" s="998"/>
      <c r="AA70" s="998"/>
      <c r="AB70" s="998"/>
      <c r="AC70" s="998"/>
      <c r="AD70" s="998"/>
      <c r="AE70" s="998"/>
      <c r="AF70" s="998"/>
      <c r="AG70" s="998"/>
      <c r="AH70" s="998"/>
      <c r="AI70" s="998"/>
      <c r="AJ70" s="998"/>
      <c r="AK70" s="998"/>
      <c r="AL70" s="998"/>
      <c r="AM70" s="997"/>
    </row>
    <row r="71" spans="1:39">
      <c r="A71" s="997"/>
      <c r="B71" s="997"/>
      <c r="C71" s="997"/>
      <c r="D71" s="997"/>
      <c r="E71" s="997"/>
      <c r="F71" s="997"/>
      <c r="G71" s="997"/>
      <c r="H71" s="997"/>
      <c r="I71" s="997"/>
      <c r="J71" s="997"/>
      <c r="K71" s="997"/>
      <c r="L71" s="997"/>
      <c r="M71" s="101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7"/>
    </row>
    <row r="72" spans="1:39">
      <c r="A72" s="997"/>
      <c r="B72" s="997"/>
      <c r="C72" s="997"/>
      <c r="D72" s="997"/>
      <c r="E72" s="997"/>
      <c r="F72" s="997"/>
      <c r="G72" s="997"/>
      <c r="H72" s="997"/>
      <c r="I72" s="997"/>
      <c r="J72" s="997"/>
      <c r="K72" s="997"/>
      <c r="L72" s="997"/>
      <c r="M72" s="1017"/>
      <c r="N72" s="998"/>
      <c r="O72" s="998"/>
      <c r="P72" s="998"/>
      <c r="Q72" s="998"/>
      <c r="R72" s="998"/>
      <c r="S72" s="998"/>
      <c r="T72" s="998"/>
      <c r="U72" s="998"/>
      <c r="V72" s="998"/>
      <c r="W72" s="998"/>
      <c r="X72" s="998"/>
      <c r="Y72" s="998"/>
      <c r="Z72" s="998"/>
      <c r="AA72" s="998"/>
      <c r="AB72" s="998"/>
      <c r="AC72" s="998"/>
      <c r="AD72" s="998"/>
      <c r="AE72" s="998"/>
      <c r="AF72" s="998"/>
      <c r="AG72" s="998"/>
      <c r="AH72" s="998"/>
      <c r="AI72" s="998"/>
      <c r="AJ72" s="998"/>
      <c r="AK72" s="998"/>
      <c r="AL72" s="998"/>
      <c r="AM72" s="997"/>
    </row>
    <row r="73" spans="1:39">
      <c r="A73" s="997"/>
      <c r="B73" s="997"/>
      <c r="C73" s="997"/>
      <c r="D73" s="997"/>
      <c r="E73" s="997"/>
      <c r="F73" s="997"/>
      <c r="G73" s="997"/>
      <c r="H73" s="997"/>
      <c r="I73" s="997"/>
      <c r="J73" s="997"/>
      <c r="K73" s="997"/>
      <c r="L73" s="997"/>
      <c r="M73" s="997"/>
      <c r="N73" s="998"/>
      <c r="O73" s="998"/>
      <c r="P73" s="998"/>
      <c r="Q73" s="998"/>
      <c r="R73" s="998"/>
      <c r="S73" s="998"/>
      <c r="T73" s="998"/>
      <c r="U73" s="998"/>
      <c r="V73" s="998"/>
      <c r="W73" s="998"/>
      <c r="X73" s="998"/>
      <c r="Y73" s="998"/>
      <c r="Z73" s="998"/>
      <c r="AA73" s="998"/>
      <c r="AB73" s="998"/>
      <c r="AC73" s="998"/>
      <c r="AD73" s="998"/>
      <c r="AE73" s="998"/>
      <c r="AF73" s="998"/>
      <c r="AG73" s="998"/>
      <c r="AH73" s="998"/>
      <c r="AI73" s="998"/>
      <c r="AJ73" s="998"/>
      <c r="AK73" s="998"/>
      <c r="AL73" s="998"/>
      <c r="AM73" s="997"/>
    </row>
    <row r="74" spans="1:39">
      <c r="A74" s="997"/>
      <c r="B74" s="997"/>
      <c r="C74" s="997"/>
      <c r="D74" s="997"/>
      <c r="E74" s="997"/>
      <c r="F74" s="997"/>
      <c r="G74" s="997"/>
      <c r="H74" s="997"/>
      <c r="I74" s="997"/>
      <c r="J74" s="997"/>
      <c r="K74" s="997"/>
      <c r="L74" s="997"/>
      <c r="M74" s="1017"/>
      <c r="N74" s="998"/>
      <c r="O74" s="998"/>
      <c r="P74" s="998"/>
      <c r="Q74" s="998"/>
      <c r="R74" s="998"/>
      <c r="S74" s="998"/>
      <c r="T74" s="998"/>
      <c r="U74" s="998"/>
      <c r="V74" s="998"/>
      <c r="W74" s="998"/>
      <c r="X74" s="998"/>
      <c r="Y74" s="998"/>
      <c r="Z74" s="998"/>
      <c r="AA74" s="998"/>
      <c r="AB74" s="998"/>
      <c r="AC74" s="998"/>
      <c r="AD74" s="998"/>
      <c r="AE74" s="998"/>
      <c r="AF74" s="998"/>
      <c r="AG74" s="998"/>
      <c r="AH74" s="998"/>
      <c r="AI74" s="998"/>
      <c r="AJ74" s="998"/>
      <c r="AK74" s="998"/>
      <c r="AL74" s="998"/>
      <c r="AM74" s="997"/>
    </row>
    <row r="75" spans="1:39">
      <c r="A75" s="997"/>
      <c r="B75" s="997"/>
      <c r="C75" s="997"/>
      <c r="D75" s="997"/>
      <c r="E75" s="997"/>
      <c r="F75" s="997"/>
      <c r="G75" s="997"/>
      <c r="H75" s="997"/>
      <c r="I75" s="997"/>
      <c r="J75" s="997"/>
      <c r="K75" s="997"/>
      <c r="L75" s="997"/>
      <c r="M75" s="1017"/>
      <c r="N75" s="998"/>
      <c r="O75" s="998"/>
      <c r="P75" s="998"/>
      <c r="Q75" s="998"/>
      <c r="R75" s="998"/>
      <c r="S75" s="998"/>
      <c r="T75" s="998"/>
      <c r="U75" s="998"/>
      <c r="V75" s="998"/>
      <c r="W75" s="998"/>
      <c r="X75" s="998"/>
      <c r="Y75" s="998"/>
      <c r="Z75" s="998"/>
      <c r="AA75" s="998"/>
      <c r="AB75" s="998"/>
      <c r="AC75" s="998"/>
      <c r="AD75" s="998"/>
      <c r="AE75" s="998"/>
      <c r="AF75" s="998"/>
      <c r="AG75" s="998"/>
      <c r="AH75" s="998"/>
      <c r="AI75" s="998"/>
      <c r="AJ75" s="998"/>
      <c r="AK75" s="998"/>
      <c r="AL75" s="998"/>
      <c r="AM75" s="997"/>
    </row>
    <row r="76" spans="1:39">
      <c r="A76" s="997"/>
      <c r="B76" s="997"/>
      <c r="C76" s="997"/>
      <c r="D76" s="997"/>
      <c r="E76" s="997"/>
      <c r="F76" s="997"/>
      <c r="G76" s="997"/>
      <c r="H76" s="997"/>
      <c r="I76" s="997"/>
      <c r="J76" s="997"/>
      <c r="K76" s="997"/>
      <c r="L76" s="997"/>
      <c r="M76" s="997"/>
      <c r="N76" s="998"/>
      <c r="O76" s="998"/>
      <c r="P76" s="998"/>
      <c r="Q76" s="998"/>
      <c r="R76" s="998"/>
      <c r="S76" s="998"/>
      <c r="T76" s="998"/>
      <c r="U76" s="998"/>
      <c r="V76" s="998"/>
      <c r="W76" s="998"/>
      <c r="X76" s="998"/>
      <c r="Y76" s="998"/>
      <c r="Z76" s="998"/>
      <c r="AA76" s="998"/>
      <c r="AB76" s="998"/>
      <c r="AC76" s="998"/>
      <c r="AD76" s="998"/>
      <c r="AE76" s="998"/>
      <c r="AF76" s="998"/>
      <c r="AG76" s="998"/>
      <c r="AH76" s="998"/>
      <c r="AI76" s="998"/>
      <c r="AJ76" s="998"/>
      <c r="AK76" s="998"/>
      <c r="AL76" s="998"/>
      <c r="AM76" s="997"/>
    </row>
    <row r="77" spans="1:39">
      <c r="A77" s="997"/>
      <c r="B77" s="997"/>
      <c r="C77" s="997"/>
      <c r="D77" s="997"/>
      <c r="E77" s="997"/>
      <c r="F77" s="997"/>
      <c r="G77" s="997"/>
      <c r="H77" s="997"/>
      <c r="I77" s="997"/>
      <c r="J77" s="997"/>
      <c r="K77" s="997"/>
      <c r="L77" s="997"/>
      <c r="M77" s="997"/>
      <c r="N77" s="998"/>
      <c r="O77" s="998"/>
      <c r="P77" s="998"/>
      <c r="Q77" s="998"/>
      <c r="R77" s="998"/>
      <c r="S77" s="998"/>
      <c r="T77" s="998"/>
      <c r="U77" s="998"/>
      <c r="V77" s="998"/>
      <c r="W77" s="998"/>
      <c r="X77" s="998"/>
      <c r="Y77" s="998"/>
      <c r="Z77" s="998"/>
      <c r="AA77" s="998"/>
      <c r="AB77" s="998"/>
      <c r="AC77" s="998"/>
      <c r="AD77" s="998"/>
      <c r="AE77" s="998"/>
      <c r="AF77" s="998"/>
      <c r="AG77" s="998"/>
      <c r="AH77" s="998"/>
      <c r="AI77" s="998"/>
      <c r="AJ77" s="998"/>
      <c r="AK77" s="998"/>
      <c r="AL77" s="998"/>
      <c r="AM77" s="997"/>
    </row>
    <row r="78" spans="1:39">
      <c r="A78" s="997"/>
      <c r="B78" s="997"/>
      <c r="C78" s="997"/>
      <c r="D78" s="997"/>
      <c r="E78" s="997"/>
      <c r="F78" s="997"/>
      <c r="G78" s="997"/>
      <c r="H78" s="997"/>
      <c r="I78" s="997"/>
      <c r="J78" s="997"/>
      <c r="K78" s="997"/>
      <c r="L78" s="997"/>
      <c r="M78" s="997"/>
      <c r="N78" s="998"/>
      <c r="O78" s="998"/>
      <c r="P78" s="998"/>
      <c r="Q78" s="998"/>
      <c r="R78" s="998"/>
      <c r="S78" s="998"/>
      <c r="T78" s="998"/>
      <c r="U78" s="998"/>
      <c r="V78" s="998"/>
      <c r="W78" s="998"/>
      <c r="X78" s="998"/>
      <c r="Y78" s="998"/>
      <c r="Z78" s="998"/>
      <c r="AA78" s="998"/>
      <c r="AB78" s="998"/>
      <c r="AC78" s="998"/>
      <c r="AD78" s="998"/>
      <c r="AE78" s="998"/>
      <c r="AF78" s="998"/>
      <c r="AG78" s="998"/>
      <c r="AH78" s="998"/>
      <c r="AI78" s="998"/>
      <c r="AJ78" s="998"/>
      <c r="AK78" s="998"/>
      <c r="AL78" s="998"/>
      <c r="AM78" s="997"/>
    </row>
    <row r="79" spans="1:39">
      <c r="A79" s="997"/>
      <c r="B79" s="997"/>
      <c r="C79" s="997"/>
      <c r="D79" s="997"/>
      <c r="E79" s="997"/>
      <c r="F79" s="997"/>
      <c r="G79" s="997"/>
      <c r="H79" s="997"/>
      <c r="I79" s="997"/>
      <c r="J79" s="997"/>
      <c r="K79" s="997"/>
      <c r="L79" s="997"/>
      <c r="M79" s="997"/>
      <c r="N79" s="998"/>
      <c r="O79" s="998"/>
      <c r="P79" s="998"/>
      <c r="Q79" s="998"/>
      <c r="R79" s="998"/>
      <c r="S79" s="998"/>
      <c r="T79" s="998"/>
      <c r="U79" s="998"/>
      <c r="V79" s="998"/>
      <c r="W79" s="998"/>
      <c r="X79" s="998"/>
      <c r="Y79" s="998"/>
      <c r="Z79" s="998"/>
      <c r="AA79" s="998"/>
      <c r="AB79" s="998"/>
      <c r="AC79" s="998"/>
      <c r="AD79" s="998"/>
      <c r="AE79" s="998"/>
      <c r="AF79" s="998"/>
      <c r="AG79" s="998"/>
      <c r="AH79" s="998"/>
      <c r="AI79" s="998"/>
      <c r="AJ79" s="998"/>
      <c r="AK79" s="998"/>
      <c r="AL79" s="998"/>
      <c r="AM79" s="997"/>
    </row>
    <row r="80" spans="1:39">
      <c r="A80" s="997"/>
      <c r="B80" s="997"/>
      <c r="C80" s="997"/>
      <c r="D80" s="997"/>
      <c r="E80" s="997"/>
      <c r="F80" s="997"/>
      <c r="G80" s="997"/>
      <c r="H80" s="997"/>
      <c r="I80" s="997"/>
      <c r="J80" s="997"/>
      <c r="K80" s="997"/>
      <c r="L80" s="997"/>
      <c r="M80" s="1017"/>
      <c r="N80" s="998"/>
      <c r="O80" s="998"/>
      <c r="P80" s="998"/>
      <c r="Q80" s="998"/>
      <c r="R80" s="998"/>
      <c r="S80" s="998"/>
      <c r="T80" s="998"/>
      <c r="U80" s="998"/>
      <c r="V80" s="998"/>
      <c r="W80" s="998"/>
      <c r="X80" s="998"/>
      <c r="Y80" s="998"/>
      <c r="Z80" s="998"/>
      <c r="AA80" s="998"/>
      <c r="AB80" s="998"/>
      <c r="AC80" s="998"/>
      <c r="AD80" s="998"/>
      <c r="AE80" s="998"/>
      <c r="AF80" s="998"/>
      <c r="AG80" s="998"/>
      <c r="AH80" s="998"/>
      <c r="AI80" s="998"/>
      <c r="AJ80" s="998"/>
      <c r="AK80" s="998"/>
      <c r="AL80" s="998"/>
      <c r="AM80" s="997"/>
    </row>
    <row r="81" spans="1:39">
      <c r="A81" s="997"/>
      <c r="B81" s="997"/>
      <c r="C81" s="997"/>
      <c r="D81" s="997"/>
      <c r="E81" s="997"/>
      <c r="F81" s="997"/>
      <c r="G81" s="997"/>
      <c r="H81" s="997"/>
      <c r="I81" s="997"/>
      <c r="J81" s="997"/>
      <c r="K81" s="997"/>
      <c r="L81" s="997"/>
      <c r="M81" s="1017"/>
      <c r="N81" s="998"/>
      <c r="O81" s="998"/>
      <c r="P81" s="998"/>
      <c r="Q81" s="998"/>
      <c r="R81" s="998"/>
      <c r="S81" s="998"/>
      <c r="T81" s="998"/>
      <c r="U81" s="998"/>
      <c r="V81" s="998"/>
      <c r="W81" s="998"/>
      <c r="X81" s="998"/>
      <c r="Y81" s="998"/>
      <c r="Z81" s="998"/>
      <c r="AA81" s="998"/>
      <c r="AB81" s="998"/>
      <c r="AC81" s="998"/>
      <c r="AD81" s="998"/>
      <c r="AE81" s="998"/>
      <c r="AF81" s="998"/>
      <c r="AG81" s="998"/>
      <c r="AH81" s="998"/>
      <c r="AI81" s="998"/>
      <c r="AJ81" s="998"/>
      <c r="AK81" s="998"/>
      <c r="AL81" s="998"/>
      <c r="AM81" s="997"/>
    </row>
    <row r="82" spans="1:39">
      <c r="A82" s="997"/>
      <c r="B82" s="997"/>
      <c r="C82" s="997"/>
      <c r="D82" s="997"/>
      <c r="E82" s="997"/>
      <c r="F82" s="997"/>
      <c r="G82" s="997"/>
      <c r="H82" s="997"/>
      <c r="I82" s="997"/>
      <c r="J82" s="997"/>
      <c r="K82" s="997"/>
      <c r="L82" s="997"/>
      <c r="M82" s="1018"/>
      <c r="N82" s="998"/>
      <c r="O82" s="998"/>
      <c r="P82" s="998"/>
      <c r="Q82" s="998"/>
      <c r="R82" s="998"/>
      <c r="S82" s="998"/>
      <c r="T82" s="998"/>
      <c r="U82" s="998"/>
      <c r="V82" s="998"/>
      <c r="W82" s="998"/>
      <c r="X82" s="998"/>
      <c r="Y82" s="998"/>
      <c r="Z82" s="998"/>
      <c r="AA82" s="998"/>
      <c r="AB82" s="998"/>
      <c r="AC82" s="998"/>
      <c r="AD82" s="998"/>
      <c r="AE82" s="998"/>
      <c r="AF82" s="998"/>
      <c r="AG82" s="998"/>
      <c r="AH82" s="998"/>
      <c r="AI82" s="998"/>
      <c r="AJ82" s="998"/>
      <c r="AK82" s="998"/>
      <c r="AL82" s="998"/>
      <c r="AM82" s="997"/>
    </row>
    <row r="83" spans="1:39">
      <c r="A83" s="997"/>
      <c r="B83" s="997"/>
      <c r="C83" s="997"/>
      <c r="D83" s="997"/>
      <c r="E83" s="997"/>
      <c r="F83" s="997"/>
      <c r="G83" s="997"/>
      <c r="H83" s="997"/>
      <c r="I83" s="997"/>
      <c r="J83" s="997"/>
      <c r="K83" s="997"/>
      <c r="L83" s="997"/>
      <c r="M83" s="1017"/>
      <c r="N83" s="998"/>
      <c r="O83" s="998"/>
      <c r="P83" s="998"/>
      <c r="Q83" s="998"/>
      <c r="R83" s="998"/>
      <c r="S83" s="998"/>
      <c r="T83" s="998"/>
      <c r="U83" s="998"/>
      <c r="V83" s="998"/>
      <c r="W83" s="998"/>
      <c r="X83" s="998"/>
      <c r="Y83" s="998"/>
      <c r="Z83" s="998"/>
      <c r="AA83" s="998"/>
      <c r="AB83" s="998"/>
      <c r="AC83" s="998"/>
      <c r="AD83" s="998"/>
      <c r="AE83" s="998"/>
      <c r="AF83" s="998"/>
      <c r="AG83" s="998"/>
      <c r="AH83" s="998"/>
      <c r="AI83" s="998"/>
      <c r="AJ83" s="998"/>
      <c r="AK83" s="998"/>
      <c r="AL83" s="998"/>
      <c r="AM83" s="997"/>
    </row>
    <row r="84" spans="1:39">
      <c r="A84" s="997"/>
      <c r="B84" s="997"/>
      <c r="C84" s="997"/>
      <c r="D84" s="997"/>
      <c r="E84" s="997"/>
      <c r="F84" s="997"/>
      <c r="G84" s="997"/>
      <c r="H84" s="997"/>
      <c r="I84" s="997"/>
      <c r="J84" s="997"/>
      <c r="K84" s="997"/>
      <c r="L84" s="997"/>
      <c r="M84" s="1017"/>
      <c r="N84" s="998"/>
      <c r="O84" s="998"/>
      <c r="P84" s="998"/>
      <c r="Q84" s="998"/>
      <c r="R84" s="998"/>
      <c r="S84" s="998"/>
      <c r="T84" s="998"/>
      <c r="U84" s="998"/>
      <c r="V84" s="998"/>
      <c r="W84" s="998"/>
      <c r="X84" s="998"/>
      <c r="Y84" s="998"/>
      <c r="Z84" s="998"/>
      <c r="AA84" s="998"/>
      <c r="AB84" s="998"/>
      <c r="AC84" s="998"/>
      <c r="AD84" s="998"/>
      <c r="AE84" s="998"/>
      <c r="AF84" s="998"/>
      <c r="AG84" s="998"/>
      <c r="AH84" s="998"/>
      <c r="AI84" s="998"/>
      <c r="AJ84" s="998"/>
      <c r="AK84" s="998"/>
      <c r="AL84" s="998"/>
      <c r="AM84" s="997"/>
    </row>
    <row r="85" spans="1:39">
      <c r="A85" s="997"/>
      <c r="B85" s="997"/>
      <c r="C85" s="997"/>
      <c r="D85" s="997"/>
      <c r="E85" s="997"/>
      <c r="F85" s="997"/>
      <c r="G85" s="997"/>
      <c r="H85" s="997"/>
      <c r="I85" s="997"/>
      <c r="J85" s="997"/>
      <c r="K85" s="997"/>
      <c r="L85" s="997"/>
      <c r="M85" s="1017"/>
      <c r="N85" s="998"/>
      <c r="O85" s="998"/>
      <c r="P85" s="998"/>
      <c r="Q85" s="998"/>
      <c r="R85" s="998"/>
      <c r="S85" s="998"/>
      <c r="T85" s="998"/>
      <c r="U85" s="998"/>
      <c r="V85" s="998"/>
      <c r="W85" s="998"/>
      <c r="X85" s="998"/>
      <c r="Y85" s="998"/>
      <c r="Z85" s="998"/>
      <c r="AA85" s="998"/>
      <c r="AB85" s="998"/>
      <c r="AC85" s="998"/>
      <c r="AD85" s="998"/>
      <c r="AE85" s="998"/>
      <c r="AF85" s="998"/>
      <c r="AG85" s="998"/>
      <c r="AH85" s="998"/>
      <c r="AI85" s="998"/>
      <c r="AJ85" s="998"/>
      <c r="AK85" s="998"/>
      <c r="AL85" s="998"/>
      <c r="AM85" s="997"/>
    </row>
    <row r="86" spans="1:39">
      <c r="A86" s="997"/>
      <c r="B86" s="997"/>
      <c r="C86" s="997"/>
      <c r="D86" s="997"/>
      <c r="E86" s="997"/>
      <c r="F86" s="997"/>
      <c r="G86" s="997"/>
      <c r="H86" s="997"/>
      <c r="I86" s="997"/>
      <c r="J86" s="997"/>
      <c r="K86" s="997"/>
      <c r="L86" s="997"/>
      <c r="M86" s="1017"/>
      <c r="N86" s="998"/>
      <c r="O86" s="998"/>
      <c r="P86" s="998"/>
      <c r="Q86" s="998"/>
      <c r="R86" s="998"/>
      <c r="S86" s="998"/>
      <c r="T86" s="998"/>
      <c r="U86" s="998"/>
      <c r="V86" s="998"/>
      <c r="W86" s="998"/>
      <c r="X86" s="998"/>
      <c r="Y86" s="998"/>
      <c r="Z86" s="998"/>
      <c r="AA86" s="998"/>
      <c r="AB86" s="998"/>
      <c r="AC86" s="998"/>
      <c r="AD86" s="998"/>
      <c r="AE86" s="998"/>
      <c r="AF86" s="998"/>
      <c r="AG86" s="998"/>
      <c r="AH86" s="998"/>
      <c r="AI86" s="998"/>
      <c r="AJ86" s="998"/>
      <c r="AK86" s="998"/>
      <c r="AL86" s="998"/>
      <c r="AM86" s="997"/>
    </row>
    <row r="87" spans="1:39">
      <c r="A87" s="997"/>
      <c r="B87" s="997"/>
      <c r="C87" s="997"/>
      <c r="D87" s="997"/>
      <c r="E87" s="997"/>
      <c r="F87" s="997"/>
      <c r="G87" s="997"/>
      <c r="H87" s="997"/>
      <c r="I87" s="997"/>
      <c r="J87" s="997"/>
      <c r="K87" s="997"/>
      <c r="L87" s="997"/>
      <c r="M87" s="1017"/>
      <c r="N87" s="998"/>
      <c r="O87" s="998"/>
      <c r="P87" s="998"/>
      <c r="Q87" s="998"/>
      <c r="R87" s="998"/>
      <c r="S87" s="998"/>
      <c r="T87" s="998"/>
      <c r="U87" s="998"/>
      <c r="V87" s="998"/>
      <c r="W87" s="998"/>
      <c r="X87" s="998"/>
      <c r="Y87" s="998"/>
      <c r="Z87" s="998"/>
      <c r="AA87" s="998"/>
      <c r="AB87" s="998"/>
      <c r="AC87" s="998"/>
      <c r="AD87" s="998"/>
      <c r="AE87" s="998"/>
      <c r="AF87" s="998"/>
      <c r="AG87" s="998"/>
      <c r="AH87" s="998"/>
      <c r="AI87" s="998"/>
      <c r="AJ87" s="998"/>
      <c r="AK87" s="998"/>
      <c r="AL87" s="998"/>
      <c r="AM87" s="997"/>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S41" sqref="S41"/>
    </sheetView>
  </sheetViews>
  <sheetFormatPr defaultColWidth="9.140625" defaultRowHeight="11.25"/>
  <cols>
    <col min="1" max="1" width="2.5703125" style="94" hidden="1" customWidth="1"/>
    <col min="2" max="2" width="4.5703125" style="94" hidden="1" customWidth="1"/>
    <col min="3"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23" width="13.7109375" style="94" customWidth="1"/>
    <col min="24" max="28" width="13.7109375" style="94" hidden="1" customWidth="1"/>
    <col min="29" max="33" width="13.7109375" style="94" customWidth="1"/>
    <col min="34" max="38" width="13.7109375" style="94" hidden="1" customWidth="1"/>
    <col min="39" max="39" width="20.7109375" style="94" customWidth="1"/>
    <col min="40" max="16384" width="9.140625" style="94"/>
  </cols>
  <sheetData>
    <row r="1" spans="1:39" hidden="1">
      <c r="A1" s="1019"/>
      <c r="B1" s="1019"/>
      <c r="C1" s="1019"/>
      <c r="D1" s="1019"/>
      <c r="E1" s="1019"/>
      <c r="F1" s="1019"/>
      <c r="G1" s="1019"/>
      <c r="H1" s="1019"/>
      <c r="I1" s="1019"/>
      <c r="J1" s="1019"/>
      <c r="K1" s="1019"/>
      <c r="L1" s="1019"/>
      <c r="M1" s="1019"/>
      <c r="N1" s="1019"/>
      <c r="O1" s="1020">
        <v>2022</v>
      </c>
      <c r="P1" s="1021">
        <v>2022</v>
      </c>
      <c r="Q1" s="1021">
        <v>2022</v>
      </c>
      <c r="R1" s="1021">
        <v>2023</v>
      </c>
      <c r="S1" s="934">
        <v>2024</v>
      </c>
      <c r="T1" s="934">
        <v>2025</v>
      </c>
      <c r="U1" s="934">
        <v>2026</v>
      </c>
      <c r="V1" s="934">
        <v>2027</v>
      </c>
      <c r="W1" s="934">
        <v>2028</v>
      </c>
      <c r="X1" s="934">
        <v>2029</v>
      </c>
      <c r="Y1" s="934">
        <v>2030</v>
      </c>
      <c r="Z1" s="934">
        <v>2031</v>
      </c>
      <c r="AA1" s="934">
        <v>2032</v>
      </c>
      <c r="AB1" s="934">
        <v>2033</v>
      </c>
      <c r="AC1" s="934">
        <v>2024</v>
      </c>
      <c r="AD1" s="934">
        <v>2025</v>
      </c>
      <c r="AE1" s="934">
        <v>2026</v>
      </c>
      <c r="AF1" s="934">
        <v>2027</v>
      </c>
      <c r="AG1" s="934">
        <v>2028</v>
      </c>
      <c r="AH1" s="934">
        <v>2029</v>
      </c>
      <c r="AI1" s="934">
        <v>2030</v>
      </c>
      <c r="AJ1" s="934">
        <v>2031</v>
      </c>
      <c r="AK1" s="934">
        <v>2032</v>
      </c>
      <c r="AL1" s="934">
        <v>2033</v>
      </c>
      <c r="AM1" s="1019"/>
    </row>
    <row r="2" spans="1:39" hidden="1">
      <c r="A2" s="1019"/>
      <c r="B2" s="1019"/>
      <c r="C2" s="1019"/>
      <c r="D2" s="1019"/>
      <c r="E2" s="1019"/>
      <c r="F2" s="1019"/>
      <c r="G2" s="1019"/>
      <c r="H2" s="1019"/>
      <c r="I2" s="1019"/>
      <c r="J2" s="1019"/>
      <c r="K2" s="1019"/>
      <c r="L2" s="1019"/>
      <c r="M2" s="1019"/>
      <c r="N2" s="1019"/>
      <c r="O2" s="1020" t="s">
        <v>267</v>
      </c>
      <c r="P2" s="1020" t="s">
        <v>305</v>
      </c>
      <c r="Q2" s="1020" t="s">
        <v>285</v>
      </c>
      <c r="R2" s="1020" t="s">
        <v>267</v>
      </c>
      <c r="S2" s="1020" t="s">
        <v>268</v>
      </c>
      <c r="T2" s="1020" t="s">
        <v>268</v>
      </c>
      <c r="U2" s="1020" t="s">
        <v>268</v>
      </c>
      <c r="V2" s="1020" t="s">
        <v>268</v>
      </c>
      <c r="W2" s="1020" t="s">
        <v>268</v>
      </c>
      <c r="X2" s="1020" t="s">
        <v>268</v>
      </c>
      <c r="Y2" s="1020" t="s">
        <v>268</v>
      </c>
      <c r="Z2" s="1020" t="s">
        <v>268</v>
      </c>
      <c r="AA2" s="1020" t="s">
        <v>268</v>
      </c>
      <c r="AB2" s="1020" t="s">
        <v>268</v>
      </c>
      <c r="AC2" s="1020" t="s">
        <v>267</v>
      </c>
      <c r="AD2" s="1020" t="s">
        <v>267</v>
      </c>
      <c r="AE2" s="1020" t="s">
        <v>267</v>
      </c>
      <c r="AF2" s="1020" t="s">
        <v>267</v>
      </c>
      <c r="AG2" s="1020" t="s">
        <v>267</v>
      </c>
      <c r="AH2" s="1020" t="s">
        <v>267</v>
      </c>
      <c r="AI2" s="1020" t="s">
        <v>267</v>
      </c>
      <c r="AJ2" s="1020" t="s">
        <v>267</v>
      </c>
      <c r="AK2" s="1020" t="s">
        <v>267</v>
      </c>
      <c r="AL2" s="1020" t="s">
        <v>267</v>
      </c>
      <c r="AM2" s="1019"/>
    </row>
    <row r="3" spans="1:39" hidden="1">
      <c r="A3" s="1019"/>
      <c r="B3" s="1019"/>
      <c r="C3" s="1019"/>
      <c r="D3" s="1019"/>
      <c r="E3" s="1019"/>
      <c r="F3" s="1019"/>
      <c r="G3" s="1019"/>
      <c r="H3" s="1019"/>
      <c r="I3" s="1019"/>
      <c r="J3" s="1019"/>
      <c r="K3" s="1019"/>
      <c r="L3" s="1019"/>
      <c r="M3" s="1019"/>
      <c r="N3" s="1019"/>
      <c r="O3" s="1021"/>
      <c r="P3" s="1019"/>
      <c r="Q3" s="1019"/>
      <c r="R3" s="1019"/>
      <c r="S3" s="934"/>
      <c r="T3" s="934"/>
      <c r="U3" s="934"/>
      <c r="V3" s="934"/>
      <c r="W3" s="934"/>
      <c r="X3" s="934"/>
      <c r="Y3" s="934"/>
      <c r="Z3" s="934"/>
      <c r="AA3" s="934"/>
      <c r="AB3" s="934"/>
      <c r="AC3" s="934"/>
      <c r="AD3" s="934"/>
      <c r="AE3" s="934"/>
      <c r="AF3" s="934"/>
      <c r="AG3" s="934"/>
      <c r="AH3" s="934"/>
      <c r="AI3" s="934"/>
      <c r="AJ3" s="934"/>
      <c r="AK3" s="934"/>
      <c r="AL3" s="934"/>
      <c r="AM3" s="1019"/>
    </row>
    <row r="4" spans="1:39" hidden="1">
      <c r="A4" s="1019"/>
      <c r="B4" s="1019"/>
      <c r="C4" s="1019"/>
      <c r="D4" s="1019"/>
      <c r="E4" s="1019"/>
      <c r="F4" s="1019"/>
      <c r="G4" s="1019"/>
      <c r="H4" s="1019"/>
      <c r="I4" s="1019"/>
      <c r="J4" s="1019"/>
      <c r="K4" s="1019"/>
      <c r="L4" s="1019"/>
      <c r="M4" s="1019"/>
      <c r="N4" s="1019"/>
      <c r="O4" s="1021"/>
      <c r="P4" s="1019"/>
      <c r="Q4" s="1019"/>
      <c r="R4" s="1019"/>
      <c r="S4" s="934"/>
      <c r="T4" s="934"/>
      <c r="U4" s="934"/>
      <c r="V4" s="934"/>
      <c r="W4" s="934"/>
      <c r="X4" s="934"/>
      <c r="Y4" s="934"/>
      <c r="Z4" s="934"/>
      <c r="AA4" s="934"/>
      <c r="AB4" s="934"/>
      <c r="AC4" s="934"/>
      <c r="AD4" s="934"/>
      <c r="AE4" s="934"/>
      <c r="AF4" s="934"/>
      <c r="AG4" s="934"/>
      <c r="AH4" s="934"/>
      <c r="AI4" s="934"/>
      <c r="AJ4" s="934"/>
      <c r="AK4" s="934"/>
      <c r="AL4" s="934"/>
      <c r="AM4" s="1019"/>
    </row>
    <row r="5" spans="1:39" hidden="1">
      <c r="A5" s="1019"/>
      <c r="B5" s="1019"/>
      <c r="C5" s="1019"/>
      <c r="D5" s="1019"/>
      <c r="E5" s="1019"/>
      <c r="F5" s="1019"/>
      <c r="G5" s="1019"/>
      <c r="H5" s="1019"/>
      <c r="I5" s="1019"/>
      <c r="J5" s="1019"/>
      <c r="K5" s="1019"/>
      <c r="L5" s="1019"/>
      <c r="M5" s="1019"/>
      <c r="N5" s="1019"/>
      <c r="O5" s="1021"/>
      <c r="P5" s="1019"/>
      <c r="Q5" s="1019"/>
      <c r="R5" s="1019"/>
      <c r="S5" s="934"/>
      <c r="T5" s="934"/>
      <c r="U5" s="934"/>
      <c r="V5" s="934"/>
      <c r="W5" s="934"/>
      <c r="X5" s="934"/>
      <c r="Y5" s="934"/>
      <c r="Z5" s="934"/>
      <c r="AA5" s="934"/>
      <c r="AB5" s="934"/>
      <c r="AC5" s="934"/>
      <c r="AD5" s="934"/>
      <c r="AE5" s="934"/>
      <c r="AF5" s="934"/>
      <c r="AG5" s="934"/>
      <c r="AH5" s="934"/>
      <c r="AI5" s="934"/>
      <c r="AJ5" s="934"/>
      <c r="AK5" s="934"/>
      <c r="AL5" s="934"/>
      <c r="AM5" s="1019"/>
    </row>
    <row r="6" spans="1:39" hidden="1">
      <c r="A6" s="1019"/>
      <c r="B6" s="1019"/>
      <c r="C6" s="1019"/>
      <c r="D6" s="1019"/>
      <c r="E6" s="1019"/>
      <c r="F6" s="1019"/>
      <c r="G6" s="1019"/>
      <c r="H6" s="1019"/>
      <c r="I6" s="1019"/>
      <c r="J6" s="1019"/>
      <c r="K6" s="1019"/>
      <c r="L6" s="1019"/>
      <c r="M6" s="1019"/>
      <c r="N6" s="1019"/>
      <c r="O6" s="1021"/>
      <c r="P6" s="1019"/>
      <c r="Q6" s="1019"/>
      <c r="R6" s="1019"/>
      <c r="S6" s="934"/>
      <c r="T6" s="934"/>
      <c r="U6" s="934"/>
      <c r="V6" s="934"/>
      <c r="W6" s="934"/>
      <c r="X6" s="934"/>
      <c r="Y6" s="934"/>
      <c r="Z6" s="934"/>
      <c r="AA6" s="934"/>
      <c r="AB6" s="934"/>
      <c r="AC6" s="934"/>
      <c r="AD6" s="934"/>
      <c r="AE6" s="934"/>
      <c r="AF6" s="934"/>
      <c r="AG6" s="934"/>
      <c r="AH6" s="934"/>
      <c r="AI6" s="934"/>
      <c r="AJ6" s="934"/>
      <c r="AK6" s="934"/>
      <c r="AL6" s="934"/>
      <c r="AM6" s="1019"/>
    </row>
    <row r="7" spans="1:39" hidden="1">
      <c r="A7" s="1019"/>
      <c r="B7" s="1019"/>
      <c r="C7" s="1019"/>
      <c r="D7" s="1019"/>
      <c r="E7" s="1019"/>
      <c r="F7" s="1019"/>
      <c r="G7" s="1019"/>
      <c r="H7" s="1019"/>
      <c r="I7" s="1019"/>
      <c r="J7" s="1019"/>
      <c r="K7" s="1019"/>
      <c r="L7" s="1019"/>
      <c r="M7" s="1019"/>
      <c r="N7" s="1019"/>
      <c r="O7" s="1021"/>
      <c r="P7" s="1019"/>
      <c r="Q7" s="1019"/>
      <c r="R7" s="1019"/>
      <c r="S7" s="886" t="b">
        <v>1</v>
      </c>
      <c r="T7" s="886" t="b">
        <v>1</v>
      </c>
      <c r="U7" s="886" t="b">
        <v>1</v>
      </c>
      <c r="V7" s="886" t="b">
        <v>1</v>
      </c>
      <c r="W7" s="886" t="b">
        <v>1</v>
      </c>
      <c r="X7" s="886" t="b">
        <v>0</v>
      </c>
      <c r="Y7" s="886" t="b">
        <v>0</v>
      </c>
      <c r="Z7" s="886" t="b">
        <v>0</v>
      </c>
      <c r="AA7" s="886" t="b">
        <v>0</v>
      </c>
      <c r="AB7" s="886" t="b">
        <v>0</v>
      </c>
      <c r="AC7" s="886" t="b">
        <v>1</v>
      </c>
      <c r="AD7" s="886" t="b">
        <v>1</v>
      </c>
      <c r="AE7" s="886" t="b">
        <v>1</v>
      </c>
      <c r="AF7" s="886" t="b">
        <v>1</v>
      </c>
      <c r="AG7" s="886" t="b">
        <v>1</v>
      </c>
      <c r="AH7" s="886" t="b">
        <v>0</v>
      </c>
      <c r="AI7" s="886" t="b">
        <v>0</v>
      </c>
      <c r="AJ7" s="886" t="b">
        <v>0</v>
      </c>
      <c r="AK7" s="886" t="b">
        <v>0</v>
      </c>
      <c r="AL7" s="886" t="b">
        <v>0</v>
      </c>
      <c r="AM7" s="1019"/>
    </row>
    <row r="8" spans="1:39" hidden="1">
      <c r="A8" s="1019"/>
      <c r="B8" s="1019"/>
      <c r="C8" s="1019"/>
      <c r="D8" s="1019"/>
      <c r="E8" s="1019"/>
      <c r="F8" s="1019"/>
      <c r="G8" s="1019"/>
      <c r="H8" s="1019"/>
      <c r="I8" s="1019"/>
      <c r="J8" s="1019"/>
      <c r="K8" s="1019"/>
      <c r="L8" s="1019"/>
      <c r="M8" s="1019"/>
      <c r="N8" s="1019"/>
      <c r="O8" s="1021"/>
      <c r="P8" s="1019"/>
      <c r="Q8" s="1019"/>
      <c r="R8" s="1019"/>
      <c r="S8" s="1019"/>
      <c r="T8" s="1019"/>
      <c r="U8" s="1019"/>
      <c r="V8" s="1019"/>
      <c r="W8" s="1019"/>
      <c r="X8" s="1019"/>
      <c r="Y8" s="1019"/>
      <c r="Z8" s="1019"/>
      <c r="AA8" s="1019"/>
      <c r="AB8" s="1019"/>
      <c r="AC8" s="1019"/>
      <c r="AD8" s="1019"/>
      <c r="AE8" s="1019"/>
      <c r="AF8" s="1019"/>
      <c r="AG8" s="1019"/>
      <c r="AH8" s="1019"/>
      <c r="AI8" s="1019"/>
      <c r="AJ8" s="1019"/>
      <c r="AK8" s="1019"/>
      <c r="AL8" s="1019"/>
      <c r="AM8" s="1019"/>
    </row>
    <row r="9" spans="1:39" hidden="1">
      <c r="A9" s="1019"/>
      <c r="B9" s="1019"/>
      <c r="C9" s="1019"/>
      <c r="D9" s="1019"/>
      <c r="E9" s="1019"/>
      <c r="F9" s="1019"/>
      <c r="G9" s="1019"/>
      <c r="H9" s="1019"/>
      <c r="I9" s="1019"/>
      <c r="J9" s="1019"/>
      <c r="K9" s="1019"/>
      <c r="L9" s="1019"/>
      <c r="M9" s="1019"/>
      <c r="N9" s="1019"/>
      <c r="O9" s="1021"/>
      <c r="P9" s="1019"/>
      <c r="Q9" s="1019"/>
      <c r="R9" s="1019"/>
      <c r="S9" s="1019"/>
      <c r="T9" s="1019"/>
      <c r="U9" s="1019"/>
      <c r="V9" s="1019"/>
      <c r="W9" s="1019"/>
      <c r="X9" s="1019"/>
      <c r="Y9" s="1019"/>
      <c r="Z9" s="1019"/>
      <c r="AA9" s="1019"/>
      <c r="AB9" s="1019"/>
      <c r="AC9" s="1019"/>
      <c r="AD9" s="1019"/>
      <c r="AE9" s="1019"/>
      <c r="AF9" s="1019"/>
      <c r="AG9" s="1019"/>
      <c r="AH9" s="1019"/>
      <c r="AI9" s="1019"/>
      <c r="AJ9" s="1019"/>
      <c r="AK9" s="1019"/>
      <c r="AL9" s="1019"/>
      <c r="AM9" s="1019"/>
    </row>
    <row r="10" spans="1:39" hidden="1">
      <c r="A10" s="1019"/>
      <c r="B10" s="1019"/>
      <c r="C10" s="1019"/>
      <c r="D10" s="1019"/>
      <c r="E10" s="1019"/>
      <c r="F10" s="1019"/>
      <c r="G10" s="1019"/>
      <c r="H10" s="1019"/>
      <c r="I10" s="1019"/>
      <c r="J10" s="1019"/>
      <c r="K10" s="1019"/>
      <c r="L10" s="1019"/>
      <c r="M10" s="1019"/>
      <c r="N10" s="1019"/>
      <c r="O10" s="1021"/>
      <c r="P10" s="1019"/>
      <c r="Q10" s="1019"/>
      <c r="R10" s="1019"/>
      <c r="S10" s="1019"/>
      <c r="T10" s="1019"/>
      <c r="U10" s="1019"/>
      <c r="V10" s="1019"/>
      <c r="W10" s="1019"/>
      <c r="X10" s="1019"/>
      <c r="Y10" s="1019"/>
      <c r="Z10" s="1019"/>
      <c r="AA10" s="1019"/>
      <c r="AB10" s="1019"/>
      <c r="AC10" s="1019"/>
      <c r="AD10" s="1019"/>
      <c r="AE10" s="1019"/>
      <c r="AF10" s="1019"/>
      <c r="AG10" s="1019"/>
      <c r="AH10" s="1019"/>
      <c r="AI10" s="1019"/>
      <c r="AJ10" s="1019"/>
      <c r="AK10" s="1019"/>
      <c r="AL10" s="1019"/>
      <c r="AM10" s="1019"/>
    </row>
    <row r="11" spans="1:39" ht="15" hidden="1" customHeight="1">
      <c r="A11" s="1019"/>
      <c r="B11" s="1019"/>
      <c r="C11" s="1019"/>
      <c r="D11" s="1019"/>
      <c r="E11" s="1019"/>
      <c r="F11" s="1019"/>
      <c r="G11" s="1019"/>
      <c r="H11" s="1019"/>
      <c r="I11" s="1019"/>
      <c r="J11" s="1019"/>
      <c r="K11" s="1019"/>
      <c r="L11" s="1019"/>
      <c r="M11" s="1022"/>
      <c r="N11" s="1019"/>
      <c r="O11" s="1021"/>
      <c r="P11" s="1019"/>
      <c r="Q11" s="1019"/>
      <c r="R11" s="1019"/>
      <c r="S11" s="1019"/>
      <c r="T11" s="1019"/>
      <c r="U11" s="1019"/>
      <c r="V11" s="1019"/>
      <c r="W11" s="1019"/>
      <c r="X11" s="1019"/>
      <c r="Y11" s="1019"/>
      <c r="Z11" s="1019"/>
      <c r="AA11" s="1019"/>
      <c r="AB11" s="1019"/>
      <c r="AC11" s="1019"/>
      <c r="AD11" s="1019"/>
      <c r="AE11" s="1019"/>
      <c r="AF11" s="1019"/>
      <c r="AG11" s="1019"/>
      <c r="AH11" s="1019"/>
      <c r="AI11" s="1019"/>
      <c r="AJ11" s="1019"/>
      <c r="AK11" s="1019"/>
      <c r="AL11" s="1019"/>
      <c r="AM11" s="1019"/>
    </row>
    <row r="12" spans="1:39" s="80" customFormat="1" ht="20.100000000000001" customHeight="1">
      <c r="A12" s="927"/>
      <c r="B12" s="927"/>
      <c r="C12" s="927"/>
      <c r="D12" s="927"/>
      <c r="E12" s="927"/>
      <c r="F12" s="927"/>
      <c r="G12" s="927"/>
      <c r="H12" s="927"/>
      <c r="I12" s="927"/>
      <c r="J12" s="927"/>
      <c r="K12" s="927"/>
      <c r="L12" s="435" t="s">
        <v>1239</v>
      </c>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row>
    <row r="13" spans="1:39" s="80" customFormat="1" ht="11.25" customHeight="1">
      <c r="A13" s="927"/>
      <c r="B13" s="927"/>
      <c r="C13" s="927"/>
      <c r="D13" s="927"/>
      <c r="E13" s="927"/>
      <c r="F13" s="927"/>
      <c r="G13" s="927"/>
      <c r="H13" s="927"/>
      <c r="I13" s="927"/>
      <c r="J13" s="927"/>
      <c r="K13" s="927"/>
      <c r="L13" s="1023"/>
      <c r="M13" s="927"/>
      <c r="N13" s="927"/>
      <c r="O13" s="1024"/>
      <c r="P13" s="927"/>
      <c r="Q13" s="927"/>
      <c r="R13" s="927"/>
      <c r="S13" s="927"/>
      <c r="T13" s="927"/>
      <c r="U13" s="927"/>
      <c r="V13" s="927"/>
      <c r="W13" s="927"/>
      <c r="X13" s="927"/>
      <c r="Y13" s="927"/>
      <c r="Z13" s="927"/>
      <c r="AA13" s="927"/>
      <c r="AB13" s="927"/>
      <c r="AC13" s="927"/>
      <c r="AD13" s="927"/>
      <c r="AE13" s="927"/>
      <c r="AF13" s="927"/>
      <c r="AG13" s="927"/>
      <c r="AH13" s="927"/>
      <c r="AI13" s="927"/>
      <c r="AJ13" s="927"/>
      <c r="AK13" s="927"/>
      <c r="AL13" s="927"/>
      <c r="AM13" s="927"/>
    </row>
    <row r="14" spans="1:39" s="80" customFormat="1" ht="15" customHeight="1">
      <c r="A14" s="927"/>
      <c r="B14" s="927"/>
      <c r="C14" s="927"/>
      <c r="D14" s="927"/>
      <c r="E14" s="927"/>
      <c r="F14" s="927"/>
      <c r="G14" s="927"/>
      <c r="H14" s="927"/>
      <c r="I14" s="927"/>
      <c r="J14" s="927"/>
      <c r="K14" s="927"/>
      <c r="L14" s="966" t="s">
        <v>16</v>
      </c>
      <c r="M14" s="966" t="s">
        <v>121</v>
      </c>
      <c r="N14" s="966" t="s">
        <v>266</v>
      </c>
      <c r="O14" s="938" t="s">
        <v>3020</v>
      </c>
      <c r="P14" s="938" t="s">
        <v>3020</v>
      </c>
      <c r="Q14" s="938" t="s">
        <v>3020</v>
      </c>
      <c r="R14" s="939" t="s">
        <v>3021</v>
      </c>
      <c r="S14" s="940" t="s">
        <v>3022</v>
      </c>
      <c r="T14" s="940" t="s">
        <v>3060</v>
      </c>
      <c r="U14" s="940" t="s">
        <v>3061</v>
      </c>
      <c r="V14" s="940" t="s">
        <v>3062</v>
      </c>
      <c r="W14" s="940" t="s">
        <v>3063</v>
      </c>
      <c r="X14" s="940" t="s">
        <v>3064</v>
      </c>
      <c r="Y14" s="940" t="s">
        <v>3065</v>
      </c>
      <c r="Z14" s="940" t="s">
        <v>3066</v>
      </c>
      <c r="AA14" s="940" t="s">
        <v>3067</v>
      </c>
      <c r="AB14" s="940" t="s">
        <v>3068</v>
      </c>
      <c r="AC14" s="940" t="s">
        <v>3022</v>
      </c>
      <c r="AD14" s="940" t="s">
        <v>3060</v>
      </c>
      <c r="AE14" s="940" t="s">
        <v>3061</v>
      </c>
      <c r="AF14" s="940" t="s">
        <v>3062</v>
      </c>
      <c r="AG14" s="940" t="s">
        <v>3063</v>
      </c>
      <c r="AH14" s="940" t="s">
        <v>3064</v>
      </c>
      <c r="AI14" s="940" t="s">
        <v>3065</v>
      </c>
      <c r="AJ14" s="940" t="s">
        <v>3066</v>
      </c>
      <c r="AK14" s="940" t="s">
        <v>3067</v>
      </c>
      <c r="AL14" s="940" t="s">
        <v>3068</v>
      </c>
      <c r="AM14" s="936" t="s">
        <v>304</v>
      </c>
    </row>
    <row r="15" spans="1:39" s="80" customFormat="1" ht="50.1" customHeight="1">
      <c r="A15" s="927"/>
      <c r="B15" s="927"/>
      <c r="C15" s="927"/>
      <c r="D15" s="927"/>
      <c r="E15" s="927"/>
      <c r="F15" s="927"/>
      <c r="G15" s="927"/>
      <c r="H15" s="927"/>
      <c r="I15" s="927"/>
      <c r="J15" s="927"/>
      <c r="K15" s="927"/>
      <c r="L15" s="966"/>
      <c r="M15" s="966"/>
      <c r="N15" s="966"/>
      <c r="O15" s="940" t="s">
        <v>267</v>
      </c>
      <c r="P15" s="940" t="s">
        <v>305</v>
      </c>
      <c r="Q15" s="940" t="s">
        <v>285</v>
      </c>
      <c r="R15" s="940" t="s">
        <v>267</v>
      </c>
      <c r="S15" s="943" t="s">
        <v>268</v>
      </c>
      <c r="T15" s="943" t="s">
        <v>268</v>
      </c>
      <c r="U15" s="943" t="s">
        <v>268</v>
      </c>
      <c r="V15" s="943" t="s">
        <v>268</v>
      </c>
      <c r="W15" s="943" t="s">
        <v>268</v>
      </c>
      <c r="X15" s="943" t="s">
        <v>268</v>
      </c>
      <c r="Y15" s="943" t="s">
        <v>268</v>
      </c>
      <c r="Z15" s="943" t="s">
        <v>268</v>
      </c>
      <c r="AA15" s="943" t="s">
        <v>268</v>
      </c>
      <c r="AB15" s="943" t="s">
        <v>268</v>
      </c>
      <c r="AC15" s="943" t="s">
        <v>267</v>
      </c>
      <c r="AD15" s="943" t="s">
        <v>267</v>
      </c>
      <c r="AE15" s="943" t="s">
        <v>267</v>
      </c>
      <c r="AF15" s="943" t="s">
        <v>267</v>
      </c>
      <c r="AG15" s="943" t="s">
        <v>267</v>
      </c>
      <c r="AH15" s="943" t="s">
        <v>267</v>
      </c>
      <c r="AI15" s="943" t="s">
        <v>267</v>
      </c>
      <c r="AJ15" s="943" t="s">
        <v>267</v>
      </c>
      <c r="AK15" s="943" t="s">
        <v>267</v>
      </c>
      <c r="AL15" s="943" t="s">
        <v>267</v>
      </c>
      <c r="AM15" s="936"/>
    </row>
    <row r="16" spans="1:39" s="80" customFormat="1">
      <c r="A16" s="944" t="s">
        <v>18</v>
      </c>
      <c r="B16" s="927"/>
      <c r="C16" s="927"/>
      <c r="D16" s="927"/>
      <c r="E16" s="927"/>
      <c r="F16" s="927"/>
      <c r="G16" s="927"/>
      <c r="H16" s="927"/>
      <c r="I16" s="927"/>
      <c r="J16" s="927"/>
      <c r="K16" s="927"/>
      <c r="L16" s="1007" t="s">
        <v>3018</v>
      </c>
      <c r="M16" s="839"/>
      <c r="N16" s="840"/>
      <c r="O16" s="840"/>
      <c r="P16" s="840"/>
      <c r="Q16" s="840"/>
      <c r="R16" s="840"/>
      <c r="S16" s="840"/>
      <c r="T16" s="840"/>
      <c r="U16" s="840"/>
      <c r="V16" s="840"/>
      <c r="W16" s="840"/>
      <c r="X16" s="840"/>
      <c r="Y16" s="840"/>
      <c r="Z16" s="840"/>
      <c r="AA16" s="840"/>
      <c r="AB16" s="840"/>
      <c r="AC16" s="840"/>
      <c r="AD16" s="840"/>
      <c r="AE16" s="840"/>
      <c r="AF16" s="840"/>
      <c r="AG16" s="840"/>
      <c r="AH16" s="840"/>
      <c r="AI16" s="840"/>
      <c r="AJ16" s="840"/>
      <c r="AK16" s="840"/>
      <c r="AL16" s="840"/>
      <c r="AM16" s="1008"/>
    </row>
    <row r="17" spans="1:39" s="80" customFormat="1" ht="22.5">
      <c r="A17" s="982">
        <v>1</v>
      </c>
      <c r="B17" s="927" t="s">
        <v>1480</v>
      </c>
      <c r="C17" s="927"/>
      <c r="D17" s="927"/>
      <c r="E17" s="927"/>
      <c r="F17" s="927"/>
      <c r="G17" s="927"/>
      <c r="H17" s="927"/>
      <c r="I17" s="927"/>
      <c r="J17" s="927"/>
      <c r="K17" s="927"/>
      <c r="L17" s="1025" t="s">
        <v>18</v>
      </c>
      <c r="M17" s="217" t="s">
        <v>392</v>
      </c>
      <c r="N17" s="1026" t="s">
        <v>351</v>
      </c>
      <c r="O17" s="1027">
        <v>0</v>
      </c>
      <c r="P17" s="1027">
        <v>0</v>
      </c>
      <c r="Q17" s="1027">
        <v>0</v>
      </c>
      <c r="R17" s="1027">
        <v>0</v>
      </c>
      <c r="S17" s="1027">
        <v>0</v>
      </c>
      <c r="T17" s="1027">
        <v>0</v>
      </c>
      <c r="U17" s="1027">
        <v>0</v>
      </c>
      <c r="V17" s="1027">
        <v>0</v>
      </c>
      <c r="W17" s="1027">
        <v>0</v>
      </c>
      <c r="X17" s="1027">
        <v>0</v>
      </c>
      <c r="Y17" s="1027">
        <v>0</v>
      </c>
      <c r="Z17" s="1027">
        <v>0</v>
      </c>
      <c r="AA17" s="1027">
        <v>0</v>
      </c>
      <c r="AB17" s="1027">
        <v>0</v>
      </c>
      <c r="AC17" s="1027">
        <v>0</v>
      </c>
      <c r="AD17" s="1027">
        <v>0</v>
      </c>
      <c r="AE17" s="1027">
        <v>0</v>
      </c>
      <c r="AF17" s="1027">
        <v>0</v>
      </c>
      <c r="AG17" s="1027">
        <v>0</v>
      </c>
      <c r="AH17" s="1027">
        <v>0</v>
      </c>
      <c r="AI17" s="1027">
        <v>0</v>
      </c>
      <c r="AJ17" s="1027">
        <v>0</v>
      </c>
      <c r="AK17" s="1027">
        <v>0</v>
      </c>
      <c r="AL17" s="1027">
        <v>0</v>
      </c>
      <c r="AM17" s="951"/>
    </row>
    <row r="18" spans="1:39" s="80" customFormat="1">
      <c r="A18" s="982">
        <v>1</v>
      </c>
      <c r="B18" s="927" t="s">
        <v>1491</v>
      </c>
      <c r="C18" s="927"/>
      <c r="D18" s="927"/>
      <c r="E18" s="927"/>
      <c r="F18" s="927"/>
      <c r="G18" s="927"/>
      <c r="H18" s="927"/>
      <c r="I18" s="927"/>
      <c r="J18" s="927"/>
      <c r="K18" s="927"/>
      <c r="L18" s="1028" t="s">
        <v>149</v>
      </c>
      <c r="M18" s="220" t="s">
        <v>12</v>
      </c>
      <c r="N18" s="957" t="s">
        <v>351</v>
      </c>
      <c r="O18" s="1029">
        <v>0</v>
      </c>
      <c r="P18" s="1029">
        <v>0</v>
      </c>
      <c r="Q18" s="1029">
        <v>0</v>
      </c>
      <c r="R18" s="1029">
        <v>0</v>
      </c>
      <c r="S18" s="1029">
        <v>0</v>
      </c>
      <c r="T18" s="1029">
        <v>0</v>
      </c>
      <c r="U18" s="1029">
        <v>0</v>
      </c>
      <c r="V18" s="1029">
        <v>0</v>
      </c>
      <c r="W18" s="1029">
        <v>0</v>
      </c>
      <c r="X18" s="1029">
        <v>0</v>
      </c>
      <c r="Y18" s="1029">
        <v>0</v>
      </c>
      <c r="Z18" s="1029">
        <v>0</v>
      </c>
      <c r="AA18" s="1029">
        <v>0</v>
      </c>
      <c r="AB18" s="1029">
        <v>0</v>
      </c>
      <c r="AC18" s="1029">
        <v>0</v>
      </c>
      <c r="AD18" s="1029">
        <v>0</v>
      </c>
      <c r="AE18" s="1029">
        <v>0</v>
      </c>
      <c r="AF18" s="1029">
        <v>0</v>
      </c>
      <c r="AG18" s="1029">
        <v>0</v>
      </c>
      <c r="AH18" s="1029">
        <v>0</v>
      </c>
      <c r="AI18" s="1029">
        <v>0</v>
      </c>
      <c r="AJ18" s="1029">
        <v>0</v>
      </c>
      <c r="AK18" s="1029">
        <v>0</v>
      </c>
      <c r="AL18" s="1029">
        <v>0</v>
      </c>
      <c r="AM18" s="951"/>
    </row>
    <row r="19" spans="1:39" s="80" customFormat="1" ht="22.5">
      <c r="A19" s="982">
        <v>1</v>
      </c>
      <c r="B19" s="927" t="s">
        <v>1567</v>
      </c>
      <c r="C19" s="927"/>
      <c r="D19" s="927"/>
      <c r="E19" s="927"/>
      <c r="F19" s="927"/>
      <c r="G19" s="927"/>
      <c r="H19" s="927"/>
      <c r="I19" s="927"/>
      <c r="J19" s="927"/>
      <c r="K19" s="927"/>
      <c r="L19" s="1028" t="s">
        <v>393</v>
      </c>
      <c r="M19" s="1030" t="s">
        <v>394</v>
      </c>
      <c r="N19" s="957" t="s">
        <v>351</v>
      </c>
      <c r="O19" s="1029"/>
      <c r="P19" s="1029"/>
      <c r="Q19" s="1029"/>
      <c r="R19" s="1029"/>
      <c r="S19" s="1029"/>
      <c r="T19" s="1029"/>
      <c r="U19" s="1029"/>
      <c r="V19" s="1029"/>
      <c r="W19" s="1029"/>
      <c r="X19" s="1029"/>
      <c r="Y19" s="1029"/>
      <c r="Z19" s="1029"/>
      <c r="AA19" s="1029"/>
      <c r="AB19" s="1029"/>
      <c r="AC19" s="1029"/>
      <c r="AD19" s="1029"/>
      <c r="AE19" s="1029"/>
      <c r="AF19" s="1029"/>
      <c r="AG19" s="1029"/>
      <c r="AH19" s="1029"/>
      <c r="AI19" s="1029"/>
      <c r="AJ19" s="1029"/>
      <c r="AK19" s="1029"/>
      <c r="AL19" s="1029"/>
      <c r="AM19" s="951"/>
    </row>
    <row r="20" spans="1:39" s="80" customFormat="1">
      <c r="A20" s="982">
        <v>1</v>
      </c>
      <c r="B20" s="927" t="s">
        <v>1568</v>
      </c>
      <c r="C20" s="927"/>
      <c r="D20" s="927"/>
      <c r="E20" s="927"/>
      <c r="F20" s="927"/>
      <c r="G20" s="927"/>
      <c r="H20" s="927"/>
      <c r="I20" s="927"/>
      <c r="J20" s="927"/>
      <c r="K20" s="927"/>
      <c r="L20" s="1028" t="s">
        <v>395</v>
      </c>
      <c r="M20" s="1030" t="s">
        <v>396</v>
      </c>
      <c r="N20" s="957" t="s">
        <v>351</v>
      </c>
      <c r="O20" s="1029"/>
      <c r="P20" s="1029"/>
      <c r="Q20" s="1029"/>
      <c r="R20" s="1029"/>
      <c r="S20" s="1029"/>
      <c r="T20" s="1029"/>
      <c r="U20" s="1029"/>
      <c r="V20" s="1029"/>
      <c r="W20" s="1029"/>
      <c r="X20" s="1029"/>
      <c r="Y20" s="1029"/>
      <c r="Z20" s="1029"/>
      <c r="AA20" s="1029"/>
      <c r="AB20" s="1029"/>
      <c r="AC20" s="1029"/>
      <c r="AD20" s="1029"/>
      <c r="AE20" s="1029"/>
      <c r="AF20" s="1029"/>
      <c r="AG20" s="1029"/>
      <c r="AH20" s="1029"/>
      <c r="AI20" s="1029"/>
      <c r="AJ20" s="1029"/>
      <c r="AK20" s="1029"/>
      <c r="AL20" s="1029"/>
      <c r="AM20" s="951"/>
    </row>
    <row r="21" spans="1:39" s="80" customFormat="1">
      <c r="A21" s="982">
        <v>1</v>
      </c>
      <c r="B21" s="927" t="s">
        <v>1489</v>
      </c>
      <c r="C21" s="927"/>
      <c r="D21" s="927"/>
      <c r="E21" s="927"/>
      <c r="F21" s="927"/>
      <c r="G21" s="927"/>
      <c r="H21" s="927"/>
      <c r="I21" s="927"/>
      <c r="J21" s="927"/>
      <c r="K21" s="927"/>
      <c r="L21" s="1028" t="s">
        <v>150</v>
      </c>
      <c r="M21" s="1031" t="s">
        <v>397</v>
      </c>
      <c r="N21" s="957" t="s">
        <v>351</v>
      </c>
      <c r="O21" s="1029"/>
      <c r="P21" s="1029"/>
      <c r="Q21" s="1029"/>
      <c r="R21" s="1029"/>
      <c r="S21" s="1029"/>
      <c r="T21" s="1029"/>
      <c r="U21" s="1029"/>
      <c r="V21" s="1029"/>
      <c r="W21" s="1029"/>
      <c r="X21" s="1029"/>
      <c r="Y21" s="1029"/>
      <c r="Z21" s="1029"/>
      <c r="AA21" s="1029"/>
      <c r="AB21" s="1029"/>
      <c r="AC21" s="1029"/>
      <c r="AD21" s="1029"/>
      <c r="AE21" s="1029"/>
      <c r="AF21" s="1029"/>
      <c r="AG21" s="1029"/>
      <c r="AH21" s="1029"/>
      <c r="AI21" s="1029"/>
      <c r="AJ21" s="1029"/>
      <c r="AK21" s="1029"/>
      <c r="AL21" s="1029"/>
      <c r="AM21" s="951"/>
    </row>
    <row r="22" spans="1:39" s="80" customFormat="1">
      <c r="A22" s="982">
        <v>1</v>
      </c>
      <c r="B22" s="927" t="s">
        <v>1490</v>
      </c>
      <c r="C22" s="927"/>
      <c r="D22" s="927"/>
      <c r="E22" s="927"/>
      <c r="F22" s="927"/>
      <c r="G22" s="927"/>
      <c r="H22" s="927"/>
      <c r="I22" s="927"/>
      <c r="J22" s="927"/>
      <c r="K22" s="927"/>
      <c r="L22" s="1028" t="s">
        <v>359</v>
      </c>
      <c r="M22" s="1032" t="s">
        <v>398</v>
      </c>
      <c r="N22" s="957" t="s">
        <v>351</v>
      </c>
      <c r="O22" s="1029"/>
      <c r="P22" s="1029"/>
      <c r="Q22" s="1029"/>
      <c r="R22" s="1029"/>
      <c r="S22" s="1029"/>
      <c r="T22" s="1029"/>
      <c r="U22" s="1029"/>
      <c r="V22" s="1029"/>
      <c r="W22" s="1029"/>
      <c r="X22" s="1029"/>
      <c r="Y22" s="1029"/>
      <c r="Z22" s="1029"/>
      <c r="AA22" s="1029"/>
      <c r="AB22" s="1029"/>
      <c r="AC22" s="1029"/>
      <c r="AD22" s="1029"/>
      <c r="AE22" s="1029"/>
      <c r="AF22" s="1029"/>
      <c r="AG22" s="1029"/>
      <c r="AH22" s="1029"/>
      <c r="AI22" s="1029"/>
      <c r="AJ22" s="1029"/>
      <c r="AK22" s="1029"/>
      <c r="AL22" s="1029"/>
      <c r="AM22" s="951"/>
    </row>
    <row r="23" spans="1:39" s="80" customFormat="1">
      <c r="A23" s="982">
        <v>1</v>
      </c>
      <c r="B23" s="927" t="s">
        <v>1488</v>
      </c>
      <c r="C23" s="927"/>
      <c r="D23" s="927"/>
      <c r="E23" s="927"/>
      <c r="F23" s="927"/>
      <c r="G23" s="927"/>
      <c r="H23" s="927"/>
      <c r="I23" s="927"/>
      <c r="J23" s="927"/>
      <c r="K23" s="927"/>
      <c r="L23" s="1028" t="s">
        <v>361</v>
      </c>
      <c r="M23" s="1032" t="s">
        <v>399</v>
      </c>
      <c r="N23" s="957" t="s">
        <v>351</v>
      </c>
      <c r="O23" s="1029"/>
      <c r="P23" s="1029"/>
      <c r="Q23" s="1029"/>
      <c r="R23" s="1029"/>
      <c r="S23" s="1029"/>
      <c r="T23" s="1029"/>
      <c r="U23" s="1029"/>
      <c r="V23" s="1029"/>
      <c r="W23" s="1029"/>
      <c r="X23" s="1029"/>
      <c r="Y23" s="1029"/>
      <c r="Z23" s="1029"/>
      <c r="AA23" s="1029"/>
      <c r="AB23" s="1029"/>
      <c r="AC23" s="1029"/>
      <c r="AD23" s="1029"/>
      <c r="AE23" s="1029"/>
      <c r="AF23" s="1029"/>
      <c r="AG23" s="1029"/>
      <c r="AH23" s="1029"/>
      <c r="AI23" s="1029"/>
      <c r="AJ23" s="1029"/>
      <c r="AK23" s="1029"/>
      <c r="AL23" s="1029"/>
      <c r="AM23" s="951"/>
    </row>
    <row r="24" spans="1:39">
      <c r="A24" s="1019"/>
      <c r="B24" s="1019"/>
      <c r="C24" s="1019"/>
      <c r="D24" s="1019"/>
      <c r="E24" s="1019"/>
      <c r="F24" s="1019"/>
      <c r="G24" s="1019"/>
      <c r="H24" s="1019"/>
      <c r="I24" s="1019"/>
      <c r="J24" s="1019"/>
      <c r="K24" s="1019"/>
      <c r="L24" s="1019"/>
      <c r="M24" s="1019"/>
      <c r="N24" s="1019"/>
      <c r="O24" s="1021"/>
      <c r="P24" s="1019"/>
      <c r="Q24" s="1019"/>
      <c r="R24" s="1019"/>
      <c r="S24" s="1019"/>
      <c r="T24" s="1019"/>
      <c r="U24" s="1019"/>
      <c r="V24" s="1019"/>
      <c r="W24" s="1019"/>
      <c r="X24" s="1019"/>
      <c r="Y24" s="1019"/>
      <c r="Z24" s="1019"/>
      <c r="AA24" s="1019"/>
      <c r="AB24" s="1019"/>
      <c r="AC24" s="1019"/>
      <c r="AD24" s="1019"/>
      <c r="AE24" s="1019"/>
      <c r="AF24" s="1019"/>
      <c r="AG24" s="1019"/>
      <c r="AH24" s="1019"/>
      <c r="AI24" s="1019"/>
      <c r="AJ24" s="1019"/>
      <c r="AK24" s="1019"/>
      <c r="AL24" s="1019"/>
      <c r="AM24" s="1019"/>
    </row>
    <row r="25" spans="1:39" s="86" customFormat="1" ht="15" customHeight="1">
      <c r="A25" s="934"/>
      <c r="B25" s="934"/>
      <c r="C25" s="934"/>
      <c r="D25" s="934"/>
      <c r="E25" s="934"/>
      <c r="F25" s="934"/>
      <c r="G25" s="934"/>
      <c r="H25" s="934"/>
      <c r="I25" s="934"/>
      <c r="J25" s="934"/>
      <c r="K25" s="934"/>
      <c r="L25" s="966" t="s">
        <v>1425</v>
      </c>
      <c r="M25" s="966"/>
      <c r="N25" s="966"/>
      <c r="O25" s="966"/>
      <c r="P25" s="966"/>
      <c r="Q25" s="966"/>
      <c r="R25" s="966"/>
      <c r="S25" s="979"/>
      <c r="T25" s="979"/>
      <c r="U25" s="979"/>
      <c r="V25" s="979"/>
      <c r="W25" s="979"/>
      <c r="X25" s="979"/>
      <c r="Y25" s="979"/>
      <c r="Z25" s="979"/>
      <c r="AA25" s="979"/>
      <c r="AB25" s="979"/>
      <c r="AC25" s="979"/>
      <c r="AD25" s="979"/>
      <c r="AE25" s="979"/>
      <c r="AF25" s="979"/>
      <c r="AG25" s="979"/>
      <c r="AH25" s="979"/>
      <c r="AI25" s="979"/>
      <c r="AJ25" s="979"/>
      <c r="AK25" s="979"/>
      <c r="AL25" s="979"/>
      <c r="AM25" s="979"/>
    </row>
    <row r="26" spans="1:39" s="86" customFormat="1" ht="15" customHeight="1">
      <c r="A26" s="934"/>
      <c r="B26" s="934"/>
      <c r="C26" s="934"/>
      <c r="D26" s="934"/>
      <c r="E26" s="934"/>
      <c r="F26" s="934"/>
      <c r="G26" s="934"/>
      <c r="H26" s="934"/>
      <c r="I26" s="934"/>
      <c r="J26" s="934"/>
      <c r="K26" s="807"/>
      <c r="L26" s="980"/>
      <c r="M26" s="980"/>
      <c r="N26" s="980"/>
      <c r="O26" s="980"/>
      <c r="P26" s="980"/>
      <c r="Q26" s="980"/>
      <c r="R26" s="980"/>
      <c r="S26" s="981"/>
      <c r="T26" s="981"/>
      <c r="U26" s="981"/>
      <c r="V26" s="981"/>
      <c r="W26" s="981"/>
      <c r="X26" s="981"/>
      <c r="Y26" s="981"/>
      <c r="Z26" s="981"/>
      <c r="AA26" s="981"/>
      <c r="AB26" s="981"/>
      <c r="AC26" s="981"/>
      <c r="AD26" s="981"/>
      <c r="AE26" s="981"/>
      <c r="AF26" s="981"/>
      <c r="AG26" s="981"/>
      <c r="AH26" s="981"/>
      <c r="AI26" s="981"/>
      <c r="AJ26" s="981"/>
      <c r="AK26" s="981"/>
      <c r="AL26" s="981"/>
      <c r="AM26" s="981"/>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 width="2.28515625" style="96" hidden="1" customWidth="1"/>
    <col min="2" max="2" width="9.7109375" style="96" hidden="1" customWidth="1"/>
    <col min="3" max="10" width="2.28515625" style="96" hidden="1" customWidth="1"/>
    <col min="11" max="11" width="3.7109375" style="96" hidden="1" customWidth="1"/>
    <col min="12" max="12" width="7.140625" style="96" customWidth="1"/>
    <col min="13" max="13" width="44.140625" style="96" customWidth="1"/>
    <col min="14" max="14" width="12.7109375" style="96" customWidth="1"/>
    <col min="15" max="23" width="13.28515625" style="96" customWidth="1"/>
    <col min="24" max="28" width="13.28515625" style="96" hidden="1" customWidth="1"/>
    <col min="29" max="33" width="13.28515625" style="96" customWidth="1"/>
    <col min="34" max="38" width="13.28515625" style="96" hidden="1" customWidth="1"/>
    <col min="39" max="39" width="20.7109375" style="96"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1033"/>
      <c r="B1" s="1033"/>
      <c r="C1" s="1033"/>
      <c r="D1" s="1033"/>
      <c r="E1" s="1033"/>
      <c r="F1" s="1033"/>
      <c r="G1" s="1033"/>
      <c r="H1" s="1033"/>
      <c r="I1" s="1033"/>
      <c r="J1" s="1033"/>
      <c r="K1" s="1033"/>
      <c r="L1" s="1033"/>
      <c r="M1" s="1033"/>
      <c r="N1" s="1033"/>
      <c r="O1" s="1033">
        <v>2022</v>
      </c>
      <c r="P1" s="1033">
        <v>2022</v>
      </c>
      <c r="Q1" s="1033">
        <v>2022</v>
      </c>
      <c r="R1" s="1033">
        <v>2023</v>
      </c>
      <c r="S1" s="934">
        <v>2024</v>
      </c>
      <c r="T1" s="934">
        <v>2025</v>
      </c>
      <c r="U1" s="934">
        <v>2026</v>
      </c>
      <c r="V1" s="934">
        <v>2027</v>
      </c>
      <c r="W1" s="934">
        <v>2028</v>
      </c>
      <c r="X1" s="934">
        <v>2029</v>
      </c>
      <c r="Y1" s="934">
        <v>2030</v>
      </c>
      <c r="Z1" s="934">
        <v>2031</v>
      </c>
      <c r="AA1" s="934">
        <v>2032</v>
      </c>
      <c r="AB1" s="934">
        <v>2033</v>
      </c>
      <c r="AC1" s="934">
        <v>2024</v>
      </c>
      <c r="AD1" s="934">
        <v>2025</v>
      </c>
      <c r="AE1" s="934">
        <v>2026</v>
      </c>
      <c r="AF1" s="934">
        <v>2027</v>
      </c>
      <c r="AG1" s="934">
        <v>2028</v>
      </c>
      <c r="AH1" s="934">
        <v>2029</v>
      </c>
      <c r="AI1" s="934">
        <v>2030</v>
      </c>
      <c r="AJ1" s="934">
        <v>2031</v>
      </c>
      <c r="AK1" s="934">
        <v>2032</v>
      </c>
      <c r="AL1" s="934">
        <v>2033</v>
      </c>
      <c r="AM1" s="1033"/>
    </row>
    <row r="2" spans="1:39" hidden="1">
      <c r="A2" s="1033"/>
      <c r="B2" s="1033"/>
      <c r="C2" s="1033"/>
      <c r="D2" s="1033"/>
      <c r="E2" s="1033"/>
      <c r="F2" s="1033"/>
      <c r="G2" s="1033"/>
      <c r="H2" s="1033"/>
      <c r="I2" s="1033"/>
      <c r="J2" s="1033"/>
      <c r="K2" s="1033"/>
      <c r="L2" s="1033"/>
      <c r="M2" s="1033"/>
      <c r="N2" s="1033"/>
      <c r="O2" s="1033" t="s">
        <v>267</v>
      </c>
      <c r="P2" s="1033" t="s">
        <v>305</v>
      </c>
      <c r="Q2" s="1033" t="s">
        <v>285</v>
      </c>
      <c r="R2" s="1033" t="s">
        <v>267</v>
      </c>
      <c r="S2" s="1033" t="s">
        <v>268</v>
      </c>
      <c r="T2" s="1033" t="s">
        <v>268</v>
      </c>
      <c r="U2" s="1033" t="s">
        <v>268</v>
      </c>
      <c r="V2" s="1033" t="s">
        <v>268</v>
      </c>
      <c r="W2" s="1033" t="s">
        <v>268</v>
      </c>
      <c r="X2" s="1033" t="s">
        <v>268</v>
      </c>
      <c r="Y2" s="1033" t="s">
        <v>268</v>
      </c>
      <c r="Z2" s="1033" t="s">
        <v>268</v>
      </c>
      <c r="AA2" s="1033" t="s">
        <v>268</v>
      </c>
      <c r="AB2" s="1033" t="s">
        <v>268</v>
      </c>
      <c r="AC2" s="1033" t="s">
        <v>267</v>
      </c>
      <c r="AD2" s="1033" t="s">
        <v>267</v>
      </c>
      <c r="AE2" s="1033" t="s">
        <v>267</v>
      </c>
      <c r="AF2" s="1033" t="s">
        <v>267</v>
      </c>
      <c r="AG2" s="1033" t="s">
        <v>267</v>
      </c>
      <c r="AH2" s="1033" t="s">
        <v>267</v>
      </c>
      <c r="AI2" s="1033" t="s">
        <v>267</v>
      </c>
      <c r="AJ2" s="1033" t="s">
        <v>267</v>
      </c>
      <c r="AK2" s="1033" t="s">
        <v>267</v>
      </c>
      <c r="AL2" s="1033" t="s">
        <v>267</v>
      </c>
      <c r="AM2" s="1033"/>
    </row>
    <row r="3" spans="1:39" ht="11.25" hidden="1">
      <c r="A3" s="1033"/>
      <c r="B3" s="1033"/>
      <c r="C3" s="1033"/>
      <c r="D3" s="1033"/>
      <c r="E3" s="1033"/>
      <c r="F3" s="1033"/>
      <c r="G3" s="1033"/>
      <c r="H3" s="1033"/>
      <c r="I3" s="1033"/>
      <c r="J3" s="1033"/>
      <c r="K3" s="1033"/>
      <c r="L3" s="1033"/>
      <c r="M3" s="1033"/>
      <c r="N3" s="1033"/>
      <c r="O3" s="1033"/>
      <c r="P3" s="1033"/>
      <c r="Q3" s="1033"/>
      <c r="R3" s="1033"/>
      <c r="S3" s="934"/>
      <c r="T3" s="934"/>
      <c r="U3" s="934"/>
      <c r="V3" s="934"/>
      <c r="W3" s="934"/>
      <c r="X3" s="934"/>
      <c r="Y3" s="934"/>
      <c r="Z3" s="934"/>
      <c r="AA3" s="934"/>
      <c r="AB3" s="934"/>
      <c r="AC3" s="934"/>
      <c r="AD3" s="934"/>
      <c r="AE3" s="934"/>
      <c r="AF3" s="934"/>
      <c r="AG3" s="934"/>
      <c r="AH3" s="934"/>
      <c r="AI3" s="934"/>
      <c r="AJ3" s="934"/>
      <c r="AK3" s="934"/>
      <c r="AL3" s="934"/>
      <c r="AM3" s="1033"/>
    </row>
    <row r="4" spans="1:39" ht="11.25" hidden="1">
      <c r="A4" s="1033"/>
      <c r="B4" s="1033"/>
      <c r="C4" s="1033"/>
      <c r="D4" s="1033"/>
      <c r="E4" s="1033"/>
      <c r="F4" s="1033"/>
      <c r="G4" s="1033"/>
      <c r="H4" s="1033"/>
      <c r="I4" s="1033"/>
      <c r="J4" s="1033"/>
      <c r="K4" s="1033"/>
      <c r="L4" s="1033"/>
      <c r="M4" s="1033"/>
      <c r="N4" s="1033"/>
      <c r="O4" s="1033"/>
      <c r="P4" s="1033"/>
      <c r="Q4" s="1033"/>
      <c r="R4" s="1033"/>
      <c r="S4" s="934"/>
      <c r="T4" s="934"/>
      <c r="U4" s="934"/>
      <c r="V4" s="934"/>
      <c r="W4" s="934"/>
      <c r="X4" s="934"/>
      <c r="Y4" s="934"/>
      <c r="Z4" s="934"/>
      <c r="AA4" s="934"/>
      <c r="AB4" s="934"/>
      <c r="AC4" s="934"/>
      <c r="AD4" s="934"/>
      <c r="AE4" s="934"/>
      <c r="AF4" s="934"/>
      <c r="AG4" s="934"/>
      <c r="AH4" s="934"/>
      <c r="AI4" s="934"/>
      <c r="AJ4" s="934"/>
      <c r="AK4" s="934"/>
      <c r="AL4" s="934"/>
      <c r="AM4" s="1033"/>
    </row>
    <row r="5" spans="1:39" ht="11.25" hidden="1">
      <c r="A5" s="1033"/>
      <c r="B5" s="1033"/>
      <c r="C5" s="1033"/>
      <c r="D5" s="1033"/>
      <c r="E5" s="1033"/>
      <c r="F5" s="1033"/>
      <c r="G5" s="1033"/>
      <c r="H5" s="1033"/>
      <c r="I5" s="1033"/>
      <c r="J5" s="1033"/>
      <c r="K5" s="1033"/>
      <c r="L5" s="1033"/>
      <c r="M5" s="1033"/>
      <c r="N5" s="1033"/>
      <c r="O5" s="1033"/>
      <c r="P5" s="1033"/>
      <c r="Q5" s="1033"/>
      <c r="R5" s="1033"/>
      <c r="S5" s="934"/>
      <c r="T5" s="934"/>
      <c r="U5" s="934"/>
      <c r="V5" s="934"/>
      <c r="W5" s="934"/>
      <c r="X5" s="934"/>
      <c r="Y5" s="934"/>
      <c r="Z5" s="934"/>
      <c r="AA5" s="934"/>
      <c r="AB5" s="934"/>
      <c r="AC5" s="934"/>
      <c r="AD5" s="934"/>
      <c r="AE5" s="934"/>
      <c r="AF5" s="934"/>
      <c r="AG5" s="934"/>
      <c r="AH5" s="934"/>
      <c r="AI5" s="934"/>
      <c r="AJ5" s="934"/>
      <c r="AK5" s="934"/>
      <c r="AL5" s="934"/>
      <c r="AM5" s="1033"/>
    </row>
    <row r="6" spans="1:39" ht="11.25" hidden="1">
      <c r="A6" s="1033"/>
      <c r="B6" s="1033"/>
      <c r="C6" s="1033"/>
      <c r="D6" s="1033"/>
      <c r="E6" s="1033"/>
      <c r="F6" s="1033"/>
      <c r="G6" s="1033"/>
      <c r="H6" s="1033"/>
      <c r="I6" s="1033"/>
      <c r="J6" s="1033"/>
      <c r="K6" s="1033"/>
      <c r="L6" s="1033"/>
      <c r="M6" s="1033"/>
      <c r="N6" s="1033"/>
      <c r="O6" s="1033"/>
      <c r="P6" s="1033"/>
      <c r="Q6" s="1033"/>
      <c r="R6" s="1033"/>
      <c r="S6" s="934"/>
      <c r="T6" s="934"/>
      <c r="U6" s="934"/>
      <c r="V6" s="934"/>
      <c r="W6" s="934"/>
      <c r="X6" s="934"/>
      <c r="Y6" s="934"/>
      <c r="Z6" s="934"/>
      <c r="AA6" s="934"/>
      <c r="AB6" s="934"/>
      <c r="AC6" s="934"/>
      <c r="AD6" s="934"/>
      <c r="AE6" s="934"/>
      <c r="AF6" s="934"/>
      <c r="AG6" s="934"/>
      <c r="AH6" s="934"/>
      <c r="AI6" s="934"/>
      <c r="AJ6" s="934"/>
      <c r="AK6" s="934"/>
      <c r="AL6" s="934"/>
      <c r="AM6" s="1033"/>
    </row>
    <row r="7" spans="1:39" ht="11.25" hidden="1">
      <c r="A7" s="1033"/>
      <c r="B7" s="1033"/>
      <c r="C7" s="1033"/>
      <c r="D7" s="1033"/>
      <c r="E7" s="1033"/>
      <c r="F7" s="1033"/>
      <c r="G7" s="1033"/>
      <c r="H7" s="1033"/>
      <c r="I7" s="1033"/>
      <c r="J7" s="1033"/>
      <c r="K7" s="1033"/>
      <c r="L7" s="1033"/>
      <c r="M7" s="1033"/>
      <c r="N7" s="1033"/>
      <c r="O7" s="1033"/>
      <c r="P7" s="1033"/>
      <c r="Q7" s="1033"/>
      <c r="R7" s="1033"/>
      <c r="S7" s="886" t="b">
        <v>1</v>
      </c>
      <c r="T7" s="886" t="b">
        <v>1</v>
      </c>
      <c r="U7" s="886" t="b">
        <v>1</v>
      </c>
      <c r="V7" s="886" t="b">
        <v>1</v>
      </c>
      <c r="W7" s="886" t="b">
        <v>1</v>
      </c>
      <c r="X7" s="886" t="b">
        <v>0</v>
      </c>
      <c r="Y7" s="886" t="b">
        <v>0</v>
      </c>
      <c r="Z7" s="886" t="b">
        <v>0</v>
      </c>
      <c r="AA7" s="886" t="b">
        <v>0</v>
      </c>
      <c r="AB7" s="886" t="b">
        <v>0</v>
      </c>
      <c r="AC7" s="886" t="b">
        <v>1</v>
      </c>
      <c r="AD7" s="886" t="b">
        <v>1</v>
      </c>
      <c r="AE7" s="886" t="b">
        <v>1</v>
      </c>
      <c r="AF7" s="886" t="b">
        <v>1</v>
      </c>
      <c r="AG7" s="886" t="b">
        <v>1</v>
      </c>
      <c r="AH7" s="886" t="b">
        <v>0</v>
      </c>
      <c r="AI7" s="886" t="b">
        <v>0</v>
      </c>
      <c r="AJ7" s="886" t="b">
        <v>0</v>
      </c>
      <c r="AK7" s="886" t="b">
        <v>0</v>
      </c>
      <c r="AL7" s="886" t="b">
        <v>0</v>
      </c>
      <c r="AM7" s="1033"/>
    </row>
    <row r="8" spans="1:39" hidden="1">
      <c r="A8" s="1033"/>
      <c r="B8" s="1033"/>
      <c r="C8" s="1033"/>
      <c r="D8" s="1033"/>
      <c r="E8" s="1033"/>
      <c r="F8" s="1033"/>
      <c r="G8" s="1033"/>
      <c r="H8" s="1033"/>
      <c r="I8" s="1033"/>
      <c r="J8" s="1033"/>
      <c r="K8" s="1033"/>
      <c r="L8" s="1033"/>
      <c r="M8" s="1033"/>
      <c r="N8" s="1033"/>
      <c r="O8" s="1033"/>
      <c r="P8" s="1033"/>
      <c r="Q8" s="1033"/>
      <c r="R8" s="1033"/>
      <c r="S8" s="1033"/>
      <c r="T8" s="1033"/>
      <c r="U8" s="1033"/>
      <c r="V8" s="1033"/>
      <c r="W8" s="1033"/>
      <c r="X8" s="1033"/>
      <c r="Y8" s="1033"/>
      <c r="Z8" s="1033"/>
      <c r="AA8" s="1033"/>
      <c r="AB8" s="1033"/>
      <c r="AC8" s="1033"/>
      <c r="AD8" s="1033"/>
      <c r="AE8" s="1033"/>
      <c r="AF8" s="1033"/>
      <c r="AG8" s="1033"/>
      <c r="AH8" s="1033"/>
      <c r="AI8" s="1033"/>
      <c r="AJ8" s="1033"/>
      <c r="AK8" s="1033"/>
      <c r="AL8" s="1033"/>
      <c r="AM8" s="1033"/>
    </row>
    <row r="9" spans="1:39" hidden="1">
      <c r="A9" s="1033"/>
      <c r="B9" s="1033"/>
      <c r="C9" s="1033"/>
      <c r="D9" s="1033"/>
      <c r="E9" s="1033"/>
      <c r="F9" s="1033"/>
      <c r="G9" s="1033"/>
      <c r="H9" s="1033"/>
      <c r="I9" s="1033"/>
      <c r="J9" s="1033"/>
      <c r="K9" s="1033"/>
      <c r="L9" s="1033"/>
      <c r="M9" s="1033"/>
      <c r="N9" s="1033"/>
      <c r="O9" s="1033"/>
      <c r="P9" s="1033"/>
      <c r="Q9" s="1033"/>
      <c r="R9" s="1033"/>
      <c r="S9" s="1033"/>
      <c r="T9" s="1033"/>
      <c r="U9" s="1033"/>
      <c r="V9" s="1033"/>
      <c r="W9" s="1033"/>
      <c r="X9" s="1033"/>
      <c r="Y9" s="1033"/>
      <c r="Z9" s="1033"/>
      <c r="AA9" s="1033"/>
      <c r="AB9" s="1033"/>
      <c r="AC9" s="1033"/>
      <c r="AD9" s="1033"/>
      <c r="AE9" s="1033"/>
      <c r="AF9" s="1033"/>
      <c r="AG9" s="1033"/>
      <c r="AH9" s="1033"/>
      <c r="AI9" s="1033"/>
      <c r="AJ9" s="1033"/>
      <c r="AK9" s="1033"/>
      <c r="AL9" s="1033"/>
      <c r="AM9" s="1033"/>
    </row>
    <row r="10" spans="1:39" hidden="1">
      <c r="A10" s="1033"/>
      <c r="B10" s="1033"/>
      <c r="C10" s="1033"/>
      <c r="D10" s="1033"/>
      <c r="E10" s="1033"/>
      <c r="F10" s="1033"/>
      <c r="G10" s="1033"/>
      <c r="H10" s="1033"/>
      <c r="I10" s="1033"/>
      <c r="J10" s="1033"/>
      <c r="K10" s="1033"/>
      <c r="L10" s="1033"/>
      <c r="M10" s="1033"/>
      <c r="N10" s="1033"/>
      <c r="O10" s="1033"/>
      <c r="P10" s="1033"/>
      <c r="Q10" s="1033"/>
      <c r="R10" s="1033"/>
      <c r="S10" s="1033"/>
      <c r="T10" s="1033"/>
      <c r="U10" s="1033"/>
      <c r="V10" s="1033"/>
      <c r="W10" s="1033"/>
      <c r="X10" s="1033"/>
      <c r="Y10" s="1033"/>
      <c r="Z10" s="1033"/>
      <c r="AA10" s="1033"/>
      <c r="AB10" s="1033"/>
      <c r="AC10" s="1033"/>
      <c r="AD10" s="1033"/>
      <c r="AE10" s="1033"/>
      <c r="AF10" s="1033"/>
      <c r="AG10" s="1033"/>
      <c r="AH10" s="1033"/>
      <c r="AI10" s="1033"/>
      <c r="AJ10" s="1033"/>
      <c r="AK10" s="1033"/>
      <c r="AL10" s="1033"/>
      <c r="AM10" s="1033"/>
    </row>
    <row r="11" spans="1:39" ht="15" hidden="1" customHeight="1">
      <c r="A11" s="1033"/>
      <c r="B11" s="1033"/>
      <c r="C11" s="1033"/>
      <c r="D11" s="1033"/>
      <c r="E11" s="1033"/>
      <c r="F11" s="1033"/>
      <c r="G11" s="1033"/>
      <c r="H11" s="1033"/>
      <c r="I11" s="1033"/>
      <c r="J11" s="1033"/>
      <c r="K11" s="1033"/>
      <c r="L11" s="1033"/>
      <c r="M11" s="1000"/>
      <c r="N11" s="1033"/>
      <c r="O11" s="1033"/>
      <c r="P11" s="1033"/>
      <c r="Q11" s="1033"/>
      <c r="R11" s="1033"/>
      <c r="S11" s="1033"/>
      <c r="T11" s="1033"/>
      <c r="U11" s="1033"/>
      <c r="V11" s="1033"/>
      <c r="W11" s="1033"/>
      <c r="X11" s="1033"/>
      <c r="Y11" s="1033"/>
      <c r="Z11" s="1033"/>
      <c r="AA11" s="1033"/>
      <c r="AB11" s="1033"/>
      <c r="AC11" s="1033"/>
      <c r="AD11" s="1033"/>
      <c r="AE11" s="1033"/>
      <c r="AF11" s="1033"/>
      <c r="AG11" s="1033"/>
      <c r="AH11" s="1033"/>
      <c r="AI11" s="1033"/>
      <c r="AJ11" s="1033"/>
      <c r="AK11" s="1033"/>
      <c r="AL11" s="1033"/>
      <c r="AM11" s="1033"/>
    </row>
    <row r="12" spans="1:39" ht="20.100000000000001" customHeight="1">
      <c r="A12" s="1033"/>
      <c r="B12" s="1033"/>
      <c r="C12" s="1033"/>
      <c r="D12" s="1033"/>
      <c r="E12" s="1033"/>
      <c r="F12" s="1033"/>
      <c r="G12" s="1033"/>
      <c r="H12" s="1033"/>
      <c r="I12" s="1033"/>
      <c r="J12" s="1033"/>
      <c r="K12" s="1033"/>
      <c r="L12" s="434" t="s">
        <v>1240</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8"/>
    </row>
    <row r="13" spans="1:39" ht="11.25" customHeight="1">
      <c r="A13" s="1033"/>
      <c r="B13" s="1033"/>
      <c r="C13" s="1033"/>
      <c r="D13" s="1033"/>
      <c r="E13" s="1033"/>
      <c r="F13" s="1033"/>
      <c r="G13" s="1033"/>
      <c r="H13" s="1033"/>
      <c r="I13" s="1033"/>
      <c r="J13" s="1033"/>
      <c r="K13" s="1033"/>
      <c r="L13" s="1034"/>
      <c r="M13" s="1035"/>
      <c r="N13" s="1035"/>
      <c r="O13" s="1035"/>
      <c r="P13" s="1035"/>
      <c r="Q13" s="1035"/>
      <c r="R13" s="1035"/>
      <c r="S13" s="1035"/>
      <c r="T13" s="1035"/>
      <c r="U13" s="1035"/>
      <c r="V13" s="1035"/>
      <c r="W13" s="1035"/>
      <c r="X13" s="1035"/>
      <c r="Y13" s="1035"/>
      <c r="Z13" s="1035"/>
      <c r="AA13" s="1035"/>
      <c r="AB13" s="1035"/>
      <c r="AC13" s="1035"/>
      <c r="AD13" s="1036"/>
      <c r="AE13" s="1036"/>
      <c r="AF13" s="1036"/>
      <c r="AG13" s="1036"/>
      <c r="AH13" s="1036"/>
      <c r="AI13" s="1036"/>
      <c r="AJ13" s="1036"/>
      <c r="AK13" s="1036"/>
      <c r="AL13" s="1036"/>
      <c r="AM13" s="1033"/>
    </row>
    <row r="14" spans="1:39" ht="15" customHeight="1">
      <c r="A14" s="1033"/>
      <c r="B14" s="1033"/>
      <c r="C14" s="1033"/>
      <c r="D14" s="1033"/>
      <c r="E14" s="1033"/>
      <c r="F14" s="1033"/>
      <c r="G14" s="1033"/>
      <c r="H14" s="1033"/>
      <c r="I14" s="1033"/>
      <c r="J14" s="1033"/>
      <c r="K14" s="1033"/>
      <c r="L14" s="1003" t="s">
        <v>355</v>
      </c>
      <c r="M14" s="1004" t="s">
        <v>212</v>
      </c>
      <c r="N14" s="1003" t="s">
        <v>135</v>
      </c>
      <c r="O14" s="938" t="s">
        <v>3020</v>
      </c>
      <c r="P14" s="938" t="s">
        <v>3020</v>
      </c>
      <c r="Q14" s="938" t="s">
        <v>3020</v>
      </c>
      <c r="R14" s="939" t="s">
        <v>3021</v>
      </c>
      <c r="S14" s="940" t="s">
        <v>3022</v>
      </c>
      <c r="T14" s="940" t="s">
        <v>3060</v>
      </c>
      <c r="U14" s="940" t="s">
        <v>3061</v>
      </c>
      <c r="V14" s="940" t="s">
        <v>3062</v>
      </c>
      <c r="W14" s="940" t="s">
        <v>3063</v>
      </c>
      <c r="X14" s="940" t="s">
        <v>3064</v>
      </c>
      <c r="Y14" s="940" t="s">
        <v>3065</v>
      </c>
      <c r="Z14" s="940" t="s">
        <v>3066</v>
      </c>
      <c r="AA14" s="940" t="s">
        <v>3067</v>
      </c>
      <c r="AB14" s="940" t="s">
        <v>3068</v>
      </c>
      <c r="AC14" s="940" t="s">
        <v>3022</v>
      </c>
      <c r="AD14" s="940" t="s">
        <v>3060</v>
      </c>
      <c r="AE14" s="940" t="s">
        <v>3061</v>
      </c>
      <c r="AF14" s="940" t="s">
        <v>3062</v>
      </c>
      <c r="AG14" s="940" t="s">
        <v>3063</v>
      </c>
      <c r="AH14" s="940" t="s">
        <v>3064</v>
      </c>
      <c r="AI14" s="940" t="s">
        <v>3065</v>
      </c>
      <c r="AJ14" s="940" t="s">
        <v>3066</v>
      </c>
      <c r="AK14" s="940" t="s">
        <v>3067</v>
      </c>
      <c r="AL14" s="940" t="s">
        <v>3068</v>
      </c>
      <c r="AM14" s="936" t="s">
        <v>304</v>
      </c>
    </row>
    <row r="15" spans="1:39" ht="50.1" customHeight="1">
      <c r="A15" s="1033"/>
      <c r="B15" s="1033"/>
      <c r="C15" s="1033"/>
      <c r="D15" s="1033"/>
      <c r="E15" s="1033"/>
      <c r="F15" s="1033"/>
      <c r="G15" s="1033"/>
      <c r="H15" s="1033"/>
      <c r="I15" s="1033"/>
      <c r="J15" s="1033"/>
      <c r="K15" s="1033"/>
      <c r="L15" s="1037"/>
      <c r="M15" s="1037"/>
      <c r="N15" s="1037"/>
      <c r="O15" s="940" t="s">
        <v>267</v>
      </c>
      <c r="P15" s="940" t="s">
        <v>305</v>
      </c>
      <c r="Q15" s="940" t="s">
        <v>285</v>
      </c>
      <c r="R15" s="940" t="s">
        <v>267</v>
      </c>
      <c r="S15" s="943" t="s">
        <v>268</v>
      </c>
      <c r="T15" s="943" t="s">
        <v>268</v>
      </c>
      <c r="U15" s="943" t="s">
        <v>268</v>
      </c>
      <c r="V15" s="943" t="s">
        <v>268</v>
      </c>
      <c r="W15" s="943" t="s">
        <v>268</v>
      </c>
      <c r="X15" s="943" t="s">
        <v>268</v>
      </c>
      <c r="Y15" s="943" t="s">
        <v>268</v>
      </c>
      <c r="Z15" s="943" t="s">
        <v>268</v>
      </c>
      <c r="AA15" s="943" t="s">
        <v>268</v>
      </c>
      <c r="AB15" s="943" t="s">
        <v>268</v>
      </c>
      <c r="AC15" s="943" t="s">
        <v>267</v>
      </c>
      <c r="AD15" s="943" t="s">
        <v>267</v>
      </c>
      <c r="AE15" s="943" t="s">
        <v>267</v>
      </c>
      <c r="AF15" s="943" t="s">
        <v>267</v>
      </c>
      <c r="AG15" s="943" t="s">
        <v>267</v>
      </c>
      <c r="AH15" s="943" t="s">
        <v>267</v>
      </c>
      <c r="AI15" s="943" t="s">
        <v>267</v>
      </c>
      <c r="AJ15" s="943" t="s">
        <v>267</v>
      </c>
      <c r="AK15" s="943" t="s">
        <v>267</v>
      </c>
      <c r="AL15" s="943" t="s">
        <v>267</v>
      </c>
      <c r="AM15" s="1037"/>
    </row>
    <row r="16" spans="1:39" ht="11.25">
      <c r="A16" s="944" t="s">
        <v>18</v>
      </c>
      <c r="B16" s="1033" t="s">
        <v>1194</v>
      </c>
      <c r="C16" s="1033"/>
      <c r="D16" s="1033"/>
      <c r="E16" s="1033"/>
      <c r="F16" s="1033"/>
      <c r="G16" s="1033"/>
      <c r="H16" s="1033"/>
      <c r="I16" s="1033"/>
      <c r="J16" s="1033"/>
      <c r="K16" s="1033"/>
      <c r="L16" s="1007" t="s">
        <v>3018</v>
      </c>
      <c r="M16" s="839"/>
      <c r="N16" s="839"/>
      <c r="O16" s="1038">
        <v>0</v>
      </c>
      <c r="P16" s="1038">
        <v>0</v>
      </c>
      <c r="Q16" s="1038">
        <v>0</v>
      </c>
      <c r="R16" s="1038">
        <v>0</v>
      </c>
      <c r="S16" s="1038">
        <v>0</v>
      </c>
      <c r="T16" s="1038">
        <v>0</v>
      </c>
      <c r="U16" s="1038">
        <v>0</v>
      </c>
      <c r="V16" s="1038">
        <v>0</v>
      </c>
      <c r="W16" s="1038">
        <v>0</v>
      </c>
      <c r="X16" s="1038">
        <v>0</v>
      </c>
      <c r="Y16" s="1038">
        <v>0</v>
      </c>
      <c r="Z16" s="1038">
        <v>0</v>
      </c>
      <c r="AA16" s="1038">
        <v>0</v>
      </c>
      <c r="AB16" s="1038">
        <v>0</v>
      </c>
      <c r="AC16" s="1038">
        <v>0</v>
      </c>
      <c r="AD16" s="1038">
        <v>0</v>
      </c>
      <c r="AE16" s="1038">
        <v>0</v>
      </c>
      <c r="AF16" s="1038">
        <v>0</v>
      </c>
      <c r="AG16" s="1038">
        <v>0</v>
      </c>
      <c r="AH16" s="1038">
        <v>0</v>
      </c>
      <c r="AI16" s="1038">
        <v>0</v>
      </c>
      <c r="AJ16" s="1038">
        <v>0</v>
      </c>
      <c r="AK16" s="1038">
        <v>0</v>
      </c>
      <c r="AL16" s="1038">
        <v>0</v>
      </c>
      <c r="AM16" s="1039"/>
    </row>
    <row r="17" spans="1:39" ht="11.25">
      <c r="A17" s="982">
        <v>1</v>
      </c>
      <c r="B17" s="1033" t="s">
        <v>1480</v>
      </c>
      <c r="C17" s="1033"/>
      <c r="D17" s="1033"/>
      <c r="E17" s="1033"/>
      <c r="F17" s="1033"/>
      <c r="G17" s="1033"/>
      <c r="H17" s="1033"/>
      <c r="I17" s="1033"/>
      <c r="J17" s="1033"/>
      <c r="K17" s="1033"/>
      <c r="L17" s="1010">
        <v>1</v>
      </c>
      <c r="M17" s="1040" t="s">
        <v>401</v>
      </c>
      <c r="N17" s="213" t="s">
        <v>351</v>
      </c>
      <c r="O17" s="1011">
        <v>0</v>
      </c>
      <c r="P17" s="1011">
        <v>0</v>
      </c>
      <c r="Q17" s="1011">
        <v>0</v>
      </c>
      <c r="R17" s="1011">
        <v>0</v>
      </c>
      <c r="S17" s="1011">
        <v>0</v>
      </c>
      <c r="T17" s="1041">
        <v>0</v>
      </c>
      <c r="U17" s="1041">
        <v>0</v>
      </c>
      <c r="V17" s="1041">
        <v>0</v>
      </c>
      <c r="W17" s="1041">
        <v>0</v>
      </c>
      <c r="X17" s="1041">
        <v>0</v>
      </c>
      <c r="Y17" s="1041">
        <v>0</v>
      </c>
      <c r="Z17" s="1041">
        <v>0</v>
      </c>
      <c r="AA17" s="1041">
        <v>0</v>
      </c>
      <c r="AB17" s="1041">
        <v>0</v>
      </c>
      <c r="AC17" s="1011">
        <v>0</v>
      </c>
      <c r="AD17" s="1041">
        <v>0</v>
      </c>
      <c r="AE17" s="1041">
        <v>0</v>
      </c>
      <c r="AF17" s="1041">
        <v>0</v>
      </c>
      <c r="AG17" s="1041">
        <v>0</v>
      </c>
      <c r="AH17" s="1041">
        <v>0</v>
      </c>
      <c r="AI17" s="1041">
        <v>0</v>
      </c>
      <c r="AJ17" s="1041">
        <v>0</v>
      </c>
      <c r="AK17" s="1041">
        <v>0</v>
      </c>
      <c r="AL17" s="1041">
        <v>0</v>
      </c>
      <c r="AM17" s="951"/>
    </row>
    <row r="18" spans="1:39" ht="0.2" customHeight="1">
      <c r="A18" s="982">
        <v>1</v>
      </c>
      <c r="B18" s="1033"/>
      <c r="C18" s="1033"/>
      <c r="D18" s="1033"/>
      <c r="E18" s="1033"/>
      <c r="F18" s="1033"/>
      <c r="G18" s="1033"/>
      <c r="H18" s="1033"/>
      <c r="I18" s="1033"/>
      <c r="J18" s="1042" t="s">
        <v>1041</v>
      </c>
      <c r="K18" s="1033"/>
      <c r="L18" s="1010"/>
      <c r="M18" s="1040"/>
      <c r="N18" s="213"/>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32"/>
    </row>
    <row r="19" spans="1:39" ht="11.25">
      <c r="A19" s="982">
        <v>1</v>
      </c>
      <c r="B19" s="1033" t="s">
        <v>1481</v>
      </c>
      <c r="C19" s="1033"/>
      <c r="D19" s="1033"/>
      <c r="E19" s="1033"/>
      <c r="F19" s="1033"/>
      <c r="G19" s="1033"/>
      <c r="H19" s="1033"/>
      <c r="I19" s="1033"/>
      <c r="J19" s="1033"/>
      <c r="K19" s="1033"/>
      <c r="L19" s="1010">
        <v>2</v>
      </c>
      <c r="M19" s="1040" t="s">
        <v>403</v>
      </c>
      <c r="N19" s="213" t="s">
        <v>351</v>
      </c>
      <c r="O19" s="1011">
        <v>0</v>
      </c>
      <c r="P19" s="1011">
        <v>0</v>
      </c>
      <c r="Q19" s="1011">
        <v>0</v>
      </c>
      <c r="R19" s="1011">
        <v>0</v>
      </c>
      <c r="S19" s="1011">
        <v>0</v>
      </c>
      <c r="T19" s="1041">
        <v>0</v>
      </c>
      <c r="U19" s="1041">
        <v>0</v>
      </c>
      <c r="V19" s="1041">
        <v>0</v>
      </c>
      <c r="W19" s="1041">
        <v>0</v>
      </c>
      <c r="X19" s="1041">
        <v>0</v>
      </c>
      <c r="Y19" s="1041">
        <v>0</v>
      </c>
      <c r="Z19" s="1041">
        <v>0</v>
      </c>
      <c r="AA19" s="1041">
        <v>0</v>
      </c>
      <c r="AB19" s="1041">
        <v>0</v>
      </c>
      <c r="AC19" s="1011">
        <v>0</v>
      </c>
      <c r="AD19" s="1041">
        <v>0</v>
      </c>
      <c r="AE19" s="1041">
        <v>0</v>
      </c>
      <c r="AF19" s="1041">
        <v>0</v>
      </c>
      <c r="AG19" s="1041">
        <v>0</v>
      </c>
      <c r="AH19" s="1041">
        <v>0</v>
      </c>
      <c r="AI19" s="1041">
        <v>0</v>
      </c>
      <c r="AJ19" s="1041">
        <v>0</v>
      </c>
      <c r="AK19" s="1041">
        <v>0</v>
      </c>
      <c r="AL19" s="1041">
        <v>0</v>
      </c>
      <c r="AM19" s="951"/>
    </row>
    <row r="20" spans="1:39" ht="0.2" customHeight="1">
      <c r="A20" s="982">
        <v>1</v>
      </c>
      <c r="B20" s="1033"/>
      <c r="C20" s="1033"/>
      <c r="D20" s="1033"/>
      <c r="E20" s="1033"/>
      <c r="F20" s="1033"/>
      <c r="G20" s="1033"/>
      <c r="H20" s="1033"/>
      <c r="I20" s="1033"/>
      <c r="J20" s="1042" t="s">
        <v>1042</v>
      </c>
      <c r="K20" s="1033"/>
      <c r="L20" s="1010"/>
      <c r="M20" s="1040"/>
      <c r="N20" s="213"/>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32"/>
    </row>
    <row r="21" spans="1:39" ht="11.25">
      <c r="A21" s="982">
        <v>1</v>
      </c>
      <c r="B21" s="1033" t="s">
        <v>1483</v>
      </c>
      <c r="C21" s="1033"/>
      <c r="D21" s="1033"/>
      <c r="E21" s="1033"/>
      <c r="F21" s="1033"/>
      <c r="G21" s="1033"/>
      <c r="H21" s="1033"/>
      <c r="I21" s="1033"/>
      <c r="J21" s="1033"/>
      <c r="K21" s="1033"/>
      <c r="L21" s="1010">
        <v>3</v>
      </c>
      <c r="M21" s="1040" t="s">
        <v>405</v>
      </c>
      <c r="N21" s="213" t="s">
        <v>351</v>
      </c>
      <c r="O21" s="1011">
        <v>0</v>
      </c>
      <c r="P21" s="1011">
        <v>0</v>
      </c>
      <c r="Q21" s="1011">
        <v>0</v>
      </c>
      <c r="R21" s="1011">
        <v>0</v>
      </c>
      <c r="S21" s="1011">
        <v>0</v>
      </c>
      <c r="T21" s="1041">
        <v>0</v>
      </c>
      <c r="U21" s="1041">
        <v>0</v>
      </c>
      <c r="V21" s="1041">
        <v>0</v>
      </c>
      <c r="W21" s="1041">
        <v>0</v>
      </c>
      <c r="X21" s="1041">
        <v>0</v>
      </c>
      <c r="Y21" s="1041">
        <v>0</v>
      </c>
      <c r="Z21" s="1041">
        <v>0</v>
      </c>
      <c r="AA21" s="1041">
        <v>0</v>
      </c>
      <c r="AB21" s="1041">
        <v>0</v>
      </c>
      <c r="AC21" s="1011">
        <v>0</v>
      </c>
      <c r="AD21" s="1041">
        <v>0</v>
      </c>
      <c r="AE21" s="1041">
        <v>0</v>
      </c>
      <c r="AF21" s="1041">
        <v>0</v>
      </c>
      <c r="AG21" s="1041">
        <v>0</v>
      </c>
      <c r="AH21" s="1041">
        <v>0</v>
      </c>
      <c r="AI21" s="1041">
        <v>0</v>
      </c>
      <c r="AJ21" s="1041">
        <v>0</v>
      </c>
      <c r="AK21" s="1041">
        <v>0</v>
      </c>
      <c r="AL21" s="1041">
        <v>0</v>
      </c>
      <c r="AM21" s="951"/>
    </row>
    <row r="22" spans="1:39" ht="0.2" customHeight="1">
      <c r="A22" s="982">
        <v>1</v>
      </c>
      <c r="B22" s="1033"/>
      <c r="C22" s="1033"/>
      <c r="D22" s="1033"/>
      <c r="E22" s="1033"/>
      <c r="F22" s="1033"/>
      <c r="G22" s="1033"/>
      <c r="H22" s="1033"/>
      <c r="I22" s="1033"/>
      <c r="J22" s="1042" t="s">
        <v>1043</v>
      </c>
      <c r="K22" s="1033"/>
      <c r="L22" s="1010"/>
      <c r="M22" s="1040"/>
      <c r="N22" s="213"/>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32"/>
    </row>
    <row r="23" spans="1:39" ht="11.25">
      <c r="A23" s="982">
        <v>1</v>
      </c>
      <c r="B23" s="1033" t="s">
        <v>1484</v>
      </c>
      <c r="C23" s="1033"/>
      <c r="D23" s="1033"/>
      <c r="E23" s="1033"/>
      <c r="F23" s="1033"/>
      <c r="G23" s="1033"/>
      <c r="H23" s="1033"/>
      <c r="I23" s="1033"/>
      <c r="J23" s="1033"/>
      <c r="K23" s="1033"/>
      <c r="L23" s="1010">
        <v>4</v>
      </c>
      <c r="M23" s="1040" t="s">
        <v>406</v>
      </c>
      <c r="N23" s="213" t="s">
        <v>351</v>
      </c>
      <c r="O23" s="1011">
        <v>0</v>
      </c>
      <c r="P23" s="1011">
        <v>0</v>
      </c>
      <c r="Q23" s="1011">
        <v>0</v>
      </c>
      <c r="R23" s="1011">
        <v>0</v>
      </c>
      <c r="S23" s="1011">
        <v>0</v>
      </c>
      <c r="T23" s="1041">
        <v>0</v>
      </c>
      <c r="U23" s="1041">
        <v>0</v>
      </c>
      <c r="V23" s="1041">
        <v>0</v>
      </c>
      <c r="W23" s="1041">
        <v>0</v>
      </c>
      <c r="X23" s="1041">
        <v>0</v>
      </c>
      <c r="Y23" s="1041">
        <v>0</v>
      </c>
      <c r="Z23" s="1041">
        <v>0</v>
      </c>
      <c r="AA23" s="1041">
        <v>0</v>
      </c>
      <c r="AB23" s="1041">
        <v>0</v>
      </c>
      <c r="AC23" s="1011">
        <v>0</v>
      </c>
      <c r="AD23" s="1041">
        <v>0</v>
      </c>
      <c r="AE23" s="1041">
        <v>0</v>
      </c>
      <c r="AF23" s="1041">
        <v>0</v>
      </c>
      <c r="AG23" s="1041">
        <v>0</v>
      </c>
      <c r="AH23" s="1041">
        <v>0</v>
      </c>
      <c r="AI23" s="1041">
        <v>0</v>
      </c>
      <c r="AJ23" s="1041">
        <v>0</v>
      </c>
      <c r="AK23" s="1041">
        <v>0</v>
      </c>
      <c r="AL23" s="1041">
        <v>0</v>
      </c>
      <c r="AM23" s="951"/>
    </row>
    <row r="24" spans="1:39" ht="0.2" customHeight="1">
      <c r="A24" s="982">
        <v>1</v>
      </c>
      <c r="B24" s="1033"/>
      <c r="C24" s="1033"/>
      <c r="D24" s="1033"/>
      <c r="E24" s="1033"/>
      <c r="F24" s="1033"/>
      <c r="G24" s="1033"/>
      <c r="H24" s="1033"/>
      <c r="I24" s="1033"/>
      <c r="J24" s="1042" t="s">
        <v>1044</v>
      </c>
      <c r="K24" s="1033"/>
      <c r="L24" s="1010"/>
      <c r="M24" s="1040"/>
      <c r="N24" s="213"/>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32"/>
    </row>
    <row r="25" spans="1:39" ht="11.25">
      <c r="A25" s="982">
        <v>1</v>
      </c>
      <c r="B25" s="1033" t="s">
        <v>1485</v>
      </c>
      <c r="C25" s="1033"/>
      <c r="D25" s="1033"/>
      <c r="E25" s="1033"/>
      <c r="F25" s="1033"/>
      <c r="G25" s="1033"/>
      <c r="H25" s="1033"/>
      <c r="I25" s="1033"/>
      <c r="J25" s="1033"/>
      <c r="K25" s="1033"/>
      <c r="L25" s="1010">
        <v>5</v>
      </c>
      <c r="M25" s="1040" t="s">
        <v>1276</v>
      </c>
      <c r="N25" s="213" t="s">
        <v>351</v>
      </c>
      <c r="O25" s="1011">
        <v>0</v>
      </c>
      <c r="P25" s="1011">
        <v>0</v>
      </c>
      <c r="Q25" s="1011">
        <v>0</v>
      </c>
      <c r="R25" s="1011">
        <v>0</v>
      </c>
      <c r="S25" s="1011">
        <v>0</v>
      </c>
      <c r="T25" s="1041">
        <v>0</v>
      </c>
      <c r="U25" s="1041">
        <v>0</v>
      </c>
      <c r="V25" s="1041">
        <v>0</v>
      </c>
      <c r="W25" s="1041">
        <v>0</v>
      </c>
      <c r="X25" s="1041">
        <v>0</v>
      </c>
      <c r="Y25" s="1041">
        <v>0</v>
      </c>
      <c r="Z25" s="1041">
        <v>0</v>
      </c>
      <c r="AA25" s="1041">
        <v>0</v>
      </c>
      <c r="AB25" s="1041">
        <v>0</v>
      </c>
      <c r="AC25" s="1011">
        <v>0</v>
      </c>
      <c r="AD25" s="1041">
        <v>0</v>
      </c>
      <c r="AE25" s="1041">
        <v>0</v>
      </c>
      <c r="AF25" s="1041">
        <v>0</v>
      </c>
      <c r="AG25" s="1041">
        <v>0</v>
      </c>
      <c r="AH25" s="1041">
        <v>0</v>
      </c>
      <c r="AI25" s="1041">
        <v>0</v>
      </c>
      <c r="AJ25" s="1041">
        <v>0</v>
      </c>
      <c r="AK25" s="1041">
        <v>0</v>
      </c>
      <c r="AL25" s="1041">
        <v>0</v>
      </c>
      <c r="AM25" s="951"/>
    </row>
    <row r="26" spans="1:39" ht="0.2" customHeight="1">
      <c r="A26" s="982">
        <v>1</v>
      </c>
      <c r="B26" s="1033"/>
      <c r="C26" s="1033"/>
      <c r="D26" s="1033"/>
      <c r="E26" s="1033"/>
      <c r="F26" s="1033"/>
      <c r="G26" s="1033"/>
      <c r="H26" s="1033"/>
      <c r="I26" s="1033"/>
      <c r="J26" s="1042" t="s">
        <v>1291</v>
      </c>
      <c r="K26" s="1033"/>
      <c r="L26" s="1010"/>
      <c r="M26" s="1040"/>
      <c r="N26" s="213"/>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32"/>
    </row>
    <row r="27" spans="1:39" s="97" customFormat="1" ht="11.25">
      <c r="A27" s="982">
        <v>1</v>
      </c>
      <c r="B27" s="1033" t="s">
        <v>1486</v>
      </c>
      <c r="C27" s="1034"/>
      <c r="D27" s="1034"/>
      <c r="E27" s="1034"/>
      <c r="F27" s="1034"/>
      <c r="G27" s="1034"/>
      <c r="H27" s="1034"/>
      <c r="I27" s="1034"/>
      <c r="J27" s="1034"/>
      <c r="K27" s="1034"/>
      <c r="L27" s="1010">
        <v>6</v>
      </c>
      <c r="M27" s="1040" t="s">
        <v>407</v>
      </c>
      <c r="N27" s="213" t="s">
        <v>351</v>
      </c>
      <c r="O27" s="1041"/>
      <c r="P27" s="1041"/>
      <c r="Q27" s="1041"/>
      <c r="R27" s="1041"/>
      <c r="S27" s="1041"/>
      <c r="T27" s="1041"/>
      <c r="U27" s="1041"/>
      <c r="V27" s="1041"/>
      <c r="W27" s="1041"/>
      <c r="X27" s="1041"/>
      <c r="Y27" s="1041"/>
      <c r="Z27" s="1041"/>
      <c r="AA27" s="1041"/>
      <c r="AB27" s="1041"/>
      <c r="AC27" s="1041"/>
      <c r="AD27" s="1041"/>
      <c r="AE27" s="1041"/>
      <c r="AF27" s="1041"/>
      <c r="AG27" s="1041"/>
      <c r="AH27" s="1041"/>
      <c r="AI27" s="1041"/>
      <c r="AJ27" s="1041"/>
      <c r="AK27" s="1041"/>
      <c r="AL27" s="1041"/>
      <c r="AM27" s="951"/>
    </row>
    <row r="28" spans="1:39" s="97" customFormat="1" ht="11.25">
      <c r="A28" s="982">
        <v>1</v>
      </c>
      <c r="B28" s="1033" t="s">
        <v>1487</v>
      </c>
      <c r="C28" s="1034"/>
      <c r="D28" s="1034"/>
      <c r="E28" s="1034"/>
      <c r="F28" s="1034"/>
      <c r="G28" s="1034"/>
      <c r="H28" s="1034"/>
      <c r="I28" s="1034"/>
      <c r="J28" s="1034"/>
      <c r="K28" s="1034"/>
      <c r="L28" s="1010">
        <v>7</v>
      </c>
      <c r="M28" s="1040" t="s">
        <v>408</v>
      </c>
      <c r="N28" s="213" t="s">
        <v>351</v>
      </c>
      <c r="O28" s="1041"/>
      <c r="P28" s="1041"/>
      <c r="Q28" s="1041"/>
      <c r="R28" s="1041"/>
      <c r="S28" s="1041"/>
      <c r="T28" s="1041"/>
      <c r="U28" s="1041"/>
      <c r="V28" s="1041"/>
      <c r="W28" s="1041"/>
      <c r="X28" s="1041"/>
      <c r="Y28" s="1041"/>
      <c r="Z28" s="1041"/>
      <c r="AA28" s="1041"/>
      <c r="AB28" s="1041"/>
      <c r="AC28" s="1041"/>
      <c r="AD28" s="1041"/>
      <c r="AE28" s="1041"/>
      <c r="AF28" s="1041"/>
      <c r="AG28" s="1041"/>
      <c r="AH28" s="1041"/>
      <c r="AI28" s="1041"/>
      <c r="AJ28" s="1041"/>
      <c r="AK28" s="1041"/>
      <c r="AL28" s="1041"/>
      <c r="AM28" s="951"/>
    </row>
    <row r="29" spans="1:39" s="97" customFormat="1" ht="11.25">
      <c r="A29" s="982">
        <v>1</v>
      </c>
      <c r="B29" s="1033" t="s">
        <v>1494</v>
      </c>
      <c r="C29" s="1034"/>
      <c r="D29" s="1034"/>
      <c r="E29" s="1034"/>
      <c r="F29" s="1034"/>
      <c r="G29" s="1034"/>
      <c r="H29" s="1034"/>
      <c r="I29" s="1034"/>
      <c r="J29" s="1034"/>
      <c r="K29" s="1034"/>
      <c r="L29" s="1010">
        <v>8</v>
      </c>
      <c r="M29" s="1040" t="s">
        <v>409</v>
      </c>
      <c r="N29" s="213" t="s">
        <v>351</v>
      </c>
      <c r="O29" s="1041"/>
      <c r="P29" s="1041"/>
      <c r="Q29" s="1041"/>
      <c r="R29" s="1041"/>
      <c r="S29" s="1041"/>
      <c r="T29" s="1041"/>
      <c r="U29" s="1041"/>
      <c r="V29" s="1041"/>
      <c r="W29" s="1041"/>
      <c r="X29" s="1041"/>
      <c r="Y29" s="1041"/>
      <c r="Z29" s="1041"/>
      <c r="AA29" s="1041"/>
      <c r="AB29" s="1041"/>
      <c r="AC29" s="1041"/>
      <c r="AD29" s="1041"/>
      <c r="AE29" s="1041"/>
      <c r="AF29" s="1041"/>
      <c r="AG29" s="1041"/>
      <c r="AH29" s="1041"/>
      <c r="AI29" s="1041"/>
      <c r="AJ29" s="1041"/>
      <c r="AK29" s="1041"/>
      <c r="AL29" s="1041"/>
      <c r="AM29" s="951"/>
    </row>
    <row r="30" spans="1:39" ht="11.25">
      <c r="A30" s="1033"/>
      <c r="B30" s="1033"/>
      <c r="C30" s="1033"/>
      <c r="D30" s="1033"/>
      <c r="E30" s="1033"/>
      <c r="F30" s="1033"/>
      <c r="G30" s="1033"/>
      <c r="H30" s="1033"/>
      <c r="I30" s="1033"/>
      <c r="J30" s="1033"/>
      <c r="K30" s="1033"/>
      <c r="L30" s="998"/>
      <c r="M30" s="997"/>
      <c r="N30" s="997"/>
      <c r="O30" s="997"/>
      <c r="P30" s="997"/>
      <c r="Q30" s="997"/>
      <c r="R30" s="997"/>
      <c r="S30" s="997"/>
      <c r="T30" s="997"/>
      <c r="U30" s="997"/>
      <c r="V30" s="997"/>
      <c r="W30" s="997"/>
      <c r="X30" s="997"/>
      <c r="Y30" s="997"/>
      <c r="Z30" s="997"/>
      <c r="AA30" s="997"/>
      <c r="AB30" s="997"/>
      <c r="AC30" s="997"/>
      <c r="AD30" s="997"/>
      <c r="AE30" s="997"/>
      <c r="AF30" s="997"/>
      <c r="AG30" s="997"/>
      <c r="AH30" s="997"/>
      <c r="AI30" s="997"/>
      <c r="AJ30" s="997"/>
      <c r="AK30" s="997"/>
      <c r="AL30" s="997"/>
      <c r="AM30" s="997"/>
    </row>
    <row r="31" spans="1:39" s="86" customFormat="1" ht="15" customHeight="1">
      <c r="A31" s="934"/>
      <c r="B31" s="934"/>
      <c r="C31" s="934"/>
      <c r="D31" s="934"/>
      <c r="E31" s="934"/>
      <c r="F31" s="934"/>
      <c r="G31" s="934"/>
      <c r="H31" s="934"/>
      <c r="I31" s="934"/>
      <c r="J31" s="934"/>
      <c r="K31" s="934"/>
      <c r="L31" s="966" t="s">
        <v>1425</v>
      </c>
      <c r="M31" s="966"/>
      <c r="N31" s="966"/>
      <c r="O31" s="966"/>
      <c r="P31" s="966"/>
      <c r="Q31" s="966"/>
      <c r="R31" s="966"/>
      <c r="S31" s="979"/>
      <c r="T31" s="979"/>
      <c r="U31" s="979"/>
      <c r="V31" s="979"/>
      <c r="W31" s="979"/>
      <c r="X31" s="979"/>
      <c r="Y31" s="979"/>
      <c r="Z31" s="979"/>
      <c r="AA31" s="979"/>
      <c r="AB31" s="979"/>
      <c r="AC31" s="979"/>
      <c r="AD31" s="979"/>
      <c r="AE31" s="979"/>
      <c r="AF31" s="979"/>
      <c r="AG31" s="979"/>
      <c r="AH31" s="979"/>
      <c r="AI31" s="979"/>
      <c r="AJ31" s="979"/>
      <c r="AK31" s="979"/>
      <c r="AL31" s="979"/>
      <c r="AM31" s="979"/>
    </row>
    <row r="32" spans="1:39" s="86" customFormat="1" ht="15" customHeight="1">
      <c r="A32" s="934"/>
      <c r="B32" s="934"/>
      <c r="C32" s="934"/>
      <c r="D32" s="934"/>
      <c r="E32" s="934"/>
      <c r="F32" s="934"/>
      <c r="G32" s="934"/>
      <c r="H32" s="934"/>
      <c r="I32" s="934"/>
      <c r="J32" s="934"/>
      <c r="K32" s="807"/>
      <c r="L32" s="980"/>
      <c r="M32" s="980"/>
      <c r="N32" s="980"/>
      <c r="O32" s="980"/>
      <c r="P32" s="980"/>
      <c r="Q32" s="980"/>
      <c r="R32" s="980"/>
      <c r="S32" s="981"/>
      <c r="T32" s="981"/>
      <c r="U32" s="981"/>
      <c r="V32" s="981"/>
      <c r="W32" s="981"/>
      <c r="X32" s="981"/>
      <c r="Y32" s="981"/>
      <c r="Z32" s="981"/>
      <c r="AA32" s="981"/>
      <c r="AB32" s="981"/>
      <c r="AC32" s="981"/>
      <c r="AD32" s="981"/>
      <c r="AE32" s="981"/>
      <c r="AF32" s="981"/>
      <c r="AG32" s="981"/>
      <c r="AH32" s="981"/>
      <c r="AI32" s="981"/>
      <c r="AJ32" s="981"/>
      <c r="AK32" s="981"/>
      <c r="AL32" s="981"/>
      <c r="AM32" s="981"/>
    </row>
    <row r="33" spans="1:39">
      <c r="A33" s="1033"/>
      <c r="B33" s="1033"/>
      <c r="C33" s="1033"/>
      <c r="D33" s="1033"/>
      <c r="E33" s="1033"/>
      <c r="F33" s="1033"/>
      <c r="G33" s="1033"/>
      <c r="H33" s="1033"/>
      <c r="I33" s="1033"/>
      <c r="J33" s="1033"/>
      <c r="K33" s="1033"/>
      <c r="L33" s="1033"/>
      <c r="M33" s="1033"/>
      <c r="N33" s="1033"/>
      <c r="O33" s="1033"/>
      <c r="P33" s="1033"/>
      <c r="Q33" s="1033"/>
      <c r="R33" s="1033"/>
      <c r="S33" s="1033"/>
      <c r="T33" s="1033"/>
      <c r="U33" s="1033"/>
      <c r="V33" s="1033"/>
      <c r="W33" s="1033"/>
      <c r="X33" s="1033"/>
      <c r="Y33" s="1033"/>
      <c r="Z33" s="1033"/>
      <c r="AA33" s="1033"/>
      <c r="AB33" s="1033"/>
      <c r="AC33" s="1033"/>
      <c r="AD33" s="1033"/>
      <c r="AE33" s="1033"/>
      <c r="AF33" s="1033"/>
      <c r="AG33" s="1033"/>
      <c r="AH33" s="1033"/>
      <c r="AI33" s="1033"/>
      <c r="AJ33" s="1033"/>
      <c r="AK33" s="1033"/>
      <c r="AL33" s="1033"/>
      <c r="AM33" s="1033"/>
    </row>
    <row r="34" spans="1:39">
      <c r="A34" s="1033"/>
      <c r="B34" s="1033"/>
      <c r="C34" s="1033"/>
      <c r="D34" s="1033"/>
      <c r="E34" s="1033"/>
      <c r="F34" s="1033"/>
      <c r="G34" s="1033"/>
      <c r="H34" s="1033"/>
      <c r="I34" s="1033"/>
      <c r="J34" s="1033"/>
      <c r="K34" s="1033"/>
      <c r="L34" s="1033"/>
      <c r="M34" s="1033"/>
      <c r="N34" s="1033"/>
      <c r="O34" s="1033"/>
      <c r="P34" s="1033"/>
      <c r="Q34" s="1033"/>
      <c r="R34" s="1033"/>
      <c r="S34" s="1033"/>
      <c r="T34" s="1033"/>
      <c r="U34" s="1033"/>
      <c r="V34" s="1033"/>
      <c r="W34" s="1033"/>
      <c r="X34" s="1033"/>
      <c r="Y34" s="1033"/>
      <c r="Z34" s="1033"/>
      <c r="AA34" s="1033"/>
      <c r="AB34" s="1033"/>
      <c r="AC34" s="1033"/>
      <c r="AD34" s="1033"/>
      <c r="AE34" s="1033"/>
      <c r="AF34" s="1033"/>
      <c r="AG34" s="1033"/>
      <c r="AH34" s="1033"/>
      <c r="AI34" s="1033"/>
      <c r="AJ34" s="1033"/>
      <c r="AK34" s="1033"/>
      <c r="AL34" s="1033"/>
      <c r="AM34" s="1033"/>
    </row>
    <row r="35" spans="1:39">
      <c r="A35" s="1033"/>
      <c r="B35" s="1033"/>
      <c r="C35" s="1033"/>
      <c r="D35" s="1033"/>
      <c r="E35" s="1033"/>
      <c r="F35" s="1033"/>
      <c r="G35" s="1033"/>
      <c r="H35" s="1033"/>
      <c r="I35" s="1033"/>
      <c r="J35" s="1033"/>
      <c r="K35" s="1033"/>
      <c r="L35" s="1033"/>
      <c r="M35" s="1033"/>
      <c r="N35" s="1033"/>
      <c r="O35" s="1033"/>
      <c r="P35" s="1033"/>
      <c r="Q35" s="1033"/>
      <c r="R35" s="1033"/>
      <c r="S35" s="1033"/>
      <c r="T35" s="1033"/>
      <c r="U35" s="1033"/>
      <c r="V35" s="1033"/>
      <c r="W35" s="1033"/>
      <c r="X35" s="1033"/>
      <c r="Y35" s="1033"/>
      <c r="Z35" s="1033"/>
      <c r="AA35" s="1033"/>
      <c r="AB35" s="1033"/>
      <c r="AC35" s="1033"/>
      <c r="AD35" s="1033"/>
      <c r="AE35" s="1033"/>
      <c r="AF35" s="1033"/>
      <c r="AG35" s="1033"/>
      <c r="AH35" s="1033"/>
      <c r="AI35" s="1033"/>
      <c r="AJ35" s="1033"/>
      <c r="AK35" s="1033"/>
      <c r="AL35" s="1033"/>
      <c r="AM35" s="1033"/>
    </row>
    <row r="36" spans="1:39">
      <c r="A36" s="1033"/>
      <c r="B36" s="1033"/>
      <c r="C36" s="1033"/>
      <c r="D36" s="1033"/>
      <c r="E36" s="1033"/>
      <c r="F36" s="1033"/>
      <c r="G36" s="1033"/>
      <c r="H36" s="1033"/>
      <c r="I36" s="1033"/>
      <c r="J36" s="1033"/>
      <c r="K36" s="1033"/>
      <c r="L36" s="1033"/>
      <c r="M36" s="1033"/>
      <c r="N36" s="1033"/>
      <c r="O36" s="1033"/>
      <c r="P36" s="1033"/>
      <c r="Q36" s="1033"/>
      <c r="R36" s="1033"/>
      <c r="S36" s="1033"/>
      <c r="T36" s="1033"/>
      <c r="U36" s="1033"/>
      <c r="V36" s="1033"/>
      <c r="W36" s="1033"/>
      <c r="X36" s="1033"/>
      <c r="Y36" s="1033"/>
      <c r="Z36" s="1033"/>
      <c r="AA36" s="1033"/>
      <c r="AB36" s="1033"/>
      <c r="AC36" s="1033"/>
      <c r="AD36" s="1033"/>
      <c r="AE36" s="1033"/>
      <c r="AF36" s="1033"/>
      <c r="AG36" s="1033"/>
      <c r="AH36" s="1033"/>
      <c r="AI36" s="1033"/>
      <c r="AJ36" s="1033"/>
      <c r="AK36" s="1033"/>
      <c r="AL36" s="1033"/>
      <c r="AM36" s="1033"/>
    </row>
    <row r="37" spans="1:39">
      <c r="A37" s="1033"/>
      <c r="B37" s="1033"/>
      <c r="C37" s="1033"/>
      <c r="D37" s="1033"/>
      <c r="E37" s="1033"/>
      <c r="F37" s="1033"/>
      <c r="G37" s="1033"/>
      <c r="H37" s="1033"/>
      <c r="I37" s="1033"/>
      <c r="J37" s="1033"/>
      <c r="K37" s="1033"/>
      <c r="L37" s="1033"/>
      <c r="M37" s="1033"/>
      <c r="N37" s="1033"/>
      <c r="O37" s="1033"/>
      <c r="P37" s="1033"/>
      <c r="Q37" s="1033"/>
      <c r="R37" s="1033"/>
      <c r="S37" s="1033"/>
      <c r="T37" s="1033"/>
      <c r="U37" s="1033"/>
      <c r="V37" s="1033"/>
      <c r="W37" s="1033"/>
      <c r="X37" s="1033"/>
      <c r="Y37" s="1033"/>
      <c r="Z37" s="1033"/>
      <c r="AA37" s="1033"/>
      <c r="AB37" s="1033"/>
      <c r="AC37" s="1033"/>
      <c r="AD37" s="1033"/>
      <c r="AE37" s="1033"/>
      <c r="AF37" s="1033"/>
      <c r="AG37" s="1033"/>
      <c r="AH37" s="1033"/>
      <c r="AI37" s="1033"/>
      <c r="AJ37" s="1033"/>
      <c r="AK37" s="1033"/>
      <c r="AL37" s="1033"/>
      <c r="AM37" s="1033"/>
    </row>
    <row r="38" spans="1:39">
      <c r="A38" s="1033"/>
      <c r="B38" s="1033"/>
      <c r="C38" s="1033"/>
      <c r="D38" s="1033"/>
      <c r="E38" s="1033"/>
      <c r="F38" s="1033"/>
      <c r="G38" s="1033"/>
      <c r="H38" s="1033"/>
      <c r="I38" s="1033"/>
      <c r="J38" s="1033"/>
      <c r="K38" s="1033"/>
      <c r="L38" s="1033"/>
      <c r="M38" s="1043"/>
      <c r="N38" s="1033"/>
      <c r="O38" s="1033"/>
      <c r="P38" s="1033"/>
      <c r="Q38" s="1033"/>
      <c r="R38" s="1033"/>
      <c r="S38" s="1033"/>
      <c r="T38" s="1033"/>
      <c r="U38" s="1033"/>
      <c r="V38" s="1033"/>
      <c r="W38" s="1033"/>
      <c r="X38" s="1033"/>
      <c r="Y38" s="1033"/>
      <c r="Z38" s="1033"/>
      <c r="AA38" s="1033"/>
      <c r="AB38" s="1033"/>
      <c r="AC38" s="1033"/>
      <c r="AD38" s="1033"/>
      <c r="AE38" s="1033"/>
      <c r="AF38" s="1033"/>
      <c r="AG38" s="1033"/>
      <c r="AH38" s="1033"/>
      <c r="AI38" s="1033"/>
      <c r="AJ38" s="1033"/>
      <c r="AK38" s="1033"/>
      <c r="AL38" s="1033"/>
      <c r="AM38" s="1033"/>
    </row>
    <row r="39" spans="1:39">
      <c r="A39" s="1033"/>
      <c r="B39" s="1033"/>
      <c r="C39" s="1033"/>
      <c r="D39" s="1033"/>
      <c r="E39" s="1033"/>
      <c r="F39" s="1033"/>
      <c r="G39" s="1033"/>
      <c r="H39" s="1033"/>
      <c r="I39" s="1033"/>
      <c r="J39" s="1033"/>
      <c r="K39" s="1033"/>
      <c r="L39" s="1033"/>
      <c r="M39" s="1044"/>
      <c r="N39" s="1033"/>
      <c r="O39" s="1033"/>
      <c r="P39" s="1033"/>
      <c r="Q39" s="1033"/>
      <c r="R39" s="1033"/>
      <c r="S39" s="1033"/>
      <c r="T39" s="1033"/>
      <c r="U39" s="1033"/>
      <c r="V39" s="1033"/>
      <c r="W39" s="1033"/>
      <c r="X39" s="1033"/>
      <c r="Y39" s="1033"/>
      <c r="Z39" s="1033"/>
      <c r="AA39" s="1033"/>
      <c r="AB39" s="1033"/>
      <c r="AC39" s="1033"/>
      <c r="AD39" s="1033"/>
      <c r="AE39" s="1033"/>
      <c r="AF39" s="1033"/>
      <c r="AG39" s="1033"/>
      <c r="AH39" s="1033"/>
      <c r="AI39" s="1033"/>
      <c r="AJ39" s="1033"/>
      <c r="AK39" s="1033"/>
      <c r="AL39" s="1033"/>
      <c r="AM39" s="1033"/>
    </row>
    <row r="40" spans="1:39">
      <c r="A40" s="1033"/>
      <c r="B40" s="1033"/>
      <c r="C40" s="1033"/>
      <c r="D40" s="1033"/>
      <c r="E40" s="1033"/>
      <c r="F40" s="1033"/>
      <c r="G40" s="1033"/>
      <c r="H40" s="1033"/>
      <c r="I40" s="1033"/>
      <c r="J40" s="1033"/>
      <c r="K40" s="1033"/>
      <c r="L40" s="1033"/>
      <c r="M40" s="1044"/>
      <c r="N40" s="1033"/>
      <c r="O40" s="1033"/>
      <c r="P40" s="1033"/>
      <c r="Q40" s="1033"/>
      <c r="R40" s="1033"/>
      <c r="S40" s="1033"/>
      <c r="T40" s="1033"/>
      <c r="U40" s="1033"/>
      <c r="V40" s="1033"/>
      <c r="W40" s="1033"/>
      <c r="X40" s="1033"/>
      <c r="Y40" s="1033"/>
      <c r="Z40" s="1033"/>
      <c r="AA40" s="1033"/>
      <c r="AB40" s="1033"/>
      <c r="AC40" s="1033"/>
      <c r="AD40" s="1033"/>
      <c r="AE40" s="1033"/>
      <c r="AF40" s="1033"/>
      <c r="AG40" s="1033"/>
      <c r="AH40" s="1033"/>
      <c r="AI40" s="1033"/>
      <c r="AJ40" s="1033"/>
      <c r="AK40" s="1033"/>
      <c r="AL40" s="1033"/>
      <c r="AM40" s="1033"/>
    </row>
    <row r="41" spans="1:39">
      <c r="A41" s="1033"/>
      <c r="B41" s="1033"/>
      <c r="C41" s="1033"/>
      <c r="D41" s="1033"/>
      <c r="E41" s="1033"/>
      <c r="F41" s="1033"/>
      <c r="G41" s="1033"/>
      <c r="H41" s="1033"/>
      <c r="I41" s="1033"/>
      <c r="J41" s="1033"/>
      <c r="K41" s="1033"/>
      <c r="L41" s="1033"/>
      <c r="M41" s="1044"/>
      <c r="N41" s="1033"/>
      <c r="O41" s="1033"/>
      <c r="P41" s="1033"/>
      <c r="Q41" s="1033"/>
      <c r="R41" s="1033"/>
      <c r="S41" s="1033"/>
      <c r="T41" s="1033"/>
      <c r="U41" s="1033"/>
      <c r="V41" s="1033"/>
      <c r="W41" s="1033"/>
      <c r="X41" s="1033"/>
      <c r="Y41" s="1033"/>
      <c r="Z41" s="1033"/>
      <c r="AA41" s="1033"/>
      <c r="AB41" s="1033"/>
      <c r="AC41" s="1033"/>
      <c r="AD41" s="1033"/>
      <c r="AE41" s="1033"/>
      <c r="AF41" s="1033"/>
      <c r="AG41" s="1033"/>
      <c r="AH41" s="1033"/>
      <c r="AI41" s="1033"/>
      <c r="AJ41" s="1033"/>
      <c r="AK41" s="1033"/>
      <c r="AL41" s="1033"/>
      <c r="AM41" s="1033"/>
    </row>
    <row r="42" spans="1:39">
      <c r="A42" s="1033"/>
      <c r="B42" s="1033"/>
      <c r="C42" s="1033"/>
      <c r="D42" s="1033"/>
      <c r="E42" s="1033"/>
      <c r="F42" s="1033"/>
      <c r="G42" s="1033"/>
      <c r="H42" s="1033"/>
      <c r="I42" s="1033"/>
      <c r="J42" s="1033"/>
      <c r="K42" s="1033"/>
      <c r="L42" s="1033"/>
      <c r="M42" s="1044"/>
      <c r="N42" s="1033"/>
      <c r="O42" s="1033"/>
      <c r="P42" s="1033"/>
      <c r="Q42" s="1033"/>
      <c r="R42" s="1033"/>
      <c r="S42" s="1033"/>
      <c r="T42" s="1033"/>
      <c r="U42" s="1033"/>
      <c r="V42" s="1033"/>
      <c r="W42" s="1033"/>
      <c r="X42" s="1033"/>
      <c r="Y42" s="1033"/>
      <c r="Z42" s="1033"/>
      <c r="AA42" s="1033"/>
      <c r="AB42" s="1033"/>
      <c r="AC42" s="1033"/>
      <c r="AD42" s="1033"/>
      <c r="AE42" s="1033"/>
      <c r="AF42" s="1033"/>
      <c r="AG42" s="1033"/>
      <c r="AH42" s="1033"/>
      <c r="AI42" s="1033"/>
      <c r="AJ42" s="1033"/>
      <c r="AK42" s="1033"/>
      <c r="AL42" s="1033"/>
      <c r="AM42" s="1033"/>
    </row>
    <row r="43" spans="1:39">
      <c r="A43" s="1033"/>
      <c r="B43" s="1033"/>
      <c r="C43" s="1033"/>
      <c r="D43" s="1033"/>
      <c r="E43" s="1033"/>
      <c r="F43" s="1033"/>
      <c r="G43" s="1033"/>
      <c r="H43" s="1033"/>
      <c r="I43" s="1033"/>
      <c r="J43" s="1033"/>
      <c r="K43" s="1033"/>
      <c r="L43" s="1033"/>
      <c r="M43" s="1044"/>
      <c r="N43" s="1033"/>
      <c r="O43" s="1033"/>
      <c r="P43" s="1033"/>
      <c r="Q43" s="1033"/>
      <c r="R43" s="1033"/>
      <c r="S43" s="1033"/>
      <c r="T43" s="1033"/>
      <c r="U43" s="1033"/>
      <c r="V43" s="1033"/>
      <c r="W43" s="1033"/>
      <c r="X43" s="1033"/>
      <c r="Y43" s="1033"/>
      <c r="Z43" s="1033"/>
      <c r="AA43" s="1033"/>
      <c r="AB43" s="1033"/>
      <c r="AC43" s="1033"/>
      <c r="AD43" s="1033"/>
      <c r="AE43" s="1033"/>
      <c r="AF43" s="1033"/>
      <c r="AG43" s="1033"/>
      <c r="AH43" s="1033"/>
      <c r="AI43" s="1033"/>
      <c r="AJ43" s="1033"/>
      <c r="AK43" s="1033"/>
      <c r="AL43" s="1033"/>
      <c r="AM43" s="1033"/>
    </row>
    <row r="44" spans="1:39">
      <c r="A44" s="1033"/>
      <c r="B44" s="1033"/>
      <c r="C44" s="1033"/>
      <c r="D44" s="1033"/>
      <c r="E44" s="1033"/>
      <c r="F44" s="1033"/>
      <c r="G44" s="1033"/>
      <c r="H44" s="1033"/>
      <c r="I44" s="1033"/>
      <c r="J44" s="1033"/>
      <c r="K44" s="1033"/>
      <c r="L44" s="1033"/>
      <c r="M44" s="1044"/>
      <c r="N44" s="1033"/>
      <c r="O44" s="1033"/>
      <c r="P44" s="1033"/>
      <c r="Q44" s="1033"/>
      <c r="R44" s="1033"/>
      <c r="S44" s="1033"/>
      <c r="T44" s="1033"/>
      <c r="U44" s="1033"/>
      <c r="V44" s="1033"/>
      <c r="W44" s="1033"/>
      <c r="X44" s="1033"/>
      <c r="Y44" s="1033"/>
      <c r="Z44" s="1033"/>
      <c r="AA44" s="1033"/>
      <c r="AB44" s="1033"/>
      <c r="AC44" s="1033"/>
      <c r="AD44" s="1033"/>
      <c r="AE44" s="1033"/>
      <c r="AF44" s="1033"/>
      <c r="AG44" s="1033"/>
      <c r="AH44" s="1033"/>
      <c r="AI44" s="1033"/>
      <c r="AJ44" s="1033"/>
      <c r="AK44" s="1033"/>
      <c r="AL44" s="1033"/>
      <c r="AM44" s="1033"/>
    </row>
    <row r="45" spans="1:39">
      <c r="A45" s="1033"/>
      <c r="B45" s="1033"/>
      <c r="C45" s="1033"/>
      <c r="D45" s="1033"/>
      <c r="E45" s="1033"/>
      <c r="F45" s="1033"/>
      <c r="G45" s="1033"/>
      <c r="H45" s="1033"/>
      <c r="I45" s="1033"/>
      <c r="J45" s="1033"/>
      <c r="K45" s="1033"/>
      <c r="L45" s="1033"/>
      <c r="M45" s="1044"/>
      <c r="N45" s="1033"/>
      <c r="O45" s="1033"/>
      <c r="P45" s="1033"/>
      <c r="Q45" s="1033"/>
      <c r="R45" s="1033"/>
      <c r="S45" s="1033"/>
      <c r="T45" s="1033"/>
      <c r="U45" s="1033"/>
      <c r="V45" s="1033"/>
      <c r="W45" s="1033"/>
      <c r="X45" s="1033"/>
      <c r="Y45" s="1033"/>
      <c r="Z45" s="1033"/>
      <c r="AA45" s="1033"/>
      <c r="AB45" s="1033"/>
      <c r="AC45" s="1033"/>
      <c r="AD45" s="1033"/>
      <c r="AE45" s="1033"/>
      <c r="AF45" s="1033"/>
      <c r="AG45" s="1033"/>
      <c r="AH45" s="1033"/>
      <c r="AI45" s="1033"/>
      <c r="AJ45" s="1033"/>
      <c r="AK45" s="1033"/>
      <c r="AL45" s="1033"/>
      <c r="AM45" s="1033"/>
    </row>
    <row r="46" spans="1:39">
      <c r="A46" s="1033"/>
      <c r="B46" s="1033"/>
      <c r="C46" s="1033"/>
      <c r="D46" s="1033"/>
      <c r="E46" s="1033"/>
      <c r="F46" s="1033"/>
      <c r="G46" s="1033"/>
      <c r="H46" s="1033"/>
      <c r="I46" s="1033"/>
      <c r="J46" s="1033"/>
      <c r="K46" s="1033"/>
      <c r="L46" s="1033"/>
      <c r="M46" s="1044"/>
      <c r="N46" s="1033"/>
      <c r="O46" s="1033"/>
      <c r="P46" s="1033"/>
      <c r="Q46" s="1033"/>
      <c r="R46" s="1033"/>
      <c r="S46" s="1033"/>
      <c r="T46" s="1033"/>
      <c r="U46" s="1033"/>
      <c r="V46" s="1033"/>
      <c r="W46" s="1033"/>
      <c r="X46" s="1033"/>
      <c r="Y46" s="1033"/>
      <c r="Z46" s="1033"/>
      <c r="AA46" s="1033"/>
      <c r="AB46" s="1033"/>
      <c r="AC46" s="1033"/>
      <c r="AD46" s="1033"/>
      <c r="AE46" s="1033"/>
      <c r="AF46" s="1033"/>
      <c r="AG46" s="1033"/>
      <c r="AH46" s="1033"/>
      <c r="AI46" s="1033"/>
      <c r="AJ46" s="1033"/>
      <c r="AK46" s="1033"/>
      <c r="AL46" s="1033"/>
      <c r="AM46" s="1033"/>
    </row>
    <row r="47" spans="1:39">
      <c r="A47" s="1033"/>
      <c r="B47" s="1033"/>
      <c r="C47" s="1033"/>
      <c r="D47" s="1033"/>
      <c r="E47" s="1033"/>
      <c r="F47" s="1033"/>
      <c r="G47" s="1033"/>
      <c r="H47" s="1033"/>
      <c r="I47" s="1033"/>
      <c r="J47" s="1033"/>
      <c r="K47" s="1033"/>
      <c r="L47" s="1033"/>
      <c r="M47" s="1044"/>
      <c r="N47" s="1033"/>
      <c r="O47" s="1033"/>
      <c r="P47" s="1033"/>
      <c r="Q47" s="1033"/>
      <c r="R47" s="1033"/>
      <c r="S47" s="1033"/>
      <c r="T47" s="1033"/>
      <c r="U47" s="1033"/>
      <c r="V47" s="1033"/>
      <c r="W47" s="1033"/>
      <c r="X47" s="1033"/>
      <c r="Y47" s="1033"/>
      <c r="Z47" s="1033"/>
      <c r="AA47" s="1033"/>
      <c r="AB47" s="1033"/>
      <c r="AC47" s="1033"/>
      <c r="AD47" s="1033"/>
      <c r="AE47" s="1033"/>
      <c r="AF47" s="1033"/>
      <c r="AG47" s="1033"/>
      <c r="AH47" s="1033"/>
      <c r="AI47" s="1033"/>
      <c r="AJ47" s="1033"/>
      <c r="AK47" s="1033"/>
      <c r="AL47" s="1033"/>
      <c r="AM47" s="1033"/>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37"/>
  <sheetViews>
    <sheetView showGridLines="0" view="pageBreakPreview" topLeftCell="K11" zoomScaleNormal="100" zoomScaleSheetLayoutView="100" workbookViewId="0">
      <selection activeCell="N53" sqref="N53"/>
    </sheetView>
  </sheetViews>
  <sheetFormatPr defaultColWidth="9.140625" defaultRowHeight="11.25"/>
  <cols>
    <col min="1" max="1" width="2.7109375" style="481" hidden="1" customWidth="1"/>
    <col min="2" max="2" width="2.7109375" style="480" hidden="1" customWidth="1"/>
    <col min="3" max="3" width="13" style="481" hidden="1" customWidth="1"/>
    <col min="4" max="9" width="2.7109375" style="481" hidden="1" customWidth="1"/>
    <col min="10" max="10" width="4.5703125" style="481" hidden="1" customWidth="1"/>
    <col min="11" max="11" width="3.7109375" style="481" hidden="1" customWidth="1"/>
    <col min="12" max="12" width="5.7109375" style="481" customWidth="1"/>
    <col min="13" max="13" width="57.42578125" style="481" customWidth="1"/>
    <col min="14" max="14" width="12.7109375" style="481" customWidth="1"/>
    <col min="15" max="20" width="13.7109375" style="481" customWidth="1"/>
    <col min="21" max="21" width="31.42578125" style="481" customWidth="1"/>
    <col min="22" max="16384" width="9.140625" style="481"/>
  </cols>
  <sheetData>
    <row r="1" spans="1:21" hidden="1">
      <c r="A1" s="1045"/>
      <c r="B1" s="1046"/>
      <c r="C1" s="1045"/>
      <c r="D1" s="1045"/>
      <c r="E1" s="1045"/>
      <c r="F1" s="1045"/>
      <c r="G1" s="1045"/>
      <c r="H1" s="1045"/>
      <c r="I1" s="1045"/>
      <c r="J1" s="1045"/>
      <c r="K1" s="1045"/>
      <c r="L1" s="1045"/>
      <c r="M1" s="1045"/>
      <c r="N1" s="1045"/>
      <c r="O1" s="1045">
        <v>2022</v>
      </c>
      <c r="P1" s="1045">
        <v>2022</v>
      </c>
      <c r="Q1" s="1045">
        <v>2022</v>
      </c>
      <c r="R1" s="1045">
        <v>2023</v>
      </c>
      <c r="S1" s="1045">
        <v>2024</v>
      </c>
      <c r="T1" s="934">
        <v>2024</v>
      </c>
      <c r="U1" s="1033"/>
    </row>
    <row r="2" spans="1:21" hidden="1">
      <c r="A2" s="1045"/>
      <c r="B2" s="1046"/>
      <c r="C2" s="1045"/>
      <c r="D2" s="1045"/>
      <c r="E2" s="1045"/>
      <c r="F2" s="1045"/>
      <c r="G2" s="1045"/>
      <c r="H2" s="1045"/>
      <c r="I2" s="1045"/>
      <c r="J2" s="1045"/>
      <c r="K2" s="1045"/>
      <c r="L2" s="1045"/>
      <c r="M2" s="1045"/>
      <c r="N2" s="1045"/>
      <c r="O2" s="886" t="s">
        <v>267</v>
      </c>
      <c r="P2" s="886" t="s">
        <v>305</v>
      </c>
      <c r="Q2" s="886" t="s">
        <v>285</v>
      </c>
      <c r="R2" s="886" t="s">
        <v>267</v>
      </c>
      <c r="S2" s="886" t="s">
        <v>268</v>
      </c>
      <c r="T2" s="886" t="s">
        <v>267</v>
      </c>
      <c r="U2" s="1045"/>
    </row>
    <row r="3" spans="1:21" hidden="1">
      <c r="A3" s="1045"/>
      <c r="B3" s="1046"/>
      <c r="C3" s="1045"/>
      <c r="D3" s="1045"/>
      <c r="E3" s="1045"/>
      <c r="F3" s="1045"/>
      <c r="G3" s="1045"/>
      <c r="H3" s="1045"/>
      <c r="I3" s="1045"/>
      <c r="J3" s="1045"/>
      <c r="K3" s="1045"/>
      <c r="L3" s="1045"/>
      <c r="M3" s="1045"/>
      <c r="N3" s="1045"/>
      <c r="O3" s="886" t="s">
        <v>3032</v>
      </c>
      <c r="P3" s="886" t="s">
        <v>3033</v>
      </c>
      <c r="Q3" s="886" t="s">
        <v>3034</v>
      </c>
      <c r="R3" s="886" t="s">
        <v>3036</v>
      </c>
      <c r="S3" s="886" t="s">
        <v>3037</v>
      </c>
      <c r="T3" s="886" t="s">
        <v>3038</v>
      </c>
      <c r="U3" s="1045"/>
    </row>
    <row r="4" spans="1:21" hidden="1">
      <c r="A4" s="1045"/>
      <c r="B4" s="1046"/>
      <c r="C4" s="1045"/>
      <c r="D4" s="1045"/>
      <c r="E4" s="1045"/>
      <c r="F4" s="1045"/>
      <c r="G4" s="1045"/>
      <c r="H4" s="1045"/>
      <c r="I4" s="1045"/>
      <c r="J4" s="1045"/>
      <c r="K4" s="1045"/>
      <c r="L4" s="1045"/>
      <c r="M4" s="1045"/>
      <c r="N4" s="1045"/>
      <c r="O4" s="1045"/>
      <c r="P4" s="1045"/>
      <c r="Q4" s="1045"/>
      <c r="R4" s="1045"/>
      <c r="S4" s="1045"/>
      <c r="T4" s="1045"/>
      <c r="U4" s="1045"/>
    </row>
    <row r="5" spans="1:21" hidden="1">
      <c r="A5" s="1045"/>
      <c r="B5" s="1046"/>
      <c r="C5" s="1045"/>
      <c r="D5" s="1045"/>
      <c r="E5" s="1045"/>
      <c r="F5" s="1045"/>
      <c r="G5" s="1045"/>
      <c r="H5" s="1045"/>
      <c r="I5" s="1045"/>
      <c r="J5" s="1045"/>
      <c r="K5" s="1045"/>
      <c r="L5" s="1045"/>
      <c r="M5" s="1045"/>
      <c r="N5" s="1045"/>
      <c r="O5" s="1045"/>
      <c r="P5" s="1045"/>
      <c r="Q5" s="1045"/>
      <c r="R5" s="1045"/>
      <c r="S5" s="1045"/>
      <c r="T5" s="1045"/>
      <c r="U5" s="1045"/>
    </row>
    <row r="6" spans="1:21" hidden="1">
      <c r="A6" s="1045"/>
      <c r="B6" s="1046"/>
      <c r="C6" s="1045"/>
      <c r="D6" s="1045"/>
      <c r="E6" s="1045"/>
      <c r="F6" s="1045"/>
      <c r="G6" s="1045"/>
      <c r="H6" s="1045"/>
      <c r="I6" s="1045"/>
      <c r="J6" s="1045"/>
      <c r="K6" s="1045"/>
      <c r="L6" s="1045"/>
      <c r="M6" s="1045"/>
      <c r="N6" s="1045"/>
      <c r="O6" s="1045"/>
      <c r="P6" s="1045"/>
      <c r="Q6" s="1045"/>
      <c r="R6" s="1045"/>
      <c r="S6" s="1045"/>
      <c r="T6" s="1045"/>
      <c r="U6" s="1045"/>
    </row>
    <row r="7" spans="1:21" hidden="1">
      <c r="A7" s="1045"/>
      <c r="B7" s="1046"/>
      <c r="C7" s="1045"/>
      <c r="D7" s="1045"/>
      <c r="E7" s="1045"/>
      <c r="F7" s="1045"/>
      <c r="G7" s="1045"/>
      <c r="H7" s="1045"/>
      <c r="I7" s="1045"/>
      <c r="J7" s="1045"/>
      <c r="K7" s="1045"/>
      <c r="L7" s="1045"/>
      <c r="M7" s="1045"/>
      <c r="N7" s="1045"/>
      <c r="O7" s="1047"/>
      <c r="P7" s="1047"/>
      <c r="Q7" s="1047"/>
      <c r="R7" s="1047"/>
      <c r="S7" s="886" t="b">
        <v>1</v>
      </c>
      <c r="T7" s="886" t="b">
        <v>1</v>
      </c>
      <c r="U7" s="1033"/>
    </row>
    <row r="8" spans="1:21" hidden="1">
      <c r="A8" s="1045"/>
      <c r="B8" s="1046"/>
      <c r="C8" s="1045"/>
      <c r="D8" s="1045"/>
      <c r="E8" s="1045"/>
      <c r="F8" s="1045"/>
      <c r="G8" s="1045"/>
      <c r="H8" s="1045"/>
      <c r="I8" s="1045"/>
      <c r="J8" s="1045"/>
      <c r="K8" s="1045"/>
      <c r="L8" s="1045"/>
      <c r="M8" s="1045"/>
      <c r="N8" s="1045"/>
      <c r="O8" s="1045"/>
      <c r="P8" s="1045"/>
      <c r="Q8" s="1045"/>
      <c r="R8" s="1045"/>
      <c r="S8" s="1045"/>
      <c r="T8" s="1045"/>
      <c r="U8" s="1045"/>
    </row>
    <row r="9" spans="1:21" hidden="1">
      <c r="A9" s="1045"/>
      <c r="B9" s="1046"/>
      <c r="C9" s="1045"/>
      <c r="D9" s="1045"/>
      <c r="E9" s="1045"/>
      <c r="F9" s="1045"/>
      <c r="G9" s="1045"/>
      <c r="H9" s="1045"/>
      <c r="I9" s="1045"/>
      <c r="J9" s="1045"/>
      <c r="K9" s="1045"/>
      <c r="L9" s="1045"/>
      <c r="M9" s="1045"/>
      <c r="N9" s="1045"/>
      <c r="O9" s="1045"/>
      <c r="P9" s="1045"/>
      <c r="Q9" s="1045"/>
      <c r="R9" s="1045"/>
      <c r="S9" s="1045"/>
      <c r="T9" s="1045"/>
      <c r="U9" s="1045"/>
    </row>
    <row r="10" spans="1:21" hidden="1">
      <c r="A10" s="1045"/>
      <c r="B10" s="1046"/>
      <c r="C10" s="1045"/>
      <c r="D10" s="1045"/>
      <c r="E10" s="1045"/>
      <c r="F10" s="1045"/>
      <c r="G10" s="1045"/>
      <c r="H10" s="1045"/>
      <c r="I10" s="1045"/>
      <c r="J10" s="1045"/>
      <c r="K10" s="1045"/>
      <c r="L10" s="1045"/>
      <c r="M10" s="1045"/>
      <c r="N10" s="1045"/>
      <c r="O10" s="1045"/>
      <c r="P10" s="1045"/>
      <c r="Q10" s="1045"/>
      <c r="R10" s="1045"/>
      <c r="S10" s="1045"/>
      <c r="T10" s="1045"/>
      <c r="U10" s="1045"/>
    </row>
    <row r="11" spans="1:21" ht="15" hidden="1" customHeight="1">
      <c r="A11" s="1045"/>
      <c r="B11" s="1046"/>
      <c r="C11" s="1045"/>
      <c r="D11" s="1045"/>
      <c r="E11" s="1045"/>
      <c r="F11" s="1045"/>
      <c r="G11" s="1045"/>
      <c r="H11" s="1045"/>
      <c r="I11" s="1045"/>
      <c r="J11" s="1045"/>
      <c r="K11" s="1045"/>
      <c r="L11" s="1045"/>
      <c r="M11" s="1048"/>
      <c r="N11" s="1045"/>
      <c r="O11" s="1045"/>
      <c r="P11" s="1045"/>
      <c r="Q11" s="1045"/>
      <c r="R11" s="1045"/>
      <c r="S11" s="1045"/>
      <c r="T11" s="1045"/>
      <c r="U11" s="1045"/>
    </row>
    <row r="12" spans="1:21" s="296" customFormat="1" ht="20.100000000000001" customHeight="1">
      <c r="A12" s="1049"/>
      <c r="B12" s="1050"/>
      <c r="C12" s="1049"/>
      <c r="D12" s="1049"/>
      <c r="E12" s="1049"/>
      <c r="F12" s="1049"/>
      <c r="G12" s="1049"/>
      <c r="H12" s="1049"/>
      <c r="I12" s="1049"/>
      <c r="J12" s="1049"/>
      <c r="K12" s="1049"/>
      <c r="L12" s="1051" t="s">
        <v>1474</v>
      </c>
      <c r="M12" s="1052"/>
      <c r="N12" s="1052"/>
      <c r="O12" s="1052"/>
      <c r="P12" s="1052"/>
      <c r="Q12" s="1052"/>
      <c r="R12" s="1052"/>
      <c r="S12" s="1052"/>
      <c r="T12" s="1052"/>
      <c r="U12" s="1052"/>
    </row>
    <row r="13" spans="1:21" s="296" customFormat="1">
      <c r="A13" s="1049"/>
      <c r="B13" s="1050"/>
      <c r="C13" s="1049"/>
      <c r="D13" s="1049"/>
      <c r="E13" s="1049"/>
      <c r="F13" s="1049"/>
      <c r="G13" s="1049"/>
      <c r="H13" s="1049"/>
      <c r="I13" s="1049"/>
      <c r="J13" s="1049"/>
      <c r="K13" s="1049"/>
      <c r="L13" s="1053"/>
      <c r="M13" s="1054"/>
      <c r="N13" s="1054"/>
      <c r="O13" s="1054"/>
      <c r="P13" s="1054"/>
      <c r="Q13" s="1054"/>
      <c r="R13" s="1054"/>
      <c r="S13" s="1054"/>
      <c r="T13" s="1054"/>
      <c r="U13" s="1054"/>
    </row>
    <row r="14" spans="1:21" s="483" customFormat="1" ht="15" customHeight="1">
      <c r="A14" s="1055"/>
      <c r="B14" s="1046"/>
      <c r="C14" s="1055"/>
      <c r="D14" s="1055"/>
      <c r="E14" s="1055"/>
      <c r="F14" s="1055"/>
      <c r="G14" s="1055"/>
      <c r="H14" s="1055"/>
      <c r="I14" s="1055"/>
      <c r="J14" s="1055"/>
      <c r="K14" s="1055"/>
      <c r="L14" s="1003" t="s">
        <v>355</v>
      </c>
      <c r="M14" s="1004" t="s">
        <v>212</v>
      </c>
      <c r="N14" s="1003" t="s">
        <v>135</v>
      </c>
      <c r="O14" s="1056" t="s">
        <v>3020</v>
      </c>
      <c r="P14" s="1056" t="s">
        <v>3020</v>
      </c>
      <c r="Q14" s="1056" t="s">
        <v>3020</v>
      </c>
      <c r="R14" s="1056" t="s">
        <v>3021</v>
      </c>
      <c r="S14" s="940" t="s">
        <v>3022</v>
      </c>
      <c r="T14" s="940" t="s">
        <v>3022</v>
      </c>
      <c r="U14" s="1057" t="s">
        <v>304</v>
      </c>
    </row>
    <row r="15" spans="1:21" s="483" customFormat="1" ht="45" customHeight="1">
      <c r="A15" s="1055"/>
      <c r="B15" s="1046"/>
      <c r="C15" s="1055"/>
      <c r="D15" s="1055"/>
      <c r="E15" s="1055"/>
      <c r="F15" s="1055"/>
      <c r="G15" s="1055"/>
      <c r="H15" s="1055"/>
      <c r="I15" s="1055"/>
      <c r="J15" s="1055"/>
      <c r="K15" s="1055"/>
      <c r="L15" s="1058"/>
      <c r="M15" s="1058"/>
      <c r="N15" s="1058"/>
      <c r="O15" s="1056" t="s">
        <v>267</v>
      </c>
      <c r="P15" s="1056" t="s">
        <v>305</v>
      </c>
      <c r="Q15" s="1056" t="s">
        <v>285</v>
      </c>
      <c r="R15" s="1056" t="s">
        <v>267</v>
      </c>
      <c r="S15" s="943" t="s">
        <v>268</v>
      </c>
      <c r="T15" s="943" t="s">
        <v>267</v>
      </c>
      <c r="U15" s="1058"/>
    </row>
    <row r="16" spans="1:21" s="495" customFormat="1">
      <c r="A16" s="944" t="s">
        <v>18</v>
      </c>
      <c r="B16" s="1059"/>
      <c r="C16" s="1059"/>
      <c r="D16" s="1059"/>
      <c r="E16" s="1060"/>
      <c r="F16" s="1060"/>
      <c r="G16" s="1060"/>
      <c r="H16" s="1060"/>
      <c r="I16" s="1060"/>
      <c r="J16" s="1060"/>
      <c r="K16" s="1060"/>
      <c r="L16" s="1061" t="s">
        <v>3018</v>
      </c>
      <c r="M16" s="839"/>
      <c r="N16" s="839"/>
      <c r="O16" s="1038">
        <v>0</v>
      </c>
      <c r="P16" s="1038">
        <v>0</v>
      </c>
      <c r="Q16" s="1038">
        <v>0</v>
      </c>
      <c r="R16" s="1038">
        <v>0</v>
      </c>
      <c r="S16" s="1038">
        <v>1096.828</v>
      </c>
      <c r="T16" s="1038">
        <v>914.37839999999994</v>
      </c>
      <c r="U16" s="1038"/>
    </row>
    <row r="17" spans="1:21" s="495" customFormat="1" ht="22.5">
      <c r="A17" s="1062" t="s">
        <v>18</v>
      </c>
      <c r="B17" s="1046" t="s">
        <v>1283</v>
      </c>
      <c r="C17" s="1059" t="s">
        <v>1480</v>
      </c>
      <c r="D17" s="1059"/>
      <c r="E17" s="1060"/>
      <c r="F17" s="1060"/>
      <c r="G17" s="1060"/>
      <c r="H17" s="1060"/>
      <c r="I17" s="1060"/>
      <c r="J17" s="1060"/>
      <c r="K17" s="1060"/>
      <c r="L17" s="1063">
        <v>1</v>
      </c>
      <c r="M17" s="1064" t="s">
        <v>1284</v>
      </c>
      <c r="N17" s="1065" t="s">
        <v>351</v>
      </c>
      <c r="O17" s="1066"/>
      <c r="P17" s="1066"/>
      <c r="Q17" s="1066"/>
      <c r="R17" s="1066"/>
      <c r="S17" s="1011">
        <v>584.4</v>
      </c>
      <c r="T17" s="1011">
        <v>461.80799999999999</v>
      </c>
      <c r="U17" s="1067"/>
    </row>
    <row r="18" spans="1:21" s="495" customFormat="1">
      <c r="A18" s="1062" t="s">
        <v>18</v>
      </c>
      <c r="B18" s="1046"/>
      <c r="C18" s="1059"/>
      <c r="D18" s="1059"/>
      <c r="E18" s="1060"/>
      <c r="F18" s="1060"/>
      <c r="G18" s="1060"/>
      <c r="H18" s="1060"/>
      <c r="I18" s="1060"/>
      <c r="J18" s="1060">
        <v>1</v>
      </c>
      <c r="K18" s="1060"/>
      <c r="L18" s="1063"/>
      <c r="M18" s="1064"/>
      <c r="N18" s="1065"/>
      <c r="O18" s="1068"/>
      <c r="P18" s="1068"/>
      <c r="Q18" s="1068"/>
      <c r="R18" s="1068"/>
      <c r="S18" s="1011"/>
      <c r="T18" s="1011"/>
      <c r="U18" s="1069"/>
    </row>
    <row r="19" spans="1:21" s="495" customFormat="1" ht="14.25">
      <c r="A19" s="1070">
        <v>1</v>
      </c>
      <c r="B19" s="1059"/>
      <c r="C19" s="1059" t="s">
        <v>1480</v>
      </c>
      <c r="D19" s="1059" t="s">
        <v>2993</v>
      </c>
      <c r="E19" s="1060"/>
      <c r="F19" s="1060"/>
      <c r="G19" s="1060"/>
      <c r="H19" s="1060"/>
      <c r="I19" s="1060"/>
      <c r="J19" s="1071" t="s">
        <v>149</v>
      </c>
      <c r="K19" s="807"/>
      <c r="L19" s="1063" t="s">
        <v>149</v>
      </c>
      <c r="M19" s="1072" t="s">
        <v>2993</v>
      </c>
      <c r="N19" s="1065" t="s">
        <v>351</v>
      </c>
      <c r="O19" s="1073"/>
      <c r="P19" s="1073"/>
      <c r="Q19" s="1073"/>
      <c r="R19" s="1073"/>
      <c r="S19" s="1013">
        <v>584.4</v>
      </c>
      <c r="T19" s="1013">
        <v>461.80799999999999</v>
      </c>
      <c r="U19" s="1067"/>
    </row>
    <row r="20" spans="1:21" s="495" customFormat="1">
      <c r="A20" s="1074">
        <v>1</v>
      </c>
      <c r="B20" s="1059"/>
      <c r="C20" s="1059" t="s">
        <v>1491</v>
      </c>
      <c r="D20" s="1059" t="s">
        <v>2993</v>
      </c>
      <c r="E20" s="1060"/>
      <c r="F20" s="1060"/>
      <c r="G20" s="1060"/>
      <c r="H20" s="1060"/>
      <c r="I20" s="1060"/>
      <c r="J20" s="1071"/>
      <c r="K20" s="1060"/>
      <c r="L20" s="1075" t="s">
        <v>393</v>
      </c>
      <c r="M20" s="1076" t="s">
        <v>1293</v>
      </c>
      <c r="N20" s="1065" t="s">
        <v>1294</v>
      </c>
      <c r="O20" s="1073"/>
      <c r="P20" s="1073"/>
      <c r="Q20" s="1073"/>
      <c r="R20" s="1073"/>
      <c r="S20" s="1066">
        <v>2</v>
      </c>
      <c r="T20" s="1066">
        <v>2</v>
      </c>
      <c r="U20" s="1067"/>
    </row>
    <row r="21" spans="1:21" s="495" customFormat="1">
      <c r="A21" s="1074">
        <v>1</v>
      </c>
      <c r="B21" s="1059"/>
      <c r="C21" s="1059" t="s">
        <v>1489</v>
      </c>
      <c r="D21" s="1059" t="s">
        <v>2993</v>
      </c>
      <c r="E21" s="1060"/>
      <c r="F21" s="1060"/>
      <c r="G21" s="1060"/>
      <c r="H21" s="1060"/>
      <c r="I21" s="1060"/>
      <c r="J21" s="1071"/>
      <c r="K21" s="1060"/>
      <c r="L21" s="1075" t="s">
        <v>395</v>
      </c>
      <c r="M21" s="1076" t="s">
        <v>1295</v>
      </c>
      <c r="N21" s="1065" t="s">
        <v>1296</v>
      </c>
      <c r="O21" s="1073"/>
      <c r="P21" s="1073"/>
      <c r="Q21" s="1073"/>
      <c r="R21" s="1073"/>
      <c r="S21" s="1066">
        <v>24350</v>
      </c>
      <c r="T21" s="1066">
        <v>19242</v>
      </c>
      <c r="U21" s="1067"/>
    </row>
    <row r="22" spans="1:21" s="495" customFormat="1" ht="22.5">
      <c r="A22" s="1062" t="s">
        <v>18</v>
      </c>
      <c r="B22" s="1046" t="s">
        <v>1285</v>
      </c>
      <c r="C22" s="1059" t="s">
        <v>1481</v>
      </c>
      <c r="D22" s="1059"/>
      <c r="E22" s="1060"/>
      <c r="F22" s="1060"/>
      <c r="G22" s="1060"/>
      <c r="H22" s="1060"/>
      <c r="I22" s="1060"/>
      <c r="J22" s="1060"/>
      <c r="K22" s="1060"/>
      <c r="L22" s="1063" t="s">
        <v>102</v>
      </c>
      <c r="M22" s="1064" t="s">
        <v>1467</v>
      </c>
      <c r="N22" s="1065" t="s">
        <v>351</v>
      </c>
      <c r="O22" s="1066"/>
      <c r="P22" s="1066">
        <v>0</v>
      </c>
      <c r="Q22" s="1066">
        <v>0</v>
      </c>
      <c r="R22" s="1066">
        <v>0</v>
      </c>
      <c r="S22" s="1066">
        <v>198.4</v>
      </c>
      <c r="T22" s="1066">
        <v>138.54239999999999</v>
      </c>
      <c r="U22" s="1067"/>
    </row>
    <row r="23" spans="1:21" s="495" customFormat="1">
      <c r="A23" s="1062" t="s">
        <v>18</v>
      </c>
      <c r="B23" s="1046" t="s">
        <v>1286</v>
      </c>
      <c r="C23" s="1059" t="s">
        <v>1483</v>
      </c>
      <c r="D23" s="1059"/>
      <c r="E23" s="1060"/>
      <c r="F23" s="1060"/>
      <c r="G23" s="1060"/>
      <c r="H23" s="1060"/>
      <c r="I23" s="1060"/>
      <c r="J23" s="1060"/>
      <c r="K23" s="1060"/>
      <c r="L23" s="1063" t="s">
        <v>103</v>
      </c>
      <c r="M23" s="1064" t="s">
        <v>1287</v>
      </c>
      <c r="N23" s="1065" t="s">
        <v>351</v>
      </c>
      <c r="O23" s="1066"/>
      <c r="P23" s="1066"/>
      <c r="Q23" s="1066"/>
      <c r="R23" s="1066"/>
      <c r="S23" s="1011">
        <v>0</v>
      </c>
      <c r="T23" s="1011">
        <v>0</v>
      </c>
      <c r="U23" s="1067"/>
    </row>
    <row r="24" spans="1:21" s="495" customFormat="1">
      <c r="A24" s="1062" t="s">
        <v>18</v>
      </c>
      <c r="B24" s="1046"/>
      <c r="C24" s="1059"/>
      <c r="D24" s="1059"/>
      <c r="E24" s="1060"/>
      <c r="F24" s="1060"/>
      <c r="G24" s="1060"/>
      <c r="H24" s="1060"/>
      <c r="I24" s="1060"/>
      <c r="J24" s="1060">
        <v>3</v>
      </c>
      <c r="K24" s="1060"/>
      <c r="L24" s="1063"/>
      <c r="M24" s="1064"/>
      <c r="N24" s="1065"/>
      <c r="O24" s="1068"/>
      <c r="P24" s="1068"/>
      <c r="Q24" s="1068"/>
      <c r="R24" s="1068"/>
      <c r="S24" s="1011"/>
      <c r="T24" s="1011"/>
      <c r="U24" s="1069"/>
    </row>
    <row r="25" spans="1:21" s="495" customFormat="1" ht="22.5">
      <c r="A25" s="1062" t="s">
        <v>18</v>
      </c>
      <c r="B25" s="1046" t="s">
        <v>1288</v>
      </c>
      <c r="C25" s="1059" t="s">
        <v>1484</v>
      </c>
      <c r="D25" s="1059"/>
      <c r="E25" s="1060"/>
      <c r="F25" s="1060"/>
      <c r="G25" s="1060"/>
      <c r="H25" s="1060"/>
      <c r="I25" s="1060"/>
      <c r="J25" s="1060"/>
      <c r="K25" s="1060"/>
      <c r="L25" s="1063" t="s">
        <v>104</v>
      </c>
      <c r="M25" s="1064" t="s">
        <v>1475</v>
      </c>
      <c r="N25" s="1065" t="s">
        <v>351</v>
      </c>
      <c r="O25" s="1066">
        <v>0</v>
      </c>
      <c r="P25" s="1066">
        <v>0</v>
      </c>
      <c r="Q25" s="1066">
        <v>0</v>
      </c>
      <c r="R25" s="1066">
        <v>0</v>
      </c>
      <c r="S25" s="1066">
        <v>0</v>
      </c>
      <c r="T25" s="1066">
        <v>0</v>
      </c>
      <c r="U25" s="1067"/>
    </row>
    <row r="26" spans="1:21" s="495" customFormat="1" ht="22.5">
      <c r="A26" s="1062" t="s">
        <v>18</v>
      </c>
      <c r="B26" s="1046" t="s">
        <v>1289</v>
      </c>
      <c r="C26" s="1059" t="s">
        <v>1485</v>
      </c>
      <c r="D26" s="1059"/>
      <c r="E26" s="1060"/>
      <c r="F26" s="1060"/>
      <c r="G26" s="1060"/>
      <c r="H26" s="1060"/>
      <c r="I26" s="1060"/>
      <c r="J26" s="1060"/>
      <c r="K26" s="1060"/>
      <c r="L26" s="1063" t="s">
        <v>120</v>
      </c>
      <c r="M26" s="1064" t="s">
        <v>1290</v>
      </c>
      <c r="N26" s="1065" t="s">
        <v>351</v>
      </c>
      <c r="O26" s="1066"/>
      <c r="P26" s="1066"/>
      <c r="Q26" s="1066"/>
      <c r="R26" s="1066"/>
      <c r="S26" s="1011">
        <v>241.56</v>
      </c>
      <c r="T26" s="1011">
        <v>241.56</v>
      </c>
      <c r="U26" s="1067"/>
    </row>
    <row r="27" spans="1:21" s="495" customFormat="1">
      <c r="A27" s="1062" t="s">
        <v>18</v>
      </c>
      <c r="B27" s="1046"/>
      <c r="C27" s="1059"/>
      <c r="D27" s="1059"/>
      <c r="E27" s="1060"/>
      <c r="F27" s="1060"/>
      <c r="G27" s="1060"/>
      <c r="H27" s="1060"/>
      <c r="I27" s="1060"/>
      <c r="J27" s="1060">
        <v>5</v>
      </c>
      <c r="K27" s="1060"/>
      <c r="L27" s="1063"/>
      <c r="M27" s="1064"/>
      <c r="N27" s="1065"/>
      <c r="O27" s="1068"/>
      <c r="P27" s="1068"/>
      <c r="Q27" s="1068"/>
      <c r="R27" s="1068"/>
      <c r="S27" s="1011"/>
      <c r="T27" s="1011"/>
      <c r="U27" s="1069"/>
    </row>
    <row r="28" spans="1:21" s="495" customFormat="1" ht="14.25">
      <c r="A28" s="1070">
        <v>1</v>
      </c>
      <c r="B28" s="1059"/>
      <c r="C28" s="1059" t="s">
        <v>1485</v>
      </c>
      <c r="D28" s="1059" t="s">
        <v>2993</v>
      </c>
      <c r="E28" s="1060"/>
      <c r="F28" s="1060"/>
      <c r="G28" s="1060"/>
      <c r="H28" s="1060"/>
      <c r="I28" s="1060"/>
      <c r="J28" s="1071" t="s">
        <v>122</v>
      </c>
      <c r="K28" s="807"/>
      <c r="L28" s="1063" t="s">
        <v>122</v>
      </c>
      <c r="M28" s="1072" t="s">
        <v>2993</v>
      </c>
      <c r="N28" s="1065" t="s">
        <v>351</v>
      </c>
      <c r="O28" s="1073"/>
      <c r="P28" s="1073"/>
      <c r="Q28" s="1073"/>
      <c r="R28" s="1073"/>
      <c r="S28" s="1013">
        <v>241.56</v>
      </c>
      <c r="T28" s="1013">
        <v>241.56</v>
      </c>
      <c r="U28" s="1067"/>
    </row>
    <row r="29" spans="1:21" s="495" customFormat="1">
      <c r="A29" s="1074">
        <v>1</v>
      </c>
      <c r="B29" s="1059"/>
      <c r="C29" s="1059" t="s">
        <v>1502</v>
      </c>
      <c r="D29" s="1059" t="s">
        <v>2993</v>
      </c>
      <c r="E29" s="1060"/>
      <c r="F29" s="1060"/>
      <c r="G29" s="1060"/>
      <c r="H29" s="1060"/>
      <c r="I29" s="1060"/>
      <c r="J29" s="1071"/>
      <c r="K29" s="1060"/>
      <c r="L29" s="1075" t="s">
        <v>3069</v>
      </c>
      <c r="M29" s="1076" t="s">
        <v>1293</v>
      </c>
      <c r="N29" s="1065" t="s">
        <v>1294</v>
      </c>
      <c r="O29" s="1073"/>
      <c r="P29" s="1073"/>
      <c r="Q29" s="1073"/>
      <c r="R29" s="1073"/>
      <c r="S29" s="1066">
        <v>1</v>
      </c>
      <c r="T29" s="1066">
        <v>1</v>
      </c>
      <c r="U29" s="1067"/>
    </row>
    <row r="30" spans="1:21" s="495" customFormat="1">
      <c r="A30" s="1074">
        <v>1</v>
      </c>
      <c r="B30" s="1059"/>
      <c r="C30" s="1059" t="s">
        <v>1503</v>
      </c>
      <c r="D30" s="1059" t="s">
        <v>2993</v>
      </c>
      <c r="E30" s="1060"/>
      <c r="F30" s="1060"/>
      <c r="G30" s="1060"/>
      <c r="H30" s="1060"/>
      <c r="I30" s="1060"/>
      <c r="J30" s="1071"/>
      <c r="K30" s="1060"/>
      <c r="L30" s="1075" t="s">
        <v>3070</v>
      </c>
      <c r="M30" s="1076" t="s">
        <v>1295</v>
      </c>
      <c r="N30" s="1065" t="s">
        <v>1296</v>
      </c>
      <c r="O30" s="1073"/>
      <c r="P30" s="1073"/>
      <c r="Q30" s="1073"/>
      <c r="R30" s="1073"/>
      <c r="S30" s="1066">
        <v>20130</v>
      </c>
      <c r="T30" s="1066">
        <v>20130</v>
      </c>
      <c r="U30" s="1067"/>
    </row>
    <row r="31" spans="1:21" s="495" customFormat="1" ht="22.5">
      <c r="A31" s="1062" t="s">
        <v>18</v>
      </c>
      <c r="B31" s="1046" t="s">
        <v>1292</v>
      </c>
      <c r="C31" s="1059" t="s">
        <v>1486</v>
      </c>
      <c r="D31" s="1059"/>
      <c r="E31" s="1060"/>
      <c r="F31" s="1060"/>
      <c r="G31" s="1060"/>
      <c r="H31" s="1060"/>
      <c r="I31" s="1060"/>
      <c r="J31" s="1060"/>
      <c r="K31" s="1060"/>
      <c r="L31" s="1063" t="s">
        <v>124</v>
      </c>
      <c r="M31" s="1064" t="s">
        <v>1476</v>
      </c>
      <c r="N31" s="1065" t="s">
        <v>351</v>
      </c>
      <c r="O31" s="1066">
        <v>0</v>
      </c>
      <c r="P31" s="1066">
        <v>0</v>
      </c>
      <c r="Q31" s="1066">
        <v>0</v>
      </c>
      <c r="R31" s="1066">
        <v>0</v>
      </c>
      <c r="S31" s="1066">
        <v>72.468000000000004</v>
      </c>
      <c r="T31" s="1066">
        <v>72.468000000000004</v>
      </c>
      <c r="U31" s="1067"/>
    </row>
    <row r="32" spans="1:21" s="495" customFormat="1">
      <c r="A32" s="1062" t="s">
        <v>18</v>
      </c>
      <c r="B32" s="1046" t="s">
        <v>1355</v>
      </c>
      <c r="C32" s="1059" t="s">
        <v>1487</v>
      </c>
      <c r="D32" s="1059"/>
      <c r="E32" s="1060"/>
      <c r="F32" s="1060"/>
      <c r="G32" s="1060"/>
      <c r="H32" s="1060"/>
      <c r="I32" s="1060"/>
      <c r="J32" s="1060"/>
      <c r="K32" s="1060"/>
      <c r="L32" s="1063" t="s">
        <v>125</v>
      </c>
      <c r="M32" s="1064" t="s">
        <v>1356</v>
      </c>
      <c r="N32" s="1065" t="s">
        <v>351</v>
      </c>
      <c r="O32" s="1066"/>
      <c r="P32" s="1066"/>
      <c r="Q32" s="1066"/>
      <c r="R32" s="1066"/>
      <c r="S32" s="1011">
        <v>0</v>
      </c>
      <c r="T32" s="1011">
        <v>0</v>
      </c>
      <c r="U32" s="1067"/>
    </row>
    <row r="33" spans="1:21" s="495" customFormat="1">
      <c r="A33" s="1062" t="s">
        <v>18</v>
      </c>
      <c r="B33" s="1046"/>
      <c r="C33" s="1059"/>
      <c r="D33" s="1059"/>
      <c r="E33" s="1060"/>
      <c r="F33" s="1060"/>
      <c r="G33" s="1060"/>
      <c r="H33" s="1060"/>
      <c r="I33" s="1060"/>
      <c r="J33" s="1060">
        <v>7</v>
      </c>
      <c r="K33" s="1060"/>
      <c r="L33" s="1063"/>
      <c r="M33" s="1064"/>
      <c r="N33" s="1065"/>
      <c r="O33" s="1068"/>
      <c r="P33" s="1068"/>
      <c r="Q33" s="1068"/>
      <c r="R33" s="1068"/>
      <c r="S33" s="1011"/>
      <c r="T33" s="1011"/>
      <c r="U33" s="1069"/>
    </row>
    <row r="34" spans="1:21" s="495" customFormat="1" ht="22.5">
      <c r="A34" s="1062" t="s">
        <v>18</v>
      </c>
      <c r="B34" s="1046" t="s">
        <v>1357</v>
      </c>
      <c r="C34" s="1059" t="s">
        <v>1494</v>
      </c>
      <c r="D34" s="1059"/>
      <c r="E34" s="1060"/>
      <c r="F34" s="1060"/>
      <c r="G34" s="1060"/>
      <c r="H34" s="1060"/>
      <c r="I34" s="1060"/>
      <c r="J34" s="1060"/>
      <c r="K34" s="1060"/>
      <c r="L34" s="1063" t="s">
        <v>126</v>
      </c>
      <c r="M34" s="1064" t="s">
        <v>1477</v>
      </c>
      <c r="N34" s="1065" t="s">
        <v>351</v>
      </c>
      <c r="O34" s="1066">
        <v>0</v>
      </c>
      <c r="P34" s="1066">
        <v>0</v>
      </c>
      <c r="Q34" s="1066">
        <v>0</v>
      </c>
      <c r="R34" s="1066">
        <v>0</v>
      </c>
      <c r="S34" s="1066">
        <v>0</v>
      </c>
      <c r="T34" s="1066">
        <v>0</v>
      </c>
      <c r="U34" s="1067"/>
    </row>
    <row r="35" spans="1:21">
      <c r="A35" s="1045"/>
      <c r="B35" s="1046"/>
      <c r="C35" s="1045"/>
      <c r="D35" s="1045"/>
      <c r="E35" s="1045"/>
      <c r="F35" s="1045"/>
      <c r="G35" s="1045"/>
      <c r="H35" s="1045"/>
      <c r="I35" s="1045"/>
      <c r="J35" s="1045"/>
      <c r="K35" s="1045"/>
      <c r="L35" s="1045"/>
      <c r="M35" s="1045"/>
      <c r="N35" s="1045"/>
      <c r="O35" s="1045"/>
      <c r="P35" s="1045"/>
      <c r="Q35" s="1045"/>
      <c r="R35" s="1045"/>
      <c r="S35" s="1045"/>
      <c r="T35" s="1045"/>
      <c r="U35" s="1045"/>
    </row>
    <row r="36" spans="1:21" s="482" customFormat="1" ht="15" customHeight="1">
      <c r="A36" s="1047"/>
      <c r="B36" s="1077"/>
      <c r="C36" s="1047"/>
      <c r="D36" s="1047"/>
      <c r="E36" s="1047"/>
      <c r="F36" s="1047"/>
      <c r="G36" s="1047"/>
      <c r="H36" s="1047"/>
      <c r="I36" s="1047"/>
      <c r="J36" s="1047"/>
      <c r="K36" s="1047"/>
      <c r="L36" s="1078" t="s">
        <v>1425</v>
      </c>
      <c r="M36" s="1078"/>
      <c r="N36" s="1078"/>
      <c r="O36" s="1078"/>
      <c r="P36" s="1078"/>
      <c r="Q36" s="1078"/>
      <c r="R36" s="1078"/>
      <c r="S36" s="1079"/>
      <c r="T36" s="1079"/>
      <c r="U36" s="1079"/>
    </row>
    <row r="37" spans="1:21" s="482" customFormat="1" ht="15" customHeight="1">
      <c r="A37" s="1047"/>
      <c r="B37" s="1077"/>
      <c r="C37" s="1047"/>
      <c r="D37" s="1047"/>
      <c r="E37" s="1047"/>
      <c r="F37" s="1047"/>
      <c r="G37" s="1047"/>
      <c r="H37" s="1047"/>
      <c r="I37" s="1047"/>
      <c r="J37" s="1047"/>
      <c r="K37" s="807"/>
      <c r="L37" s="1080" t="s">
        <v>2995</v>
      </c>
      <c r="M37" s="1081"/>
      <c r="N37" s="1081"/>
      <c r="O37" s="1081"/>
      <c r="P37" s="1081"/>
      <c r="Q37" s="1081"/>
      <c r="R37" s="1081"/>
      <c r="S37" s="1082"/>
      <c r="T37" s="1082"/>
      <c r="U37" s="1082"/>
    </row>
  </sheetData>
  <sheetProtection formatColumns="0" formatRows="0" autoFilter="0"/>
  <mergeCells count="8">
    <mergeCell ref="L14:L15"/>
    <mergeCell ref="M14:M15"/>
    <mergeCell ref="N14:N15"/>
    <mergeCell ref="U14:U15"/>
    <mergeCell ref="J19:J21"/>
    <mergeCell ref="J28:J30"/>
    <mergeCell ref="L36:U36"/>
    <mergeCell ref="L37:U37"/>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37"/>
  <sheetViews>
    <sheetView showGridLines="0" view="pageBreakPreview" topLeftCell="K11" zoomScaleNormal="100" zoomScaleSheetLayoutView="100" workbookViewId="0">
      <selection activeCell="P46" sqref="P46"/>
    </sheetView>
  </sheetViews>
  <sheetFormatPr defaultColWidth="9.140625" defaultRowHeight="11.25"/>
  <cols>
    <col min="1" max="1" width="2.7109375" style="485" hidden="1" customWidth="1"/>
    <col min="2" max="2" width="2.7109375" style="484" hidden="1" customWidth="1"/>
    <col min="3" max="3" width="6.42578125" style="485" hidden="1" customWidth="1"/>
    <col min="4" max="10" width="2.7109375" style="485" hidden="1" customWidth="1"/>
    <col min="11" max="11" width="3.7109375" style="485" hidden="1" customWidth="1"/>
    <col min="12" max="12" width="5.7109375" style="485" customWidth="1"/>
    <col min="13" max="13" width="55.7109375" style="485" customWidth="1"/>
    <col min="14" max="14" width="12.7109375" style="485" customWidth="1"/>
    <col min="15" max="20" width="13.7109375" style="485" customWidth="1"/>
    <col min="21" max="21" width="33.28515625" style="485" customWidth="1"/>
    <col min="22" max="16384" width="9.140625" style="485"/>
  </cols>
  <sheetData>
    <row r="1" spans="1:21" hidden="1">
      <c r="A1" s="1083"/>
      <c r="B1" s="1074"/>
      <c r="C1" s="1083"/>
      <c r="D1" s="1083"/>
      <c r="E1" s="1083"/>
      <c r="F1" s="1083"/>
      <c r="G1" s="1083"/>
      <c r="H1" s="1083"/>
      <c r="I1" s="1083"/>
      <c r="J1" s="1083"/>
      <c r="K1" s="1083"/>
      <c r="L1" s="1083"/>
      <c r="M1" s="1083"/>
      <c r="N1" s="1083"/>
      <c r="O1" s="1083">
        <v>2022</v>
      </c>
      <c r="P1" s="1083">
        <v>2022</v>
      </c>
      <c r="Q1" s="1083">
        <v>2022</v>
      </c>
      <c r="R1" s="1083">
        <v>2023</v>
      </c>
      <c r="S1" s="934">
        <v>2024</v>
      </c>
      <c r="T1" s="934">
        <v>2024</v>
      </c>
      <c r="U1" s="1033"/>
    </row>
    <row r="2" spans="1:21" hidden="1">
      <c r="A2" s="1083"/>
      <c r="B2" s="1074"/>
      <c r="C2" s="1083"/>
      <c r="D2" s="1083"/>
      <c r="E2" s="1083"/>
      <c r="F2" s="1083"/>
      <c r="G2" s="1083"/>
      <c r="H2" s="1083"/>
      <c r="I2" s="1083"/>
      <c r="J2" s="1083"/>
      <c r="K2" s="1083"/>
      <c r="L2" s="1083"/>
      <c r="M2" s="1083"/>
      <c r="N2" s="1083"/>
      <c r="O2" s="1083" t="s">
        <v>267</v>
      </c>
      <c r="P2" s="1083" t="s">
        <v>305</v>
      </c>
      <c r="Q2" s="1083" t="s">
        <v>285</v>
      </c>
      <c r="R2" s="1083" t="s">
        <v>267</v>
      </c>
      <c r="S2" s="1083" t="s">
        <v>268</v>
      </c>
      <c r="T2" s="1083" t="s">
        <v>267</v>
      </c>
      <c r="U2" s="1083"/>
    </row>
    <row r="3" spans="1:21" hidden="1">
      <c r="A3" s="1083"/>
      <c r="B3" s="1074"/>
      <c r="C3" s="1083"/>
      <c r="D3" s="1083"/>
      <c r="E3" s="1083"/>
      <c r="F3" s="1083"/>
      <c r="G3" s="1083"/>
      <c r="H3" s="1083"/>
      <c r="I3" s="1083"/>
      <c r="J3" s="1083"/>
      <c r="K3" s="1083"/>
      <c r="L3" s="1083"/>
      <c r="M3" s="1083"/>
      <c r="N3" s="1083"/>
      <c r="O3" s="1083"/>
      <c r="P3" s="1083"/>
      <c r="Q3" s="1083"/>
      <c r="R3" s="1083"/>
      <c r="S3" s="1083"/>
      <c r="T3" s="1083"/>
      <c r="U3" s="1083"/>
    </row>
    <row r="4" spans="1:21" hidden="1">
      <c r="A4" s="1083"/>
      <c r="B4" s="1074"/>
      <c r="C4" s="1083"/>
      <c r="D4" s="1083"/>
      <c r="E4" s="1083"/>
      <c r="F4" s="1083"/>
      <c r="G4" s="1083"/>
      <c r="H4" s="1083"/>
      <c r="I4" s="1083"/>
      <c r="J4" s="1083"/>
      <c r="K4" s="1083"/>
      <c r="L4" s="1083"/>
      <c r="M4" s="1083"/>
      <c r="N4" s="1083"/>
      <c r="O4" s="1083"/>
      <c r="P4" s="1083"/>
      <c r="Q4" s="1083"/>
      <c r="R4" s="1083"/>
      <c r="S4" s="1083"/>
      <c r="T4" s="1083"/>
      <c r="U4" s="1083"/>
    </row>
    <row r="5" spans="1:21" hidden="1">
      <c r="A5" s="1083"/>
      <c r="B5" s="1074"/>
      <c r="C5" s="1083"/>
      <c r="D5" s="1083"/>
      <c r="E5" s="1083"/>
      <c r="F5" s="1083"/>
      <c r="G5" s="1083"/>
      <c r="H5" s="1083"/>
      <c r="I5" s="1083"/>
      <c r="J5" s="1083"/>
      <c r="K5" s="1083"/>
      <c r="L5" s="1083"/>
      <c r="M5" s="1083"/>
      <c r="N5" s="1083"/>
      <c r="O5" s="1083"/>
      <c r="P5" s="1083"/>
      <c r="Q5" s="1083"/>
      <c r="R5" s="1083"/>
      <c r="S5" s="1083"/>
      <c r="T5" s="1083"/>
      <c r="U5" s="1083"/>
    </row>
    <row r="6" spans="1:21" hidden="1">
      <c r="A6" s="1083"/>
      <c r="B6" s="1074"/>
      <c r="C6" s="1083"/>
      <c r="D6" s="1083"/>
      <c r="E6" s="1083"/>
      <c r="F6" s="1083"/>
      <c r="G6" s="1083"/>
      <c r="H6" s="1083"/>
      <c r="I6" s="1083"/>
      <c r="J6" s="1083"/>
      <c r="K6" s="1083"/>
      <c r="L6" s="1083"/>
      <c r="M6" s="1083"/>
      <c r="N6" s="1083"/>
      <c r="O6" s="1083"/>
      <c r="P6" s="1083"/>
      <c r="Q6" s="1083"/>
      <c r="R6" s="1083"/>
      <c r="S6" s="1083"/>
      <c r="T6" s="1083"/>
      <c r="U6" s="1083"/>
    </row>
    <row r="7" spans="1:21" hidden="1">
      <c r="A7" s="1083"/>
      <c r="B7" s="1074"/>
      <c r="C7" s="1083"/>
      <c r="D7" s="1083"/>
      <c r="E7" s="1083"/>
      <c r="F7" s="1083"/>
      <c r="G7" s="1083"/>
      <c r="H7" s="1083"/>
      <c r="I7" s="1083"/>
      <c r="J7" s="1083"/>
      <c r="K7" s="1083"/>
      <c r="L7" s="1083"/>
      <c r="M7" s="1083"/>
      <c r="N7" s="1083"/>
      <c r="O7" s="1083"/>
      <c r="P7" s="1083"/>
      <c r="Q7" s="1083"/>
      <c r="R7" s="1083"/>
      <c r="S7" s="886" t="b">
        <v>1</v>
      </c>
      <c r="T7" s="886" t="b">
        <v>1</v>
      </c>
      <c r="U7" s="1033"/>
    </row>
    <row r="8" spans="1:21" hidden="1">
      <c r="A8" s="1083"/>
      <c r="B8" s="1074"/>
      <c r="C8" s="1083"/>
      <c r="D8" s="1083"/>
      <c r="E8" s="1083"/>
      <c r="F8" s="1083"/>
      <c r="G8" s="1083"/>
      <c r="H8" s="1083"/>
      <c r="I8" s="1083"/>
      <c r="J8" s="1083"/>
      <c r="K8" s="1083"/>
      <c r="L8" s="1083"/>
      <c r="M8" s="1083"/>
      <c r="N8" s="1083"/>
      <c r="O8" s="1083"/>
      <c r="P8" s="1083"/>
      <c r="Q8" s="1083"/>
      <c r="R8" s="1083"/>
      <c r="S8" s="1083"/>
      <c r="T8" s="1083"/>
      <c r="U8" s="1083"/>
    </row>
    <row r="9" spans="1:21" hidden="1">
      <c r="A9" s="1083"/>
      <c r="B9" s="1074"/>
      <c r="C9" s="1083"/>
      <c r="D9" s="1083"/>
      <c r="E9" s="1083"/>
      <c r="F9" s="1083"/>
      <c r="G9" s="1083"/>
      <c r="H9" s="1083"/>
      <c r="I9" s="1083"/>
      <c r="J9" s="1083"/>
      <c r="K9" s="1083"/>
      <c r="L9" s="1083"/>
      <c r="M9" s="1083"/>
      <c r="N9" s="1083"/>
      <c r="O9" s="1083"/>
      <c r="P9" s="1083"/>
      <c r="Q9" s="1083"/>
      <c r="R9" s="1083"/>
      <c r="S9" s="1083"/>
      <c r="T9" s="1083"/>
      <c r="U9" s="1083"/>
    </row>
    <row r="10" spans="1:21" hidden="1">
      <c r="A10" s="1083"/>
      <c r="B10" s="1074"/>
      <c r="C10" s="1083"/>
      <c r="D10" s="1083"/>
      <c r="E10" s="1083"/>
      <c r="F10" s="1083"/>
      <c r="G10" s="1083"/>
      <c r="H10" s="1083"/>
      <c r="I10" s="1083"/>
      <c r="J10" s="1083"/>
      <c r="K10" s="1083"/>
      <c r="L10" s="1083"/>
      <c r="M10" s="1083"/>
      <c r="N10" s="1083"/>
      <c r="O10" s="1083"/>
      <c r="P10" s="1083"/>
      <c r="Q10" s="1083"/>
      <c r="R10" s="1083"/>
      <c r="S10" s="1083"/>
      <c r="T10" s="1083"/>
      <c r="U10" s="1083"/>
    </row>
    <row r="11" spans="1:21" ht="15" hidden="1" customHeight="1">
      <c r="A11" s="1083"/>
      <c r="B11" s="1074"/>
      <c r="C11" s="1083"/>
      <c r="D11" s="1083"/>
      <c r="E11" s="1083"/>
      <c r="F11" s="1083"/>
      <c r="G11" s="1083"/>
      <c r="H11" s="1083"/>
      <c r="I11" s="1083"/>
      <c r="J11" s="1083"/>
      <c r="K11" s="1083"/>
      <c r="L11" s="1083"/>
      <c r="M11" s="1084"/>
      <c r="N11" s="1083"/>
      <c r="O11" s="1083"/>
      <c r="P11" s="1083"/>
      <c r="Q11" s="1083"/>
      <c r="R11" s="1083"/>
      <c r="S11" s="1083"/>
      <c r="T11" s="1083"/>
      <c r="U11" s="1083"/>
    </row>
    <row r="12" spans="1:21" s="296" customFormat="1" ht="20.25" customHeight="1">
      <c r="A12" s="1049"/>
      <c r="B12" s="1050"/>
      <c r="C12" s="1049"/>
      <c r="D12" s="1049"/>
      <c r="E12" s="1049"/>
      <c r="F12" s="1049"/>
      <c r="G12" s="1049"/>
      <c r="H12" s="1049"/>
      <c r="I12" s="1049"/>
      <c r="J12" s="1049"/>
      <c r="K12" s="1049"/>
      <c r="L12" s="1085" t="s">
        <v>1332</v>
      </c>
      <c r="M12" s="1086"/>
      <c r="N12" s="1086"/>
      <c r="O12" s="1086"/>
      <c r="P12" s="1086"/>
      <c r="Q12" s="1086"/>
      <c r="R12" s="1086"/>
      <c r="S12" s="1086"/>
      <c r="T12" s="1086"/>
      <c r="U12" s="1086"/>
    </row>
    <row r="13" spans="1:21" s="296" customFormat="1">
      <c r="A13" s="1049"/>
      <c r="B13" s="1050"/>
      <c r="C13" s="1049"/>
      <c r="D13" s="1049"/>
      <c r="E13" s="1049"/>
      <c r="F13" s="1049"/>
      <c r="G13" s="1049"/>
      <c r="H13" s="1049"/>
      <c r="I13" s="1049"/>
      <c r="J13" s="1049"/>
      <c r="K13" s="1049"/>
      <c r="L13" s="1087"/>
      <c r="M13" s="1088"/>
      <c r="N13" s="1088"/>
      <c r="O13" s="1088"/>
      <c r="P13" s="1088"/>
      <c r="Q13" s="1088"/>
      <c r="R13" s="1088"/>
      <c r="S13" s="1088"/>
      <c r="T13" s="1088"/>
      <c r="U13" s="1088"/>
    </row>
    <row r="14" spans="1:21" s="486" customFormat="1" ht="15" customHeight="1">
      <c r="A14" s="1089"/>
      <c r="B14" s="1074"/>
      <c r="C14" s="1089"/>
      <c r="D14" s="1089"/>
      <c r="E14" s="1089"/>
      <c r="F14" s="1089"/>
      <c r="G14" s="1089"/>
      <c r="H14" s="1089"/>
      <c r="I14" s="1089"/>
      <c r="J14" s="1089"/>
      <c r="K14" s="1089"/>
      <c r="L14" s="1003" t="s">
        <v>355</v>
      </c>
      <c r="M14" s="1004" t="s">
        <v>212</v>
      </c>
      <c r="N14" s="1003" t="s">
        <v>135</v>
      </c>
      <c r="O14" s="1056" t="s">
        <v>3020</v>
      </c>
      <c r="P14" s="1056" t="s">
        <v>3020</v>
      </c>
      <c r="Q14" s="1056" t="s">
        <v>3020</v>
      </c>
      <c r="R14" s="1056" t="s">
        <v>3021</v>
      </c>
      <c r="S14" s="940" t="s">
        <v>3022</v>
      </c>
      <c r="T14" s="940" t="s">
        <v>3022</v>
      </c>
      <c r="U14" s="1090" t="s">
        <v>304</v>
      </c>
    </row>
    <row r="15" spans="1:21" s="486" customFormat="1" ht="45" customHeight="1">
      <c r="A15" s="1089"/>
      <c r="B15" s="1074"/>
      <c r="C15" s="1089"/>
      <c r="D15" s="1089"/>
      <c r="E15" s="1089"/>
      <c r="F15" s="1089"/>
      <c r="G15" s="1089"/>
      <c r="H15" s="1089"/>
      <c r="I15" s="1089"/>
      <c r="J15" s="1089"/>
      <c r="K15" s="1089"/>
      <c r="L15" s="1091"/>
      <c r="M15" s="1091"/>
      <c r="N15" s="1091"/>
      <c r="O15" s="1056" t="s">
        <v>267</v>
      </c>
      <c r="P15" s="1056" t="s">
        <v>305</v>
      </c>
      <c r="Q15" s="1056" t="s">
        <v>285</v>
      </c>
      <c r="R15" s="1056" t="s">
        <v>267</v>
      </c>
      <c r="S15" s="943" t="s">
        <v>268</v>
      </c>
      <c r="T15" s="943" t="s">
        <v>267</v>
      </c>
      <c r="U15" s="1091"/>
    </row>
    <row r="16" spans="1:21" s="510" customFormat="1">
      <c r="A16" s="944" t="s">
        <v>18</v>
      </c>
      <c r="B16" s="1092"/>
      <c r="C16" s="1092"/>
      <c r="D16" s="1092"/>
      <c r="E16" s="1092"/>
      <c r="F16" s="1092"/>
      <c r="G16" s="1092"/>
      <c r="H16" s="1092"/>
      <c r="I16" s="1092"/>
      <c r="J16" s="1092"/>
      <c r="K16" s="1092"/>
      <c r="L16" s="1061" t="s">
        <v>3018</v>
      </c>
      <c r="M16" s="839"/>
      <c r="N16" s="839"/>
      <c r="O16" s="1038">
        <v>0</v>
      </c>
      <c r="P16" s="1038">
        <v>0</v>
      </c>
      <c r="Q16" s="1038">
        <v>0</v>
      </c>
      <c r="R16" s="1038">
        <v>0</v>
      </c>
      <c r="S16" s="1038">
        <v>314.02800000000002</v>
      </c>
      <c r="T16" s="1038">
        <v>314.02800000000002</v>
      </c>
      <c r="U16" s="840"/>
    </row>
    <row r="17" spans="1:21" s="510" customFormat="1" ht="22.5">
      <c r="A17" s="1062" t="s">
        <v>18</v>
      </c>
      <c r="B17" s="1092"/>
      <c r="C17" s="1093" t="s">
        <v>1480</v>
      </c>
      <c r="D17" s="1092"/>
      <c r="E17" s="1092"/>
      <c r="F17" s="1092"/>
      <c r="G17" s="1092"/>
      <c r="H17" s="1092"/>
      <c r="I17" s="1092"/>
      <c r="J17" s="1092"/>
      <c r="K17" s="1092"/>
      <c r="L17" s="1094">
        <v>1</v>
      </c>
      <c r="M17" s="1064" t="s">
        <v>1290</v>
      </c>
      <c r="N17" s="1065" t="s">
        <v>351</v>
      </c>
      <c r="O17" s="1095">
        <v>0</v>
      </c>
      <c r="P17" s="1095">
        <v>0</v>
      </c>
      <c r="Q17" s="1095">
        <v>0</v>
      </c>
      <c r="R17" s="1095">
        <v>0</v>
      </c>
      <c r="S17" s="1095">
        <v>241.56</v>
      </c>
      <c r="T17" s="1095">
        <v>241.56</v>
      </c>
      <c r="U17" s="1096"/>
    </row>
    <row r="18" spans="1:21" s="510" customFormat="1" ht="22.5">
      <c r="A18" s="1062" t="s">
        <v>18</v>
      </c>
      <c r="B18" s="1092"/>
      <c r="C18" s="1093" t="s">
        <v>1481</v>
      </c>
      <c r="D18" s="1092"/>
      <c r="E18" s="1092"/>
      <c r="F18" s="1092"/>
      <c r="G18" s="1092"/>
      <c r="H18" s="1092"/>
      <c r="I18" s="1092"/>
      <c r="J18" s="1092"/>
      <c r="K18" s="1092"/>
      <c r="L18" s="1094" t="s">
        <v>102</v>
      </c>
      <c r="M18" s="1064" t="s">
        <v>1476</v>
      </c>
      <c r="N18" s="1065" t="s">
        <v>351</v>
      </c>
      <c r="O18" s="1095">
        <v>0</v>
      </c>
      <c r="P18" s="1095">
        <v>0</v>
      </c>
      <c r="Q18" s="1095">
        <v>0</v>
      </c>
      <c r="R18" s="1095">
        <v>0</v>
      </c>
      <c r="S18" s="1095">
        <v>72.468000000000004</v>
      </c>
      <c r="T18" s="1095">
        <v>72.468000000000004</v>
      </c>
      <c r="U18" s="1096"/>
    </row>
    <row r="19" spans="1:21" s="510" customFormat="1" ht="33.75">
      <c r="A19" s="1062" t="s">
        <v>18</v>
      </c>
      <c r="B19" s="1074" t="s">
        <v>1298</v>
      </c>
      <c r="C19" s="1093" t="s">
        <v>1483</v>
      </c>
      <c r="D19" s="1092"/>
      <c r="E19" s="1092"/>
      <c r="F19" s="1092"/>
      <c r="G19" s="1092"/>
      <c r="H19" s="1092"/>
      <c r="I19" s="1092"/>
      <c r="J19" s="1092"/>
      <c r="K19" s="1092"/>
      <c r="L19" s="1094" t="s">
        <v>103</v>
      </c>
      <c r="M19" s="1064" t="s">
        <v>1299</v>
      </c>
      <c r="N19" s="1065" t="s">
        <v>351</v>
      </c>
      <c r="O19" s="1097">
        <v>0</v>
      </c>
      <c r="P19" s="1097">
        <v>0</v>
      </c>
      <c r="Q19" s="1097">
        <v>0</v>
      </c>
      <c r="R19" s="1097">
        <v>0</v>
      </c>
      <c r="S19" s="1097">
        <v>0</v>
      </c>
      <c r="T19" s="1097">
        <v>0</v>
      </c>
      <c r="U19" s="1096"/>
    </row>
    <row r="20" spans="1:21" s="510" customFormat="1">
      <c r="A20" s="1062" t="s">
        <v>18</v>
      </c>
      <c r="B20" s="1098" t="s">
        <v>1346</v>
      </c>
      <c r="C20" s="1093" t="s">
        <v>1548</v>
      </c>
      <c r="D20" s="1092"/>
      <c r="E20" s="1092"/>
      <c r="F20" s="1092"/>
      <c r="G20" s="1092"/>
      <c r="H20" s="1092"/>
      <c r="I20" s="1092"/>
      <c r="J20" s="1092"/>
      <c r="K20" s="1092"/>
      <c r="L20" s="1094" t="s">
        <v>154</v>
      </c>
      <c r="M20" s="1099" t="s">
        <v>553</v>
      </c>
      <c r="N20" s="1065" t="s">
        <v>351</v>
      </c>
      <c r="O20" s="1100"/>
      <c r="P20" s="1100"/>
      <c r="Q20" s="1100"/>
      <c r="R20" s="1100"/>
      <c r="S20" s="1100"/>
      <c r="T20" s="1100"/>
      <c r="U20" s="1096"/>
    </row>
    <row r="21" spans="1:21" s="510" customFormat="1">
      <c r="A21" s="1062" t="s">
        <v>18</v>
      </c>
      <c r="B21" s="1098" t="s">
        <v>1345</v>
      </c>
      <c r="C21" s="1093" t="s">
        <v>1550</v>
      </c>
      <c r="D21" s="1092"/>
      <c r="E21" s="1092"/>
      <c r="F21" s="1092"/>
      <c r="G21" s="1092"/>
      <c r="H21" s="1092"/>
      <c r="I21" s="1092"/>
      <c r="J21" s="1092"/>
      <c r="K21" s="1092"/>
      <c r="L21" s="1094" t="s">
        <v>155</v>
      </c>
      <c r="M21" s="1099" t="s">
        <v>555</v>
      </c>
      <c r="N21" s="1065" t="s">
        <v>351</v>
      </c>
      <c r="O21" s="1100"/>
      <c r="P21" s="1100"/>
      <c r="Q21" s="1100"/>
      <c r="R21" s="1100"/>
      <c r="S21" s="1100"/>
      <c r="T21" s="1100"/>
      <c r="U21" s="1096"/>
    </row>
    <row r="22" spans="1:21" s="510" customFormat="1">
      <c r="A22" s="1062" t="s">
        <v>18</v>
      </c>
      <c r="B22" s="1098" t="s">
        <v>1347</v>
      </c>
      <c r="C22" s="1093" t="s">
        <v>1555</v>
      </c>
      <c r="D22" s="1092"/>
      <c r="E22" s="1092"/>
      <c r="F22" s="1092"/>
      <c r="G22" s="1092"/>
      <c r="H22" s="1092"/>
      <c r="I22" s="1092"/>
      <c r="J22" s="1092"/>
      <c r="K22" s="1092"/>
      <c r="L22" s="1094" t="s">
        <v>368</v>
      </c>
      <c r="M22" s="1099" t="s">
        <v>557</v>
      </c>
      <c r="N22" s="1065" t="s">
        <v>351</v>
      </c>
      <c r="O22" s="1100"/>
      <c r="P22" s="1100"/>
      <c r="Q22" s="1100"/>
      <c r="R22" s="1100"/>
      <c r="S22" s="1100"/>
      <c r="T22" s="1100"/>
      <c r="U22" s="1096"/>
    </row>
    <row r="23" spans="1:21" s="510" customFormat="1">
      <c r="A23" s="1062" t="s">
        <v>18</v>
      </c>
      <c r="B23" s="1098" t="s">
        <v>1348</v>
      </c>
      <c r="C23" s="1093" t="s">
        <v>1556</v>
      </c>
      <c r="D23" s="1092"/>
      <c r="E23" s="1092"/>
      <c r="F23" s="1092"/>
      <c r="G23" s="1092"/>
      <c r="H23" s="1092"/>
      <c r="I23" s="1092"/>
      <c r="J23" s="1092"/>
      <c r="K23" s="1092"/>
      <c r="L23" s="1094" t="s">
        <v>369</v>
      </c>
      <c r="M23" s="1099" t="s">
        <v>559</v>
      </c>
      <c r="N23" s="1065" t="s">
        <v>351</v>
      </c>
      <c r="O23" s="1100"/>
      <c r="P23" s="1100"/>
      <c r="Q23" s="1100"/>
      <c r="R23" s="1100"/>
      <c r="S23" s="1100"/>
      <c r="T23" s="1100"/>
      <c r="U23" s="1096"/>
    </row>
    <row r="24" spans="1:21" s="510" customFormat="1">
      <c r="A24" s="1062" t="s">
        <v>18</v>
      </c>
      <c r="B24" s="1098" t="s">
        <v>1349</v>
      </c>
      <c r="C24" s="1093" t="s">
        <v>1557</v>
      </c>
      <c r="D24" s="1092"/>
      <c r="E24" s="1092"/>
      <c r="F24" s="1092"/>
      <c r="G24" s="1092"/>
      <c r="H24" s="1092"/>
      <c r="I24" s="1092"/>
      <c r="J24" s="1092"/>
      <c r="K24" s="1092"/>
      <c r="L24" s="1094" t="s">
        <v>370</v>
      </c>
      <c r="M24" s="1099" t="s">
        <v>561</v>
      </c>
      <c r="N24" s="1065" t="s">
        <v>351</v>
      </c>
      <c r="O24" s="1100"/>
      <c r="P24" s="1100"/>
      <c r="Q24" s="1100"/>
      <c r="R24" s="1100"/>
      <c r="S24" s="1100"/>
      <c r="T24" s="1100"/>
      <c r="U24" s="1096"/>
    </row>
    <row r="25" spans="1:21" s="510" customFormat="1">
      <c r="A25" s="1062" t="s">
        <v>18</v>
      </c>
      <c r="B25" s="1098" t="s">
        <v>1350</v>
      </c>
      <c r="C25" s="1093" t="s">
        <v>1569</v>
      </c>
      <c r="D25" s="1092"/>
      <c r="E25" s="1092"/>
      <c r="F25" s="1092"/>
      <c r="G25" s="1092"/>
      <c r="H25" s="1092"/>
      <c r="I25" s="1092"/>
      <c r="J25" s="1092"/>
      <c r="K25" s="1092"/>
      <c r="L25" s="1094" t="s">
        <v>1300</v>
      </c>
      <c r="M25" s="1099" t="s">
        <v>563</v>
      </c>
      <c r="N25" s="1065" t="s">
        <v>351</v>
      </c>
      <c r="O25" s="1100"/>
      <c r="P25" s="1100"/>
      <c r="Q25" s="1100"/>
      <c r="R25" s="1100"/>
      <c r="S25" s="1100"/>
      <c r="T25" s="1100"/>
      <c r="U25" s="1096"/>
    </row>
    <row r="26" spans="1:21" s="510" customFormat="1">
      <c r="A26" s="1062" t="s">
        <v>18</v>
      </c>
      <c r="B26" s="1098" t="s">
        <v>1457</v>
      </c>
      <c r="C26" s="1093" t="s">
        <v>1570</v>
      </c>
      <c r="D26" s="1092"/>
      <c r="E26" s="1092"/>
      <c r="F26" s="1092"/>
      <c r="G26" s="1092"/>
      <c r="H26" s="1092"/>
      <c r="I26" s="1092"/>
      <c r="J26" s="1092"/>
      <c r="K26" s="1092"/>
      <c r="L26" s="1094" t="s">
        <v>1458</v>
      </c>
      <c r="M26" s="1099" t="s">
        <v>1459</v>
      </c>
      <c r="N26" s="1065" t="s">
        <v>351</v>
      </c>
      <c r="O26" s="1100"/>
      <c r="P26" s="1100"/>
      <c r="Q26" s="1100"/>
      <c r="R26" s="1100"/>
      <c r="S26" s="1100"/>
      <c r="T26" s="1100"/>
      <c r="U26" s="1096"/>
    </row>
    <row r="27" spans="1:21" s="510" customFormat="1" ht="45">
      <c r="A27" s="1062" t="s">
        <v>18</v>
      </c>
      <c r="B27" s="1074" t="s">
        <v>1301</v>
      </c>
      <c r="C27" s="1093" t="s">
        <v>1484</v>
      </c>
      <c r="D27" s="1092"/>
      <c r="E27" s="1092"/>
      <c r="F27" s="1092"/>
      <c r="G27" s="1092"/>
      <c r="H27" s="1092"/>
      <c r="I27" s="1092"/>
      <c r="J27" s="1092"/>
      <c r="K27" s="1092"/>
      <c r="L27" s="1094" t="s">
        <v>104</v>
      </c>
      <c r="M27" s="1064" t="s">
        <v>1302</v>
      </c>
      <c r="N27" s="1065" t="s">
        <v>351</v>
      </c>
      <c r="O27" s="1100"/>
      <c r="P27" s="1100"/>
      <c r="Q27" s="1100"/>
      <c r="R27" s="1100"/>
      <c r="S27" s="1100"/>
      <c r="T27" s="1100"/>
      <c r="U27" s="1096"/>
    </row>
    <row r="28" spans="1:21" s="510" customFormat="1">
      <c r="A28" s="1062" t="s">
        <v>18</v>
      </c>
      <c r="B28" s="1074" t="s">
        <v>1303</v>
      </c>
      <c r="C28" s="1093" t="s">
        <v>1485</v>
      </c>
      <c r="D28" s="1092"/>
      <c r="E28" s="1092"/>
      <c r="F28" s="1092"/>
      <c r="G28" s="1092"/>
      <c r="H28" s="1092"/>
      <c r="I28" s="1092"/>
      <c r="J28" s="1092"/>
      <c r="K28" s="1092"/>
      <c r="L28" s="1094" t="s">
        <v>120</v>
      </c>
      <c r="M28" s="1064" t="s">
        <v>1304</v>
      </c>
      <c r="N28" s="1065" t="s">
        <v>351</v>
      </c>
      <c r="O28" s="1100"/>
      <c r="P28" s="1100"/>
      <c r="Q28" s="1100"/>
      <c r="R28" s="1100"/>
      <c r="S28" s="1100"/>
      <c r="T28" s="1100"/>
      <c r="U28" s="1096"/>
    </row>
    <row r="29" spans="1:21" s="510" customFormat="1">
      <c r="A29" s="1062" t="s">
        <v>18</v>
      </c>
      <c r="B29" s="1074" t="s">
        <v>1305</v>
      </c>
      <c r="C29" s="1093" t="s">
        <v>1486</v>
      </c>
      <c r="D29" s="1092"/>
      <c r="E29" s="1092"/>
      <c r="F29" s="1092"/>
      <c r="G29" s="1092"/>
      <c r="H29" s="1092"/>
      <c r="I29" s="1092"/>
      <c r="J29" s="1092"/>
      <c r="K29" s="1092"/>
      <c r="L29" s="1094" t="s">
        <v>124</v>
      </c>
      <c r="M29" s="1064" t="s">
        <v>1306</v>
      </c>
      <c r="N29" s="1065" t="s">
        <v>351</v>
      </c>
      <c r="O29" s="1100"/>
      <c r="P29" s="1100"/>
      <c r="Q29" s="1100"/>
      <c r="R29" s="1100"/>
      <c r="S29" s="1100"/>
      <c r="T29" s="1100"/>
      <c r="U29" s="1096"/>
    </row>
    <row r="30" spans="1:21" s="510" customFormat="1">
      <c r="A30" s="1062" t="s">
        <v>18</v>
      </c>
      <c r="B30" s="1074" t="s">
        <v>1307</v>
      </c>
      <c r="C30" s="1093" t="s">
        <v>1487</v>
      </c>
      <c r="D30" s="1092"/>
      <c r="E30" s="1092"/>
      <c r="F30" s="1092"/>
      <c r="G30" s="1092"/>
      <c r="H30" s="1092"/>
      <c r="I30" s="1092"/>
      <c r="J30" s="1092"/>
      <c r="K30" s="1092"/>
      <c r="L30" s="1094" t="s">
        <v>125</v>
      </c>
      <c r="M30" s="1064" t="s">
        <v>1308</v>
      </c>
      <c r="N30" s="1065" t="s">
        <v>351</v>
      </c>
      <c r="O30" s="1100"/>
      <c r="P30" s="1100"/>
      <c r="Q30" s="1100"/>
      <c r="R30" s="1100"/>
      <c r="S30" s="1100"/>
      <c r="T30" s="1100"/>
      <c r="U30" s="1096"/>
    </row>
    <row r="31" spans="1:21" s="510" customFormat="1">
      <c r="A31" s="1062" t="s">
        <v>18</v>
      </c>
      <c r="B31" s="1074" t="s">
        <v>1309</v>
      </c>
      <c r="C31" s="1093" t="s">
        <v>1494</v>
      </c>
      <c r="D31" s="1092"/>
      <c r="E31" s="1092"/>
      <c r="F31" s="1092"/>
      <c r="G31" s="1092"/>
      <c r="H31" s="1092"/>
      <c r="I31" s="1092"/>
      <c r="J31" s="1092"/>
      <c r="K31" s="1092"/>
      <c r="L31" s="1094" t="s">
        <v>126</v>
      </c>
      <c r="M31" s="1064" t="s">
        <v>1310</v>
      </c>
      <c r="N31" s="1065" t="s">
        <v>351</v>
      </c>
      <c r="O31" s="1097">
        <v>0</v>
      </c>
      <c r="P31" s="1097">
        <v>0</v>
      </c>
      <c r="Q31" s="1097">
        <v>0</v>
      </c>
      <c r="R31" s="1097">
        <v>0</v>
      </c>
      <c r="S31" s="1097">
        <v>0</v>
      </c>
      <c r="T31" s="1097">
        <v>0</v>
      </c>
      <c r="U31" s="1096"/>
    </row>
    <row r="32" spans="1:21" s="510" customFormat="1">
      <c r="A32" s="1062" t="s">
        <v>18</v>
      </c>
      <c r="B32" s="1074" t="s">
        <v>1311</v>
      </c>
      <c r="C32" s="1093" t="s">
        <v>1504</v>
      </c>
      <c r="D32" s="1092"/>
      <c r="E32" s="1092"/>
      <c r="F32" s="1092"/>
      <c r="G32" s="1092"/>
      <c r="H32" s="1092"/>
      <c r="I32" s="1092"/>
      <c r="J32" s="1092"/>
      <c r="K32" s="1092"/>
      <c r="L32" s="1094" t="s">
        <v>141</v>
      </c>
      <c r="M32" s="1099" t="s">
        <v>1312</v>
      </c>
      <c r="N32" s="1065" t="s">
        <v>351</v>
      </c>
      <c r="O32" s="1100"/>
      <c r="P32" s="1100"/>
      <c r="Q32" s="1100"/>
      <c r="R32" s="1100"/>
      <c r="S32" s="1100"/>
      <c r="T32" s="1100"/>
      <c r="U32" s="1096"/>
    </row>
    <row r="33" spans="1:21" s="510" customFormat="1" ht="45">
      <c r="A33" s="1062" t="s">
        <v>18</v>
      </c>
      <c r="B33" s="1074" t="s">
        <v>1313</v>
      </c>
      <c r="C33" s="1093" t="s">
        <v>1505</v>
      </c>
      <c r="D33" s="1092"/>
      <c r="E33" s="1092"/>
      <c r="F33" s="1092"/>
      <c r="G33" s="1092"/>
      <c r="H33" s="1092"/>
      <c r="I33" s="1092"/>
      <c r="J33" s="1092"/>
      <c r="K33" s="1092"/>
      <c r="L33" s="1094" t="s">
        <v>183</v>
      </c>
      <c r="M33" s="1099" t="s">
        <v>1314</v>
      </c>
      <c r="N33" s="1065" t="s">
        <v>351</v>
      </c>
      <c r="O33" s="1100"/>
      <c r="P33" s="1100"/>
      <c r="Q33" s="1100"/>
      <c r="R33" s="1100"/>
      <c r="S33" s="1100"/>
      <c r="T33" s="1100"/>
      <c r="U33" s="1096"/>
    </row>
    <row r="34" spans="1:21" s="510" customFormat="1">
      <c r="A34" s="1062" t="s">
        <v>18</v>
      </c>
      <c r="B34" s="1098" t="s">
        <v>1460</v>
      </c>
      <c r="C34" s="1093" t="s">
        <v>1506</v>
      </c>
      <c r="D34" s="1092"/>
      <c r="E34" s="1092"/>
      <c r="F34" s="1092"/>
      <c r="G34" s="1092"/>
      <c r="H34" s="1092"/>
      <c r="I34" s="1092"/>
      <c r="J34" s="1092"/>
      <c r="K34" s="1092"/>
      <c r="L34" s="1094" t="s">
        <v>389</v>
      </c>
      <c r="M34" s="1099" t="s">
        <v>1461</v>
      </c>
      <c r="N34" s="1065" t="s">
        <v>351</v>
      </c>
      <c r="O34" s="1100"/>
      <c r="P34" s="1100"/>
      <c r="Q34" s="1100"/>
      <c r="R34" s="1100"/>
      <c r="S34" s="1100"/>
      <c r="T34" s="1100"/>
      <c r="U34" s="1096"/>
    </row>
    <row r="35" spans="1:21">
      <c r="A35" s="1083"/>
      <c r="B35" s="1074"/>
      <c r="C35" s="1083"/>
      <c r="D35" s="1083"/>
      <c r="E35" s="1083"/>
      <c r="F35" s="1083"/>
      <c r="G35" s="1083"/>
      <c r="H35" s="1083"/>
      <c r="I35" s="1083"/>
      <c r="J35" s="1083"/>
      <c r="K35" s="1083"/>
      <c r="L35" s="1083"/>
      <c r="M35" s="1083"/>
      <c r="N35" s="1083"/>
      <c r="O35" s="1083"/>
      <c r="P35" s="1083"/>
      <c r="Q35" s="1083"/>
      <c r="R35" s="1083"/>
      <c r="S35" s="1083"/>
      <c r="T35" s="1083"/>
      <c r="U35" s="1083"/>
    </row>
    <row r="36" spans="1:21" ht="15" customHeight="1">
      <c r="A36" s="1083"/>
      <c r="B36" s="1074"/>
      <c r="C36" s="1083"/>
      <c r="D36" s="1083"/>
      <c r="E36" s="1083"/>
      <c r="F36" s="1083"/>
      <c r="G36" s="1083"/>
      <c r="H36" s="1083"/>
      <c r="I36" s="1083"/>
      <c r="J36" s="1083"/>
      <c r="K36" s="1083"/>
      <c r="L36" s="1101" t="s">
        <v>1425</v>
      </c>
      <c r="M36" s="1101"/>
      <c r="N36" s="1101"/>
      <c r="O36" s="1101"/>
      <c r="P36" s="1101"/>
      <c r="Q36" s="1101"/>
      <c r="R36" s="1101"/>
      <c r="S36" s="1102"/>
      <c r="T36" s="1102"/>
      <c r="U36" s="1102"/>
    </row>
    <row r="37" spans="1:21" ht="96.75" customHeight="1">
      <c r="A37" s="1083"/>
      <c r="B37" s="1074"/>
      <c r="C37" s="1083"/>
      <c r="D37" s="1083"/>
      <c r="E37" s="1083"/>
      <c r="F37" s="1083"/>
      <c r="G37" s="1083"/>
      <c r="H37" s="1083"/>
      <c r="I37" s="1083"/>
      <c r="J37" s="1083"/>
      <c r="K37" s="807"/>
      <c r="L37" s="1103" t="s">
        <v>2996</v>
      </c>
      <c r="M37" s="1104"/>
      <c r="N37" s="1104"/>
      <c r="O37" s="1104"/>
      <c r="P37" s="1104"/>
      <c r="Q37" s="1104"/>
      <c r="R37" s="1104"/>
      <c r="S37" s="1105"/>
      <c r="T37" s="1105"/>
      <c r="U37" s="1105"/>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K11" zoomScale="60" zoomScaleNormal="100" workbookViewId="0"/>
  </sheetViews>
  <sheetFormatPr defaultRowHeight="15"/>
  <cols>
    <col min="1" max="1" width="3.7109375" style="487" hidden="1" customWidth="1"/>
    <col min="2" max="2" width="9.140625" style="487" hidden="1" customWidth="1"/>
    <col min="3" max="10" width="4.140625" style="487" hidden="1" customWidth="1"/>
    <col min="11" max="11" width="3.7109375" style="487" hidden="1" customWidth="1"/>
    <col min="12" max="12" width="5.7109375" style="487" customWidth="1"/>
    <col min="13" max="13" width="50.85546875" style="487" customWidth="1"/>
    <col min="14" max="14" width="11" style="487" customWidth="1"/>
    <col min="15" max="20" width="13.7109375" style="487" customWidth="1"/>
    <col min="21" max="21" width="20.140625" style="487" customWidth="1"/>
    <col min="22" max="16384" width="9.140625" style="487"/>
  </cols>
  <sheetData>
    <row r="1" spans="1:21" hidden="1">
      <c r="A1" s="1106"/>
      <c r="B1" s="1106"/>
      <c r="C1" s="1106"/>
      <c r="D1" s="1106"/>
      <c r="E1" s="1106"/>
      <c r="F1" s="1106"/>
      <c r="G1" s="1106"/>
      <c r="H1" s="1106"/>
      <c r="I1" s="1106"/>
      <c r="J1" s="1106"/>
      <c r="K1" s="1106"/>
      <c r="L1" s="1106"/>
      <c r="M1" s="1106"/>
      <c r="N1" s="1106"/>
      <c r="O1" s="1106">
        <v>2022</v>
      </c>
      <c r="P1" s="1106">
        <v>2022</v>
      </c>
      <c r="Q1" s="1106">
        <v>2022</v>
      </c>
      <c r="R1" s="1106">
        <v>2023</v>
      </c>
      <c r="S1" s="934">
        <v>2024</v>
      </c>
      <c r="T1" s="934">
        <v>2024</v>
      </c>
      <c r="U1" s="1033"/>
    </row>
    <row r="2" spans="1:21" hidden="1">
      <c r="A2" s="1106"/>
      <c r="B2" s="1106"/>
      <c r="C2" s="1106"/>
      <c r="D2" s="1106"/>
      <c r="E2" s="1106"/>
      <c r="F2" s="1106"/>
      <c r="G2" s="1106"/>
      <c r="H2" s="1106"/>
      <c r="I2" s="1106"/>
      <c r="J2" s="1106"/>
      <c r="K2" s="1106"/>
      <c r="L2" s="1106"/>
      <c r="M2" s="1106"/>
      <c r="N2" s="1106"/>
      <c r="O2" s="1106" t="s">
        <v>267</v>
      </c>
      <c r="P2" s="1106" t="s">
        <v>305</v>
      </c>
      <c r="Q2" s="1106" t="s">
        <v>285</v>
      </c>
      <c r="R2" s="1106" t="s">
        <v>267</v>
      </c>
      <c r="S2" s="1106" t="s">
        <v>268</v>
      </c>
      <c r="T2" s="1106" t="s">
        <v>267</v>
      </c>
      <c r="U2" s="1106"/>
    </row>
    <row r="3" spans="1:21" hidden="1">
      <c r="A3" s="1106"/>
      <c r="B3" s="1106"/>
      <c r="C3" s="1106"/>
      <c r="D3" s="1106"/>
      <c r="E3" s="1106"/>
      <c r="F3" s="1106"/>
      <c r="G3" s="1106"/>
      <c r="H3" s="1106"/>
      <c r="I3" s="1106"/>
      <c r="J3" s="1106"/>
      <c r="K3" s="1106"/>
      <c r="L3" s="1106"/>
      <c r="M3" s="1106"/>
      <c r="N3" s="1106"/>
      <c r="O3" s="1106"/>
      <c r="P3" s="1106"/>
      <c r="Q3" s="1106"/>
      <c r="R3" s="1106"/>
      <c r="S3" s="1106"/>
      <c r="T3" s="1106"/>
      <c r="U3" s="1106"/>
    </row>
    <row r="4" spans="1:21" hidden="1">
      <c r="A4" s="1106"/>
      <c r="B4" s="1106"/>
      <c r="C4" s="1106"/>
      <c r="D4" s="1106"/>
      <c r="E4" s="1106"/>
      <c r="F4" s="1106"/>
      <c r="G4" s="1106"/>
      <c r="H4" s="1106"/>
      <c r="I4" s="1106"/>
      <c r="J4" s="1106"/>
      <c r="K4" s="1106"/>
      <c r="L4" s="1106"/>
      <c r="M4" s="1106"/>
      <c r="N4" s="1106"/>
      <c r="O4" s="1106"/>
      <c r="P4" s="1106"/>
      <c r="Q4" s="1106"/>
      <c r="R4" s="1106"/>
      <c r="S4" s="1106"/>
      <c r="T4" s="1106"/>
      <c r="U4" s="1106"/>
    </row>
    <row r="5" spans="1:21" hidden="1">
      <c r="A5" s="1106"/>
      <c r="B5" s="1106"/>
      <c r="C5" s="1106"/>
      <c r="D5" s="1106"/>
      <c r="E5" s="1106"/>
      <c r="F5" s="1106"/>
      <c r="G5" s="1106"/>
      <c r="H5" s="1106"/>
      <c r="I5" s="1106"/>
      <c r="J5" s="1106"/>
      <c r="K5" s="1106"/>
      <c r="L5" s="1106"/>
      <c r="M5" s="1106"/>
      <c r="N5" s="1106"/>
      <c r="O5" s="1106"/>
      <c r="P5" s="1106"/>
      <c r="Q5" s="1106"/>
      <c r="R5" s="1106"/>
      <c r="S5" s="1106"/>
      <c r="T5" s="1106"/>
      <c r="U5" s="1106"/>
    </row>
    <row r="6" spans="1:21" hidden="1">
      <c r="A6" s="1106"/>
      <c r="B6" s="1106"/>
      <c r="C6" s="1106"/>
      <c r="D6" s="1106"/>
      <c r="E6" s="1106"/>
      <c r="F6" s="1106"/>
      <c r="G6" s="1106"/>
      <c r="H6" s="1106"/>
      <c r="I6" s="1106"/>
      <c r="J6" s="1106"/>
      <c r="K6" s="1106"/>
      <c r="L6" s="1106"/>
      <c r="M6" s="1106"/>
      <c r="N6" s="1106"/>
      <c r="O6" s="1106"/>
      <c r="P6" s="1106"/>
      <c r="Q6" s="1106"/>
      <c r="R6" s="1106"/>
      <c r="S6" s="1106"/>
      <c r="T6" s="1106"/>
      <c r="U6" s="1106"/>
    </row>
    <row r="7" spans="1:21" hidden="1">
      <c r="A7" s="1106"/>
      <c r="B7" s="1106"/>
      <c r="C7" s="1106"/>
      <c r="D7" s="1106"/>
      <c r="E7" s="1106"/>
      <c r="F7" s="1106"/>
      <c r="G7" s="1106"/>
      <c r="H7" s="1106"/>
      <c r="I7" s="1106"/>
      <c r="J7" s="1106"/>
      <c r="K7" s="1106"/>
      <c r="L7" s="1106"/>
      <c r="M7" s="1106"/>
      <c r="N7" s="1106"/>
      <c r="O7" s="1083"/>
      <c r="P7" s="1083"/>
      <c r="Q7" s="1083"/>
      <c r="R7" s="1083"/>
      <c r="S7" s="886" t="b">
        <v>1</v>
      </c>
      <c r="T7" s="886" t="b">
        <v>1</v>
      </c>
      <c r="U7" s="1033"/>
    </row>
    <row r="8" spans="1:21" hidden="1">
      <c r="A8" s="1106"/>
      <c r="B8" s="1106"/>
      <c r="C8" s="1106"/>
      <c r="D8" s="1106"/>
      <c r="E8" s="1106"/>
      <c r="F8" s="1106"/>
      <c r="G8" s="1106"/>
      <c r="H8" s="1106"/>
      <c r="I8" s="1106"/>
      <c r="J8" s="1106"/>
      <c r="K8" s="1106"/>
      <c r="L8" s="1106"/>
      <c r="M8" s="1106"/>
      <c r="N8" s="1106"/>
      <c r="O8" s="1106"/>
      <c r="P8" s="1106"/>
      <c r="Q8" s="1106"/>
      <c r="R8" s="1106"/>
      <c r="S8" s="1106"/>
      <c r="T8" s="1106"/>
      <c r="U8" s="1106"/>
    </row>
    <row r="9" spans="1:21" hidden="1">
      <c r="A9" s="1106"/>
      <c r="B9" s="1106"/>
      <c r="C9" s="1106"/>
      <c r="D9" s="1106"/>
      <c r="E9" s="1106"/>
      <c r="F9" s="1106"/>
      <c r="G9" s="1106"/>
      <c r="H9" s="1106"/>
      <c r="I9" s="1106"/>
      <c r="J9" s="1106"/>
      <c r="K9" s="1106"/>
      <c r="L9" s="1106"/>
      <c r="M9" s="1106"/>
      <c r="N9" s="1106"/>
      <c r="O9" s="1106"/>
      <c r="P9" s="1106"/>
      <c r="Q9" s="1106"/>
      <c r="R9" s="1106"/>
      <c r="S9" s="1106"/>
      <c r="T9" s="1106"/>
      <c r="U9" s="1106"/>
    </row>
    <row r="10" spans="1:21" hidden="1">
      <c r="A10" s="1106"/>
      <c r="B10" s="1106"/>
      <c r="C10" s="1106"/>
      <c r="D10" s="1106"/>
      <c r="E10" s="1106"/>
      <c r="F10" s="1106"/>
      <c r="G10" s="1106"/>
      <c r="H10" s="1106"/>
      <c r="I10" s="1106"/>
      <c r="J10" s="1106"/>
      <c r="K10" s="1106"/>
      <c r="L10" s="1106"/>
      <c r="M10" s="1106"/>
      <c r="N10" s="1106"/>
      <c r="O10" s="1106"/>
      <c r="P10" s="1106"/>
      <c r="Q10" s="1106"/>
      <c r="R10" s="1106"/>
      <c r="S10" s="1106"/>
      <c r="T10" s="1106"/>
      <c r="U10" s="1106"/>
    </row>
    <row r="11" spans="1:21" ht="15" hidden="1" customHeight="1">
      <c r="A11" s="1106"/>
      <c r="B11" s="1106"/>
      <c r="C11" s="1106"/>
      <c r="D11" s="1106"/>
      <c r="E11" s="1106"/>
      <c r="F11" s="1106"/>
      <c r="G11" s="1106"/>
      <c r="H11" s="1106"/>
      <c r="I11" s="1106"/>
      <c r="J11" s="1106"/>
      <c r="K11" s="1106"/>
      <c r="L11" s="1106"/>
      <c r="M11" s="1084"/>
      <c r="N11" s="1106"/>
      <c r="O11" s="1106"/>
      <c r="P11" s="1106"/>
      <c r="Q11" s="1106"/>
      <c r="R11" s="1106"/>
      <c r="S11" s="1106"/>
      <c r="T11" s="1106"/>
      <c r="U11" s="1106"/>
    </row>
    <row r="12" spans="1:21" ht="20.100000000000001" customHeight="1">
      <c r="A12" s="1106"/>
      <c r="B12" s="1106"/>
      <c r="C12" s="1106"/>
      <c r="D12" s="1106"/>
      <c r="E12" s="1106"/>
      <c r="F12" s="1106"/>
      <c r="G12" s="1106"/>
      <c r="H12" s="1106"/>
      <c r="I12" s="1106"/>
      <c r="J12" s="1106"/>
      <c r="K12" s="1106"/>
      <c r="L12" s="1085" t="s">
        <v>1333</v>
      </c>
      <c r="M12" s="1107"/>
      <c r="N12" s="1107"/>
      <c r="O12" s="1107"/>
      <c r="P12" s="1107"/>
      <c r="Q12" s="1107"/>
      <c r="R12" s="1107"/>
      <c r="S12" s="1107"/>
      <c r="T12" s="1107"/>
      <c r="U12" s="1108"/>
    </row>
    <row r="13" spans="1:21">
      <c r="A13" s="1106"/>
      <c r="B13" s="1106"/>
      <c r="C13" s="1106"/>
      <c r="D13" s="1106"/>
      <c r="E13" s="1106"/>
      <c r="F13" s="1106"/>
      <c r="G13" s="1106"/>
      <c r="H13" s="1106"/>
      <c r="I13" s="1106"/>
      <c r="J13" s="1106"/>
      <c r="K13" s="1106"/>
      <c r="L13" s="1109"/>
      <c r="M13" s="1109"/>
      <c r="N13" s="1109"/>
      <c r="O13" s="1109"/>
      <c r="P13" s="1109"/>
      <c r="Q13" s="1109"/>
      <c r="R13" s="1109"/>
      <c r="S13" s="1109"/>
      <c r="T13" s="1109"/>
      <c r="U13" s="1109"/>
    </row>
    <row r="14" spans="1:21" ht="15" customHeight="1">
      <c r="A14" s="1106"/>
      <c r="B14" s="1106"/>
      <c r="C14" s="1106"/>
      <c r="D14" s="1106"/>
      <c r="E14" s="1106"/>
      <c r="F14" s="1106"/>
      <c r="G14" s="1106"/>
      <c r="H14" s="1106"/>
      <c r="I14" s="1106"/>
      <c r="J14" s="1106"/>
      <c r="K14" s="1106"/>
      <c r="L14" s="1101" t="s">
        <v>16</v>
      </c>
      <c r="M14" s="1101" t="s">
        <v>121</v>
      </c>
      <c r="N14" s="1101" t="s">
        <v>266</v>
      </c>
      <c r="O14" s="1056" t="s">
        <v>3020</v>
      </c>
      <c r="P14" s="1056" t="s">
        <v>3020</v>
      </c>
      <c r="Q14" s="1056" t="s">
        <v>3020</v>
      </c>
      <c r="R14" s="1056" t="s">
        <v>3021</v>
      </c>
      <c r="S14" s="940" t="s">
        <v>3022</v>
      </c>
      <c r="T14" s="940" t="s">
        <v>3022</v>
      </c>
      <c r="U14" s="1090" t="s">
        <v>304</v>
      </c>
    </row>
    <row r="15" spans="1:21" ht="45" customHeight="1">
      <c r="A15" s="1106"/>
      <c r="B15" s="1106"/>
      <c r="C15" s="1106"/>
      <c r="D15" s="1106"/>
      <c r="E15" s="1106"/>
      <c r="F15" s="1106"/>
      <c r="G15" s="1106"/>
      <c r="H15" s="1106"/>
      <c r="I15" s="1106"/>
      <c r="J15" s="1106"/>
      <c r="K15" s="1106"/>
      <c r="L15" s="1101"/>
      <c r="M15" s="1101"/>
      <c r="N15" s="1101"/>
      <c r="O15" s="1056" t="s">
        <v>267</v>
      </c>
      <c r="P15" s="1056" t="s">
        <v>305</v>
      </c>
      <c r="Q15" s="1056" t="s">
        <v>285</v>
      </c>
      <c r="R15" s="1056" t="s">
        <v>267</v>
      </c>
      <c r="S15" s="943" t="s">
        <v>268</v>
      </c>
      <c r="T15" s="943" t="s">
        <v>267</v>
      </c>
      <c r="U15" s="1090"/>
    </row>
    <row r="16" spans="1:21">
      <c r="A16" s="944" t="s">
        <v>18</v>
      </c>
      <c r="B16" s="1110" t="s">
        <v>1549</v>
      </c>
      <c r="C16" s="1106"/>
      <c r="D16" s="1106"/>
      <c r="E16" s="1106"/>
      <c r="F16" s="1106"/>
      <c r="G16" s="1106"/>
      <c r="H16" s="1106"/>
      <c r="I16" s="1106"/>
      <c r="J16" s="1106"/>
      <c r="K16" s="1106"/>
      <c r="L16" s="1061" t="s">
        <v>3018</v>
      </c>
      <c r="M16" s="1111"/>
      <c r="N16" s="1111"/>
      <c r="O16" s="1112">
        <v>0</v>
      </c>
      <c r="P16" s="1112">
        <v>0</v>
      </c>
      <c r="Q16" s="1112">
        <v>0</v>
      </c>
      <c r="R16" s="1112">
        <v>0</v>
      </c>
      <c r="S16" s="1112">
        <v>0</v>
      </c>
      <c r="T16" s="1112">
        <v>0</v>
      </c>
      <c r="U16" s="1111"/>
    </row>
    <row r="17" spans="1:21" ht="22.5">
      <c r="A17" s="1062" t="s">
        <v>18</v>
      </c>
      <c r="B17" s="1110" t="s">
        <v>1480</v>
      </c>
      <c r="C17" s="1106"/>
      <c r="D17" s="1106"/>
      <c r="E17" s="1106"/>
      <c r="F17" s="1106"/>
      <c r="G17" s="1106"/>
      <c r="H17" s="1106"/>
      <c r="I17" s="1106"/>
      <c r="J17" s="1106"/>
      <c r="K17" s="1106"/>
      <c r="L17" s="1113" t="s">
        <v>18</v>
      </c>
      <c r="M17" s="1114" t="s">
        <v>1316</v>
      </c>
      <c r="N17" s="1115" t="s">
        <v>351</v>
      </c>
      <c r="O17" s="1116"/>
      <c r="P17" s="1100"/>
      <c r="Q17" s="1100"/>
      <c r="R17" s="1100"/>
      <c r="S17" s="1100"/>
      <c r="T17" s="1100"/>
      <c r="U17" s="1117"/>
    </row>
    <row r="18" spans="1:21" ht="22.5">
      <c r="A18" s="1062" t="s">
        <v>18</v>
      </c>
      <c r="B18" s="1110" t="s">
        <v>1481</v>
      </c>
      <c r="C18" s="1106"/>
      <c r="D18" s="1106"/>
      <c r="E18" s="1106"/>
      <c r="F18" s="1106"/>
      <c r="G18" s="1106"/>
      <c r="H18" s="1106"/>
      <c r="I18" s="1106"/>
      <c r="J18" s="1106"/>
      <c r="K18" s="1106"/>
      <c r="L18" s="1113" t="s">
        <v>102</v>
      </c>
      <c r="M18" s="1114" t="s">
        <v>1317</v>
      </c>
      <c r="N18" s="1115" t="s">
        <v>351</v>
      </c>
      <c r="O18" s="1116"/>
      <c r="P18" s="1100"/>
      <c r="Q18" s="1100"/>
      <c r="R18" s="1100"/>
      <c r="S18" s="1100"/>
      <c r="T18" s="1100"/>
      <c r="U18" s="1117"/>
    </row>
    <row r="19" spans="1:21" ht="22.5">
      <c r="A19" s="1062" t="s">
        <v>18</v>
      </c>
      <c r="B19" s="1110" t="s">
        <v>1483</v>
      </c>
      <c r="C19" s="1106"/>
      <c r="D19" s="1106"/>
      <c r="E19" s="1106"/>
      <c r="F19" s="1106"/>
      <c r="G19" s="1106"/>
      <c r="H19" s="1106"/>
      <c r="I19" s="1106"/>
      <c r="J19" s="1106"/>
      <c r="K19" s="1106"/>
      <c r="L19" s="1113" t="s">
        <v>103</v>
      </c>
      <c r="M19" s="1114" t="s">
        <v>1318</v>
      </c>
      <c r="N19" s="1115" t="s">
        <v>351</v>
      </c>
      <c r="O19" s="1116"/>
      <c r="P19" s="1100"/>
      <c r="Q19" s="1100"/>
      <c r="R19" s="1100"/>
      <c r="S19" s="1100"/>
      <c r="T19" s="1100"/>
      <c r="U19" s="1117"/>
    </row>
    <row r="20" spans="1:21" ht="33.75">
      <c r="A20" s="1062" t="s">
        <v>18</v>
      </c>
      <c r="B20" s="1110" t="s">
        <v>1484</v>
      </c>
      <c r="C20" s="1106"/>
      <c r="D20" s="1106"/>
      <c r="E20" s="1106"/>
      <c r="F20" s="1106"/>
      <c r="G20" s="1106"/>
      <c r="H20" s="1106"/>
      <c r="I20" s="1106"/>
      <c r="J20" s="1106"/>
      <c r="K20" s="1106"/>
      <c r="L20" s="1118">
        <v>4</v>
      </c>
      <c r="M20" s="1114" t="s">
        <v>1319</v>
      </c>
      <c r="N20" s="1115" t="s">
        <v>351</v>
      </c>
      <c r="O20" s="1119">
        <v>0</v>
      </c>
      <c r="P20" s="1119">
        <v>0</v>
      </c>
      <c r="Q20" s="1119">
        <v>0</v>
      </c>
      <c r="R20" s="1119">
        <v>0</v>
      </c>
      <c r="S20" s="1119">
        <v>0</v>
      </c>
      <c r="T20" s="1119">
        <v>0</v>
      </c>
      <c r="U20" s="1117"/>
    </row>
    <row r="21" spans="1:21" ht="33.75">
      <c r="A21" s="1062" t="s">
        <v>18</v>
      </c>
      <c r="B21" s="1110" t="s">
        <v>1485</v>
      </c>
      <c r="C21" s="1106"/>
      <c r="D21" s="1106"/>
      <c r="E21" s="1106"/>
      <c r="F21" s="1106"/>
      <c r="G21" s="1106"/>
      <c r="H21" s="1106"/>
      <c r="I21" s="1106"/>
      <c r="J21" s="1106"/>
      <c r="K21" s="1106"/>
      <c r="L21" s="1113" t="s">
        <v>120</v>
      </c>
      <c r="M21" s="1114" t="s">
        <v>1320</v>
      </c>
      <c r="N21" s="1115" t="s">
        <v>351</v>
      </c>
      <c r="O21" s="1116"/>
      <c r="P21" s="1116"/>
      <c r="Q21" s="1116"/>
      <c r="R21" s="1116"/>
      <c r="S21" s="1116"/>
      <c r="T21" s="1116"/>
      <c r="U21" s="1117"/>
    </row>
    <row r="22" spans="1:21" ht="22.5">
      <c r="A22" s="1062" t="s">
        <v>18</v>
      </c>
      <c r="B22" s="1110" t="s">
        <v>1486</v>
      </c>
      <c r="C22" s="1106"/>
      <c r="D22" s="1106"/>
      <c r="E22" s="1106"/>
      <c r="F22" s="1106"/>
      <c r="G22" s="1106"/>
      <c r="H22" s="1106"/>
      <c r="I22" s="1106"/>
      <c r="J22" s="1106"/>
      <c r="K22" s="1106"/>
      <c r="L22" s="1113" t="s">
        <v>124</v>
      </c>
      <c r="M22" s="1114" t="s">
        <v>1321</v>
      </c>
      <c r="N22" s="1115" t="s">
        <v>351</v>
      </c>
      <c r="O22" s="1116"/>
      <c r="P22" s="1116"/>
      <c r="Q22" s="1116"/>
      <c r="R22" s="1116"/>
      <c r="S22" s="1116"/>
      <c r="T22" s="1116"/>
      <c r="U22" s="1117"/>
    </row>
    <row r="23" spans="1:21" ht="45">
      <c r="A23" s="1062" t="s">
        <v>18</v>
      </c>
      <c r="B23" s="1110" t="s">
        <v>1487</v>
      </c>
      <c r="C23" s="1106"/>
      <c r="D23" s="1106"/>
      <c r="E23" s="1106"/>
      <c r="F23" s="1106"/>
      <c r="G23" s="1106"/>
      <c r="H23" s="1106"/>
      <c r="I23" s="1106"/>
      <c r="J23" s="1106"/>
      <c r="K23" s="1106"/>
      <c r="L23" s="1113" t="s">
        <v>125</v>
      </c>
      <c r="M23" s="1114" t="s">
        <v>1322</v>
      </c>
      <c r="N23" s="1115" t="s">
        <v>351</v>
      </c>
      <c r="O23" s="1116"/>
      <c r="P23" s="1116"/>
      <c r="Q23" s="1116"/>
      <c r="R23" s="1116"/>
      <c r="S23" s="1116"/>
      <c r="T23" s="1116"/>
      <c r="U23" s="1117"/>
    </row>
    <row r="24" spans="1:21" ht="45">
      <c r="A24" s="1062" t="s">
        <v>18</v>
      </c>
      <c r="B24" s="1110" t="s">
        <v>1494</v>
      </c>
      <c r="C24" s="1106"/>
      <c r="D24" s="1106"/>
      <c r="E24" s="1106"/>
      <c r="F24" s="1106"/>
      <c r="G24" s="1106"/>
      <c r="H24" s="1106"/>
      <c r="I24" s="1106"/>
      <c r="J24" s="1106"/>
      <c r="K24" s="1106"/>
      <c r="L24" s="1113" t="s">
        <v>126</v>
      </c>
      <c r="M24" s="1114" t="s">
        <v>1323</v>
      </c>
      <c r="N24" s="1115" t="s">
        <v>351</v>
      </c>
      <c r="O24" s="1116"/>
      <c r="P24" s="1116"/>
      <c r="Q24" s="1116"/>
      <c r="R24" s="1116"/>
      <c r="S24" s="1116"/>
      <c r="T24" s="1116"/>
      <c r="U24" s="1117"/>
    </row>
    <row r="25" spans="1:21">
      <c r="A25" s="1062" t="s">
        <v>18</v>
      </c>
      <c r="B25" s="1110" t="s">
        <v>1495</v>
      </c>
      <c r="C25" s="1106"/>
      <c r="D25" s="1106"/>
      <c r="E25" s="1106"/>
      <c r="F25" s="1106"/>
      <c r="G25" s="1106"/>
      <c r="H25" s="1106"/>
      <c r="I25" s="1106"/>
      <c r="J25" s="1106"/>
      <c r="K25" s="1106"/>
      <c r="L25" s="1118">
        <v>9</v>
      </c>
      <c r="M25" s="1114" t="s">
        <v>1324</v>
      </c>
      <c r="N25" s="1115" t="s">
        <v>351</v>
      </c>
      <c r="O25" s="1120">
        <v>0</v>
      </c>
      <c r="P25" s="1120">
        <v>0</v>
      </c>
      <c r="Q25" s="1120">
        <v>0</v>
      </c>
      <c r="R25" s="1120">
        <v>0</v>
      </c>
      <c r="S25" s="1120">
        <v>0</v>
      </c>
      <c r="T25" s="1120">
        <v>0</v>
      </c>
      <c r="U25" s="1117"/>
    </row>
    <row r="26" spans="1:21">
      <c r="A26" s="1062" t="s">
        <v>18</v>
      </c>
      <c r="B26" s="1106"/>
      <c r="C26" s="1106"/>
      <c r="D26" s="1106"/>
      <c r="E26" s="1106"/>
      <c r="F26" s="1106"/>
      <c r="G26" s="1106"/>
      <c r="H26" s="1106"/>
      <c r="I26" s="1106"/>
      <c r="J26" s="1106"/>
      <c r="K26" s="1106"/>
      <c r="L26" s="1121" t="s">
        <v>1325</v>
      </c>
      <c r="M26" s="1122"/>
      <c r="N26" s="1115"/>
      <c r="O26" s="1123"/>
      <c r="P26" s="1123"/>
      <c r="Q26" s="1123"/>
      <c r="R26" s="1123"/>
      <c r="S26" s="1123"/>
      <c r="T26" s="1123"/>
      <c r="U26" s="1124"/>
    </row>
    <row r="27" spans="1:21">
      <c r="A27" s="1106"/>
      <c r="B27" s="1106"/>
      <c r="C27" s="1106"/>
      <c r="D27" s="1106"/>
      <c r="E27" s="1106"/>
      <c r="F27" s="1106"/>
      <c r="G27" s="1106"/>
      <c r="H27" s="1106"/>
      <c r="I27" s="1106"/>
      <c r="J27" s="1106"/>
      <c r="K27" s="1106"/>
      <c r="L27" s="1109"/>
      <c r="M27" s="1109"/>
      <c r="N27" s="1109"/>
      <c r="O27" s="1109"/>
      <c r="P27" s="1109"/>
      <c r="Q27" s="1109"/>
      <c r="R27" s="1109"/>
      <c r="S27" s="1109"/>
      <c r="T27" s="1109"/>
      <c r="U27" s="1109"/>
    </row>
    <row r="28" spans="1:21" s="485" customFormat="1" ht="15" customHeight="1">
      <c r="A28" s="1083"/>
      <c r="B28" s="1083"/>
      <c r="C28" s="1083"/>
      <c r="D28" s="1083"/>
      <c r="E28" s="1083"/>
      <c r="F28" s="1083"/>
      <c r="G28" s="1083"/>
      <c r="H28" s="1083"/>
      <c r="I28" s="1083"/>
      <c r="J28" s="1083"/>
      <c r="K28" s="1083"/>
      <c r="L28" s="1101" t="s">
        <v>1425</v>
      </c>
      <c r="M28" s="1101"/>
      <c r="N28" s="1101"/>
      <c r="O28" s="1101"/>
      <c r="P28" s="1101"/>
      <c r="Q28" s="1101"/>
      <c r="R28" s="1101"/>
      <c r="S28" s="1102"/>
      <c r="T28" s="1102"/>
      <c r="U28" s="1102"/>
    </row>
    <row r="29" spans="1:21" s="485" customFormat="1" ht="15" customHeight="1">
      <c r="A29" s="1083"/>
      <c r="B29" s="1083"/>
      <c r="C29" s="1083"/>
      <c r="D29" s="1083"/>
      <c r="E29" s="1083"/>
      <c r="F29" s="1083"/>
      <c r="G29" s="1083"/>
      <c r="H29" s="1083"/>
      <c r="I29" s="1083"/>
      <c r="J29" s="1083"/>
      <c r="K29" s="807"/>
      <c r="L29" s="1104"/>
      <c r="M29" s="1104"/>
      <c r="N29" s="1104"/>
      <c r="O29" s="1104"/>
      <c r="P29" s="1104"/>
      <c r="Q29" s="1104"/>
      <c r="R29" s="1104"/>
      <c r="S29" s="1105"/>
      <c r="T29" s="1105"/>
      <c r="U29" s="1105"/>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P46" sqref="P46"/>
    </sheetView>
  </sheetViews>
  <sheetFormatPr defaultColWidth="9.140625" defaultRowHeight="11.25"/>
  <cols>
    <col min="1" max="1" width="3.85546875" style="94" hidden="1" customWidth="1"/>
    <col min="2" max="2" width="9.5703125" style="94" hidden="1" customWidth="1"/>
    <col min="3" max="10" width="3.85546875" style="94" hidden="1" customWidth="1"/>
    <col min="11" max="11" width="3.7109375" style="94" hidden="1" customWidth="1"/>
    <col min="12" max="12" width="6.7109375" style="94" customWidth="1"/>
    <col min="13" max="13" width="35.7109375" style="94" customWidth="1"/>
    <col min="14" max="14" width="12.7109375" style="94" customWidth="1"/>
    <col min="15" max="23" width="13.28515625" style="94" customWidth="1"/>
    <col min="24" max="28" width="13.28515625" style="94" hidden="1" customWidth="1"/>
    <col min="29" max="33" width="13.28515625" style="94" customWidth="1"/>
    <col min="34" max="38" width="13.28515625" style="94" hidden="1" customWidth="1"/>
    <col min="39" max="39" width="20.7109375" style="94" customWidth="1"/>
    <col min="40" max="16384" width="9.140625" style="94"/>
  </cols>
  <sheetData>
    <row r="1" spans="1:39" hidden="1">
      <c r="A1" s="1019"/>
      <c r="B1" s="1019"/>
      <c r="C1" s="1019"/>
      <c r="D1" s="1019"/>
      <c r="E1" s="1019"/>
      <c r="F1" s="1019"/>
      <c r="G1" s="1019"/>
      <c r="H1" s="1019"/>
      <c r="I1" s="1019"/>
      <c r="J1" s="1019"/>
      <c r="K1" s="1019"/>
      <c r="L1" s="1019"/>
      <c r="M1" s="1019"/>
      <c r="N1" s="1019"/>
      <c r="O1" s="1019">
        <v>2022</v>
      </c>
      <c r="P1" s="1019">
        <v>2022</v>
      </c>
      <c r="Q1" s="1019">
        <v>2022</v>
      </c>
      <c r="R1" s="1019">
        <v>2023</v>
      </c>
      <c r="S1" s="934">
        <v>2024</v>
      </c>
      <c r="T1" s="934">
        <v>2025</v>
      </c>
      <c r="U1" s="934">
        <v>2026</v>
      </c>
      <c r="V1" s="934">
        <v>2027</v>
      </c>
      <c r="W1" s="934">
        <v>2028</v>
      </c>
      <c r="X1" s="934">
        <v>2029</v>
      </c>
      <c r="Y1" s="934">
        <v>2030</v>
      </c>
      <c r="Z1" s="934">
        <v>2031</v>
      </c>
      <c r="AA1" s="934">
        <v>2032</v>
      </c>
      <c r="AB1" s="934">
        <v>2033</v>
      </c>
      <c r="AC1" s="934">
        <v>2024</v>
      </c>
      <c r="AD1" s="934">
        <v>2025</v>
      </c>
      <c r="AE1" s="934">
        <v>2026</v>
      </c>
      <c r="AF1" s="934">
        <v>2027</v>
      </c>
      <c r="AG1" s="934">
        <v>2028</v>
      </c>
      <c r="AH1" s="934">
        <v>2029</v>
      </c>
      <c r="AI1" s="934">
        <v>2030</v>
      </c>
      <c r="AJ1" s="934">
        <v>2031</v>
      </c>
      <c r="AK1" s="934">
        <v>2032</v>
      </c>
      <c r="AL1" s="934">
        <v>2033</v>
      </c>
      <c r="AM1" s="1019"/>
    </row>
    <row r="2" spans="1:39" hidden="1">
      <c r="A2" s="1019"/>
      <c r="B2" s="1019"/>
      <c r="C2" s="1019"/>
      <c r="D2" s="1019"/>
      <c r="E2" s="1019"/>
      <c r="F2" s="1019"/>
      <c r="G2" s="1019"/>
      <c r="H2" s="1019"/>
      <c r="I2" s="1019"/>
      <c r="J2" s="1019"/>
      <c r="K2" s="1019"/>
      <c r="L2" s="1019"/>
      <c r="M2" s="1019"/>
      <c r="N2" s="1019"/>
      <c r="O2" s="1019" t="s">
        <v>267</v>
      </c>
      <c r="P2" s="1019" t="s">
        <v>305</v>
      </c>
      <c r="Q2" s="1019" t="s">
        <v>285</v>
      </c>
      <c r="R2" s="1019" t="s">
        <v>267</v>
      </c>
      <c r="S2" s="1019" t="s">
        <v>268</v>
      </c>
      <c r="T2" s="1019" t="s">
        <v>268</v>
      </c>
      <c r="U2" s="1019" t="s">
        <v>268</v>
      </c>
      <c r="V2" s="1019" t="s">
        <v>268</v>
      </c>
      <c r="W2" s="1019" t="s">
        <v>268</v>
      </c>
      <c r="X2" s="1019" t="s">
        <v>268</v>
      </c>
      <c r="Y2" s="1019" t="s">
        <v>268</v>
      </c>
      <c r="Z2" s="1019" t="s">
        <v>268</v>
      </c>
      <c r="AA2" s="1019" t="s">
        <v>268</v>
      </c>
      <c r="AB2" s="1019" t="s">
        <v>268</v>
      </c>
      <c r="AC2" s="1019" t="s">
        <v>267</v>
      </c>
      <c r="AD2" s="1019" t="s">
        <v>267</v>
      </c>
      <c r="AE2" s="1019" t="s">
        <v>267</v>
      </c>
      <c r="AF2" s="1019" t="s">
        <v>267</v>
      </c>
      <c r="AG2" s="1019" t="s">
        <v>267</v>
      </c>
      <c r="AH2" s="1019" t="s">
        <v>267</v>
      </c>
      <c r="AI2" s="1019" t="s">
        <v>267</v>
      </c>
      <c r="AJ2" s="1019" t="s">
        <v>267</v>
      </c>
      <c r="AK2" s="1019" t="s">
        <v>267</v>
      </c>
      <c r="AL2" s="1019" t="s">
        <v>267</v>
      </c>
      <c r="AM2" s="1019"/>
    </row>
    <row r="3" spans="1:39" hidden="1">
      <c r="A3" s="1019"/>
      <c r="B3" s="1019"/>
      <c r="C3" s="1019"/>
      <c r="D3" s="1019"/>
      <c r="E3" s="1019"/>
      <c r="F3" s="1019"/>
      <c r="G3" s="1019"/>
      <c r="H3" s="1019"/>
      <c r="I3" s="1019"/>
      <c r="J3" s="1019"/>
      <c r="K3" s="1019"/>
      <c r="L3" s="1019"/>
      <c r="M3" s="1019"/>
      <c r="N3" s="1019"/>
      <c r="O3" s="1019"/>
      <c r="P3" s="1019"/>
      <c r="Q3" s="1019"/>
      <c r="R3" s="1019"/>
      <c r="S3" s="934"/>
      <c r="T3" s="934"/>
      <c r="U3" s="934"/>
      <c r="V3" s="934"/>
      <c r="W3" s="934"/>
      <c r="X3" s="934"/>
      <c r="Y3" s="934"/>
      <c r="Z3" s="934"/>
      <c r="AA3" s="934"/>
      <c r="AB3" s="934"/>
      <c r="AC3" s="934"/>
      <c r="AD3" s="934"/>
      <c r="AE3" s="934"/>
      <c r="AF3" s="934"/>
      <c r="AG3" s="934"/>
      <c r="AH3" s="934"/>
      <c r="AI3" s="934"/>
      <c r="AJ3" s="934"/>
      <c r="AK3" s="934"/>
      <c r="AL3" s="934"/>
      <c r="AM3" s="1019"/>
    </row>
    <row r="4" spans="1:39" hidden="1">
      <c r="A4" s="1019"/>
      <c r="B4" s="1019"/>
      <c r="C4" s="1019"/>
      <c r="D4" s="1019"/>
      <c r="E4" s="1019"/>
      <c r="F4" s="1019"/>
      <c r="G4" s="1019"/>
      <c r="H4" s="1019"/>
      <c r="I4" s="1019"/>
      <c r="J4" s="1019"/>
      <c r="K4" s="1019"/>
      <c r="L4" s="1019"/>
      <c r="M4" s="1019"/>
      <c r="N4" s="1019"/>
      <c r="O4" s="1019"/>
      <c r="P4" s="1019"/>
      <c r="Q4" s="1019"/>
      <c r="R4" s="1019"/>
      <c r="S4" s="934"/>
      <c r="T4" s="934"/>
      <c r="U4" s="934"/>
      <c r="V4" s="934"/>
      <c r="W4" s="934"/>
      <c r="X4" s="934"/>
      <c r="Y4" s="934"/>
      <c r="Z4" s="934"/>
      <c r="AA4" s="934"/>
      <c r="AB4" s="934"/>
      <c r="AC4" s="934"/>
      <c r="AD4" s="934"/>
      <c r="AE4" s="934"/>
      <c r="AF4" s="934"/>
      <c r="AG4" s="934"/>
      <c r="AH4" s="934"/>
      <c r="AI4" s="934"/>
      <c r="AJ4" s="934"/>
      <c r="AK4" s="934"/>
      <c r="AL4" s="934"/>
      <c r="AM4" s="1019"/>
    </row>
    <row r="5" spans="1:39" hidden="1">
      <c r="A5" s="1019"/>
      <c r="B5" s="1019"/>
      <c r="C5" s="1019"/>
      <c r="D5" s="1019"/>
      <c r="E5" s="1019"/>
      <c r="F5" s="1019"/>
      <c r="G5" s="1019"/>
      <c r="H5" s="1019"/>
      <c r="I5" s="1019"/>
      <c r="J5" s="1019"/>
      <c r="K5" s="1019"/>
      <c r="L5" s="1019"/>
      <c r="M5" s="1019"/>
      <c r="N5" s="1019"/>
      <c r="O5" s="1019"/>
      <c r="P5" s="1019"/>
      <c r="Q5" s="1019"/>
      <c r="R5" s="1019"/>
      <c r="S5" s="934"/>
      <c r="T5" s="934"/>
      <c r="U5" s="934"/>
      <c r="V5" s="934"/>
      <c r="W5" s="934"/>
      <c r="X5" s="934"/>
      <c r="Y5" s="934"/>
      <c r="Z5" s="934"/>
      <c r="AA5" s="934"/>
      <c r="AB5" s="934"/>
      <c r="AC5" s="934"/>
      <c r="AD5" s="934"/>
      <c r="AE5" s="934"/>
      <c r="AF5" s="934"/>
      <c r="AG5" s="934"/>
      <c r="AH5" s="934"/>
      <c r="AI5" s="934"/>
      <c r="AJ5" s="934"/>
      <c r="AK5" s="934"/>
      <c r="AL5" s="934"/>
      <c r="AM5" s="1019"/>
    </row>
    <row r="6" spans="1:39" hidden="1">
      <c r="A6" s="1019"/>
      <c r="B6" s="1019"/>
      <c r="C6" s="1019"/>
      <c r="D6" s="1019"/>
      <c r="E6" s="1019"/>
      <c r="F6" s="1019"/>
      <c r="G6" s="1019"/>
      <c r="H6" s="1019"/>
      <c r="I6" s="1019"/>
      <c r="J6" s="1019"/>
      <c r="K6" s="1019"/>
      <c r="L6" s="1019"/>
      <c r="M6" s="1019"/>
      <c r="N6" s="1019"/>
      <c r="O6" s="1019"/>
      <c r="P6" s="1019"/>
      <c r="Q6" s="1019"/>
      <c r="R6" s="1019"/>
      <c r="S6" s="934"/>
      <c r="T6" s="934"/>
      <c r="U6" s="934"/>
      <c r="V6" s="934"/>
      <c r="W6" s="934"/>
      <c r="X6" s="934"/>
      <c r="Y6" s="934"/>
      <c r="Z6" s="934"/>
      <c r="AA6" s="934"/>
      <c r="AB6" s="934"/>
      <c r="AC6" s="934"/>
      <c r="AD6" s="934"/>
      <c r="AE6" s="934"/>
      <c r="AF6" s="934"/>
      <c r="AG6" s="934"/>
      <c r="AH6" s="934"/>
      <c r="AI6" s="934"/>
      <c r="AJ6" s="934"/>
      <c r="AK6" s="934"/>
      <c r="AL6" s="934"/>
      <c r="AM6" s="1019"/>
    </row>
    <row r="7" spans="1:39" hidden="1">
      <c r="A7" s="1019"/>
      <c r="B7" s="1019"/>
      <c r="C7" s="1019"/>
      <c r="D7" s="1019"/>
      <c r="E7" s="1019"/>
      <c r="F7" s="1019"/>
      <c r="G7" s="1019"/>
      <c r="H7" s="1019"/>
      <c r="I7" s="1019"/>
      <c r="J7" s="1019"/>
      <c r="K7" s="1019"/>
      <c r="L7" s="1019"/>
      <c r="M7" s="1019"/>
      <c r="N7" s="1019"/>
      <c r="O7" s="1019"/>
      <c r="P7" s="1019"/>
      <c r="Q7" s="1019"/>
      <c r="R7" s="1019"/>
      <c r="S7" s="886" t="b">
        <v>1</v>
      </c>
      <c r="T7" s="886" t="b">
        <v>1</v>
      </c>
      <c r="U7" s="886" t="b">
        <v>1</v>
      </c>
      <c r="V7" s="886" t="b">
        <v>1</v>
      </c>
      <c r="W7" s="886" t="b">
        <v>1</v>
      </c>
      <c r="X7" s="886" t="b">
        <v>0</v>
      </c>
      <c r="Y7" s="886" t="b">
        <v>0</v>
      </c>
      <c r="Z7" s="886" t="b">
        <v>0</v>
      </c>
      <c r="AA7" s="886" t="b">
        <v>0</v>
      </c>
      <c r="AB7" s="886" t="b">
        <v>0</v>
      </c>
      <c r="AC7" s="886" t="b">
        <v>1</v>
      </c>
      <c r="AD7" s="886" t="b">
        <v>1</v>
      </c>
      <c r="AE7" s="886" t="b">
        <v>1</v>
      </c>
      <c r="AF7" s="886" t="b">
        <v>1</v>
      </c>
      <c r="AG7" s="886" t="b">
        <v>1</v>
      </c>
      <c r="AH7" s="886" t="b">
        <v>0</v>
      </c>
      <c r="AI7" s="886" t="b">
        <v>0</v>
      </c>
      <c r="AJ7" s="886" t="b">
        <v>0</v>
      </c>
      <c r="AK7" s="886" t="b">
        <v>0</v>
      </c>
      <c r="AL7" s="886" t="b">
        <v>0</v>
      </c>
      <c r="AM7" s="1019"/>
    </row>
    <row r="8" spans="1:39" hidden="1">
      <c r="A8" s="1019"/>
      <c r="B8" s="1019"/>
      <c r="C8" s="1019"/>
      <c r="D8" s="1019"/>
      <c r="E8" s="1019"/>
      <c r="F8" s="1019"/>
      <c r="G8" s="1019"/>
      <c r="H8" s="1019"/>
      <c r="I8" s="1019"/>
      <c r="J8" s="1019"/>
      <c r="K8" s="1019"/>
      <c r="L8" s="1019"/>
      <c r="M8" s="1019"/>
      <c r="N8" s="1019"/>
      <c r="O8" s="1019"/>
      <c r="P8" s="1019"/>
      <c r="Q8" s="1019"/>
      <c r="R8" s="1019"/>
      <c r="S8" s="1019"/>
      <c r="T8" s="1019"/>
      <c r="U8" s="1019"/>
      <c r="V8" s="1019"/>
      <c r="W8" s="1019"/>
      <c r="X8" s="1019"/>
      <c r="Y8" s="1019"/>
      <c r="Z8" s="1019"/>
      <c r="AA8" s="1019"/>
      <c r="AB8" s="1019"/>
      <c r="AC8" s="1019"/>
      <c r="AD8" s="1019"/>
      <c r="AE8" s="1019"/>
      <c r="AF8" s="1019"/>
      <c r="AG8" s="1019"/>
      <c r="AH8" s="1019"/>
      <c r="AI8" s="1019"/>
      <c r="AJ8" s="1019"/>
      <c r="AK8" s="1019"/>
      <c r="AL8" s="1019"/>
      <c r="AM8" s="1019"/>
    </row>
    <row r="9" spans="1:39" hidden="1">
      <c r="A9" s="1019"/>
      <c r="B9" s="1019"/>
      <c r="C9" s="1019"/>
      <c r="D9" s="1019"/>
      <c r="E9" s="1019"/>
      <c r="F9" s="1019"/>
      <c r="G9" s="1019"/>
      <c r="H9" s="1019"/>
      <c r="I9" s="1019"/>
      <c r="J9" s="1019"/>
      <c r="K9" s="1019"/>
      <c r="L9" s="1019"/>
      <c r="M9" s="1019"/>
      <c r="N9" s="1019"/>
      <c r="O9" s="1019"/>
      <c r="P9" s="1019"/>
      <c r="Q9" s="1019"/>
      <c r="R9" s="1019"/>
      <c r="S9" s="1019"/>
      <c r="T9" s="1019"/>
      <c r="U9" s="1019"/>
      <c r="V9" s="1019"/>
      <c r="W9" s="1019"/>
      <c r="X9" s="1019"/>
      <c r="Y9" s="1019"/>
      <c r="Z9" s="1019"/>
      <c r="AA9" s="1019"/>
      <c r="AB9" s="1019"/>
      <c r="AC9" s="1019"/>
      <c r="AD9" s="1019"/>
      <c r="AE9" s="1019"/>
      <c r="AF9" s="1019"/>
      <c r="AG9" s="1019"/>
      <c r="AH9" s="1019"/>
      <c r="AI9" s="1019"/>
      <c r="AJ9" s="1019"/>
      <c r="AK9" s="1019"/>
      <c r="AL9" s="1019"/>
      <c r="AM9" s="1019"/>
    </row>
    <row r="10" spans="1:39" hidden="1">
      <c r="A10" s="1019"/>
      <c r="B10" s="1019"/>
      <c r="C10" s="1019"/>
      <c r="D10" s="1019"/>
      <c r="E10" s="1019"/>
      <c r="F10" s="1019"/>
      <c r="G10" s="1019"/>
      <c r="H10" s="1019"/>
      <c r="I10" s="1019"/>
      <c r="J10" s="1019"/>
      <c r="K10" s="1019"/>
      <c r="L10" s="1019"/>
      <c r="M10" s="1019"/>
      <c r="N10" s="1019"/>
      <c r="O10" s="1019"/>
      <c r="P10" s="1019"/>
      <c r="Q10" s="1019"/>
      <c r="R10" s="1019"/>
      <c r="S10" s="1019"/>
      <c r="T10" s="1019"/>
      <c r="U10" s="1019"/>
      <c r="V10" s="1019"/>
      <c r="W10" s="1019"/>
      <c r="X10" s="1019"/>
      <c r="Y10" s="1019"/>
      <c r="Z10" s="1019"/>
      <c r="AA10" s="1019"/>
      <c r="AB10" s="1019"/>
      <c r="AC10" s="1019"/>
      <c r="AD10" s="1019"/>
      <c r="AE10" s="1019"/>
      <c r="AF10" s="1019"/>
      <c r="AG10" s="1019"/>
      <c r="AH10" s="1019"/>
      <c r="AI10" s="1019"/>
      <c r="AJ10" s="1019"/>
      <c r="AK10" s="1019"/>
      <c r="AL10" s="1019"/>
      <c r="AM10" s="1019"/>
    </row>
    <row r="11" spans="1:39" ht="15" hidden="1" customHeight="1">
      <c r="A11" s="1019"/>
      <c r="B11" s="1019"/>
      <c r="C11" s="1019"/>
      <c r="D11" s="1019"/>
      <c r="E11" s="1019"/>
      <c r="F11" s="1019"/>
      <c r="G11" s="1019"/>
      <c r="H11" s="1019"/>
      <c r="I11" s="1019"/>
      <c r="J11" s="1019"/>
      <c r="K11" s="1019"/>
      <c r="L11" s="1019"/>
      <c r="M11" s="1022"/>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1019"/>
      <c r="AJ11" s="1019"/>
      <c r="AK11" s="1019"/>
      <c r="AL11" s="1019"/>
      <c r="AM11" s="1019"/>
    </row>
    <row r="12" spans="1:39" ht="20.100000000000001" customHeight="1">
      <c r="A12" s="1019"/>
      <c r="B12" s="1019"/>
      <c r="C12" s="1019"/>
      <c r="D12" s="1019"/>
      <c r="E12" s="1019"/>
      <c r="F12" s="1019"/>
      <c r="G12" s="1019"/>
      <c r="H12" s="1019"/>
      <c r="I12" s="1019"/>
      <c r="J12" s="1019"/>
      <c r="K12" s="1019"/>
      <c r="L12" s="435" t="s">
        <v>1334</v>
      </c>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8"/>
    </row>
    <row r="13" spans="1:39">
      <c r="A13" s="1019"/>
      <c r="B13" s="1019"/>
      <c r="C13" s="1019"/>
      <c r="D13" s="1019"/>
      <c r="E13" s="1019"/>
      <c r="F13" s="1019"/>
      <c r="G13" s="1019"/>
      <c r="H13" s="1019"/>
      <c r="I13" s="1019"/>
      <c r="J13" s="1019"/>
      <c r="K13" s="1019"/>
      <c r="L13" s="1019"/>
      <c r="M13" s="1019"/>
      <c r="N13" s="1019"/>
      <c r="O13" s="1019"/>
      <c r="P13" s="1019"/>
      <c r="Q13" s="1019"/>
      <c r="R13" s="1019"/>
      <c r="S13" s="1019"/>
      <c r="T13" s="1019"/>
      <c r="U13" s="1019"/>
      <c r="V13" s="1019"/>
      <c r="W13" s="1019"/>
      <c r="X13" s="1019"/>
      <c r="Y13" s="1019"/>
      <c r="Z13" s="1019"/>
      <c r="AA13" s="1019"/>
      <c r="AB13" s="1019"/>
      <c r="AC13" s="1019"/>
      <c r="AD13" s="1019"/>
      <c r="AE13" s="1019"/>
      <c r="AF13" s="1019"/>
      <c r="AG13" s="1019"/>
      <c r="AH13" s="1019"/>
      <c r="AI13" s="1019"/>
      <c r="AJ13" s="1019"/>
      <c r="AK13" s="1019"/>
      <c r="AL13" s="1019"/>
      <c r="AM13" s="1019"/>
    </row>
    <row r="14" spans="1:39" s="80" customFormat="1" ht="15" customHeight="1">
      <c r="A14" s="927"/>
      <c r="B14" s="927"/>
      <c r="C14" s="927"/>
      <c r="D14" s="927"/>
      <c r="E14" s="927"/>
      <c r="F14" s="927"/>
      <c r="G14" s="927"/>
      <c r="H14" s="927"/>
      <c r="I14" s="927"/>
      <c r="J14" s="927"/>
      <c r="K14" s="927"/>
      <c r="L14" s="966" t="s">
        <v>16</v>
      </c>
      <c r="M14" s="966" t="s">
        <v>121</v>
      </c>
      <c r="N14" s="966" t="s">
        <v>266</v>
      </c>
      <c r="O14" s="938" t="s">
        <v>3020</v>
      </c>
      <c r="P14" s="938" t="s">
        <v>3020</v>
      </c>
      <c r="Q14" s="938" t="s">
        <v>3020</v>
      </c>
      <c r="R14" s="939" t="s">
        <v>3021</v>
      </c>
      <c r="S14" s="940" t="s">
        <v>3022</v>
      </c>
      <c r="T14" s="940" t="s">
        <v>3060</v>
      </c>
      <c r="U14" s="940" t="s">
        <v>3061</v>
      </c>
      <c r="V14" s="940" t="s">
        <v>3062</v>
      </c>
      <c r="W14" s="940" t="s">
        <v>3063</v>
      </c>
      <c r="X14" s="940" t="s">
        <v>3064</v>
      </c>
      <c r="Y14" s="940" t="s">
        <v>3065</v>
      </c>
      <c r="Z14" s="940" t="s">
        <v>3066</v>
      </c>
      <c r="AA14" s="940" t="s">
        <v>3067</v>
      </c>
      <c r="AB14" s="940" t="s">
        <v>3068</v>
      </c>
      <c r="AC14" s="940" t="s">
        <v>3022</v>
      </c>
      <c r="AD14" s="940" t="s">
        <v>3060</v>
      </c>
      <c r="AE14" s="940" t="s">
        <v>3061</v>
      </c>
      <c r="AF14" s="940" t="s">
        <v>3062</v>
      </c>
      <c r="AG14" s="940" t="s">
        <v>3063</v>
      </c>
      <c r="AH14" s="940" t="s">
        <v>3064</v>
      </c>
      <c r="AI14" s="940" t="s">
        <v>3065</v>
      </c>
      <c r="AJ14" s="940" t="s">
        <v>3066</v>
      </c>
      <c r="AK14" s="940" t="s">
        <v>3067</v>
      </c>
      <c r="AL14" s="940" t="s">
        <v>3068</v>
      </c>
      <c r="AM14" s="936" t="s">
        <v>304</v>
      </c>
    </row>
    <row r="15" spans="1:39" s="80" customFormat="1" ht="50.1" customHeight="1">
      <c r="A15" s="927"/>
      <c r="B15" s="927"/>
      <c r="C15" s="927"/>
      <c r="D15" s="927"/>
      <c r="E15" s="927"/>
      <c r="F15" s="927"/>
      <c r="G15" s="927"/>
      <c r="H15" s="927"/>
      <c r="I15" s="927"/>
      <c r="J15" s="927"/>
      <c r="K15" s="927"/>
      <c r="L15" s="966"/>
      <c r="M15" s="966"/>
      <c r="N15" s="966"/>
      <c r="O15" s="940" t="s">
        <v>267</v>
      </c>
      <c r="P15" s="940" t="s">
        <v>305</v>
      </c>
      <c r="Q15" s="940" t="s">
        <v>285</v>
      </c>
      <c r="R15" s="940" t="s">
        <v>267</v>
      </c>
      <c r="S15" s="943" t="s">
        <v>268</v>
      </c>
      <c r="T15" s="943" t="s">
        <v>268</v>
      </c>
      <c r="U15" s="943" t="s">
        <v>268</v>
      </c>
      <c r="V15" s="943" t="s">
        <v>268</v>
      </c>
      <c r="W15" s="943" t="s">
        <v>268</v>
      </c>
      <c r="X15" s="943" t="s">
        <v>268</v>
      </c>
      <c r="Y15" s="943" t="s">
        <v>268</v>
      </c>
      <c r="Z15" s="943" t="s">
        <v>268</v>
      </c>
      <c r="AA15" s="943" t="s">
        <v>268</v>
      </c>
      <c r="AB15" s="943" t="s">
        <v>268</v>
      </c>
      <c r="AC15" s="943" t="s">
        <v>267</v>
      </c>
      <c r="AD15" s="943" t="s">
        <v>267</v>
      </c>
      <c r="AE15" s="943" t="s">
        <v>267</v>
      </c>
      <c r="AF15" s="943" t="s">
        <v>267</v>
      </c>
      <c r="AG15" s="943" t="s">
        <v>267</v>
      </c>
      <c r="AH15" s="943" t="s">
        <v>267</v>
      </c>
      <c r="AI15" s="943" t="s">
        <v>267</v>
      </c>
      <c r="AJ15" s="943" t="s">
        <v>267</v>
      </c>
      <c r="AK15" s="943" t="s">
        <v>267</v>
      </c>
      <c r="AL15" s="943" t="s">
        <v>267</v>
      </c>
      <c r="AM15" s="936"/>
    </row>
    <row r="16" spans="1:39" s="80" customFormat="1">
      <c r="A16" s="944" t="s">
        <v>18</v>
      </c>
      <c r="B16" s="927"/>
      <c r="C16" s="927"/>
      <c r="D16" s="927"/>
      <c r="E16" s="927"/>
      <c r="F16" s="927"/>
      <c r="G16" s="927"/>
      <c r="H16" s="927"/>
      <c r="I16" s="927"/>
      <c r="J16" s="927"/>
      <c r="K16" s="927"/>
      <c r="L16" s="1007" t="s">
        <v>3018</v>
      </c>
      <c r="M16" s="839"/>
      <c r="N16" s="839"/>
      <c r="O16" s="839"/>
      <c r="P16" s="839"/>
      <c r="Q16" s="839"/>
      <c r="R16" s="839"/>
      <c r="S16" s="839"/>
      <c r="T16" s="839"/>
      <c r="U16" s="839"/>
      <c r="V16" s="839"/>
      <c r="W16" s="839"/>
      <c r="X16" s="839"/>
      <c r="Y16" s="839"/>
      <c r="Z16" s="839"/>
      <c r="AA16" s="839"/>
      <c r="AB16" s="839"/>
      <c r="AC16" s="839"/>
      <c r="AD16" s="839"/>
      <c r="AE16" s="839"/>
      <c r="AF16" s="839"/>
      <c r="AG16" s="839"/>
      <c r="AH16" s="839"/>
      <c r="AI16" s="839"/>
      <c r="AJ16" s="839"/>
      <c r="AK16" s="839"/>
      <c r="AL16" s="839"/>
      <c r="AM16" s="839"/>
    </row>
    <row r="17" spans="1:39" s="80" customFormat="1" ht="22.5">
      <c r="A17" s="982">
        <v>1</v>
      </c>
      <c r="B17" s="927" t="s">
        <v>1549</v>
      </c>
      <c r="C17" s="927"/>
      <c r="D17" s="927"/>
      <c r="E17" s="927"/>
      <c r="F17" s="927"/>
      <c r="G17" s="927"/>
      <c r="H17" s="927"/>
      <c r="I17" s="927"/>
      <c r="J17" s="927"/>
      <c r="K17" s="927"/>
      <c r="L17" s="1125">
        <v>0</v>
      </c>
      <c r="M17" s="1126" t="s">
        <v>410</v>
      </c>
      <c r="N17" s="218" t="s">
        <v>351</v>
      </c>
      <c r="O17" s="1127">
        <v>6</v>
      </c>
      <c r="P17" s="1127">
        <v>15.27</v>
      </c>
      <c r="Q17" s="1127">
        <v>8.734</v>
      </c>
      <c r="R17" s="1127">
        <v>15.27</v>
      </c>
      <c r="S17" s="1127">
        <v>9.8000000000000007</v>
      </c>
      <c r="T17" s="1127">
        <v>10</v>
      </c>
      <c r="U17" s="1127">
        <v>10.5</v>
      </c>
      <c r="V17" s="1127">
        <v>11</v>
      </c>
      <c r="W17" s="1127">
        <v>11.5</v>
      </c>
      <c r="X17" s="1127">
        <v>0</v>
      </c>
      <c r="Y17" s="1127">
        <v>0</v>
      </c>
      <c r="Z17" s="1127">
        <v>0</v>
      </c>
      <c r="AA17" s="1127">
        <v>0</v>
      </c>
      <c r="AB17" s="1127">
        <v>0</v>
      </c>
      <c r="AC17" s="1127">
        <v>9.8000000000000007</v>
      </c>
      <c r="AD17" s="1127">
        <v>9.8000000000000007</v>
      </c>
      <c r="AE17" s="1127">
        <v>9.8000000000000007</v>
      </c>
      <c r="AF17" s="1127">
        <v>9.8000000000000007</v>
      </c>
      <c r="AG17" s="1127">
        <v>9.8000000000000007</v>
      </c>
      <c r="AH17" s="1127">
        <v>0</v>
      </c>
      <c r="AI17" s="1127">
        <v>0</v>
      </c>
      <c r="AJ17" s="1127">
        <v>0</v>
      </c>
      <c r="AK17" s="1127">
        <v>0</v>
      </c>
      <c r="AL17" s="1127">
        <v>0</v>
      </c>
      <c r="AM17" s="951"/>
    </row>
    <row r="18" spans="1:39" s="80" customFormat="1">
      <c r="A18" s="982">
        <v>1</v>
      </c>
      <c r="B18" s="927" t="s">
        <v>1480</v>
      </c>
      <c r="C18" s="927"/>
      <c r="D18" s="927"/>
      <c r="E18" s="927"/>
      <c r="F18" s="927"/>
      <c r="G18" s="927"/>
      <c r="H18" s="927"/>
      <c r="I18" s="927"/>
      <c r="J18" s="927"/>
      <c r="K18" s="927"/>
      <c r="L18" s="1028" t="s">
        <v>18</v>
      </c>
      <c r="M18" s="1128" t="s">
        <v>411</v>
      </c>
      <c r="N18" s="221" t="s">
        <v>351</v>
      </c>
      <c r="O18" s="1116"/>
      <c r="P18" s="1129"/>
      <c r="Q18" s="1129"/>
      <c r="R18" s="1129"/>
      <c r="S18" s="1129"/>
      <c r="T18" s="1129"/>
      <c r="U18" s="1129"/>
      <c r="V18" s="1129"/>
      <c r="W18" s="1129"/>
      <c r="X18" s="1129"/>
      <c r="Y18" s="1129"/>
      <c r="Z18" s="1129"/>
      <c r="AA18" s="1129"/>
      <c r="AB18" s="1129"/>
      <c r="AC18" s="1129"/>
      <c r="AD18" s="1129"/>
      <c r="AE18" s="1129"/>
      <c r="AF18" s="1129"/>
      <c r="AG18" s="1129"/>
      <c r="AH18" s="1129"/>
      <c r="AI18" s="1129"/>
      <c r="AJ18" s="1129"/>
      <c r="AK18" s="1129"/>
      <c r="AL18" s="1129"/>
      <c r="AM18" s="951"/>
    </row>
    <row r="19" spans="1:39" s="80" customFormat="1">
      <c r="A19" s="982">
        <v>1</v>
      </c>
      <c r="B19" s="927" t="s">
        <v>1481</v>
      </c>
      <c r="C19" s="927"/>
      <c r="D19" s="927"/>
      <c r="E19" s="927"/>
      <c r="F19" s="927"/>
      <c r="G19" s="927"/>
      <c r="H19" s="927"/>
      <c r="I19" s="927"/>
      <c r="J19" s="927"/>
      <c r="K19" s="927"/>
      <c r="L19" s="1028" t="s">
        <v>102</v>
      </c>
      <c r="M19" s="1128" t="s">
        <v>412</v>
      </c>
      <c r="N19" s="221" t="s">
        <v>351</v>
      </c>
      <c r="O19" s="1116"/>
      <c r="P19" s="1129"/>
      <c r="Q19" s="1129"/>
      <c r="R19" s="1129"/>
      <c r="S19" s="1129"/>
      <c r="T19" s="1129"/>
      <c r="U19" s="1129"/>
      <c r="V19" s="1129"/>
      <c r="W19" s="1129"/>
      <c r="X19" s="1129"/>
      <c r="Y19" s="1129"/>
      <c r="Z19" s="1129"/>
      <c r="AA19" s="1129"/>
      <c r="AB19" s="1129"/>
      <c r="AC19" s="1129"/>
      <c r="AD19" s="1129"/>
      <c r="AE19" s="1129"/>
      <c r="AF19" s="1129"/>
      <c r="AG19" s="1129"/>
      <c r="AH19" s="1129"/>
      <c r="AI19" s="1129"/>
      <c r="AJ19" s="1129"/>
      <c r="AK19" s="1129"/>
      <c r="AL19" s="1129"/>
      <c r="AM19" s="951"/>
    </row>
    <row r="20" spans="1:39" s="80" customFormat="1" ht="22.5">
      <c r="A20" s="982">
        <v>1</v>
      </c>
      <c r="B20" s="927" t="s">
        <v>1483</v>
      </c>
      <c r="C20" s="927"/>
      <c r="D20" s="927"/>
      <c r="E20" s="927"/>
      <c r="F20" s="927"/>
      <c r="G20" s="927"/>
      <c r="H20" s="927"/>
      <c r="I20" s="927"/>
      <c r="J20" s="927"/>
      <c r="K20" s="927"/>
      <c r="L20" s="1028" t="s">
        <v>103</v>
      </c>
      <c r="M20" s="1128" t="s">
        <v>1390</v>
      </c>
      <c r="N20" s="221" t="s">
        <v>351</v>
      </c>
      <c r="O20" s="1116"/>
      <c r="P20" s="1129"/>
      <c r="Q20" s="1129"/>
      <c r="R20" s="1129"/>
      <c r="S20" s="1129"/>
      <c r="T20" s="1129"/>
      <c r="U20" s="1129"/>
      <c r="V20" s="1129"/>
      <c r="W20" s="1129"/>
      <c r="X20" s="1129"/>
      <c r="Y20" s="1129"/>
      <c r="Z20" s="1129"/>
      <c r="AA20" s="1129"/>
      <c r="AB20" s="1129"/>
      <c r="AC20" s="1129"/>
      <c r="AD20" s="1129"/>
      <c r="AE20" s="1129"/>
      <c r="AF20" s="1129"/>
      <c r="AG20" s="1129"/>
      <c r="AH20" s="1129"/>
      <c r="AI20" s="1129"/>
      <c r="AJ20" s="1129"/>
      <c r="AK20" s="1129"/>
      <c r="AL20" s="1129"/>
      <c r="AM20" s="951"/>
    </row>
    <row r="21" spans="1:39">
      <c r="A21" s="982">
        <v>1</v>
      </c>
      <c r="B21" s="1019" t="s">
        <v>1484</v>
      </c>
      <c r="C21" s="1019"/>
      <c r="D21" s="1019"/>
      <c r="E21" s="1019"/>
      <c r="F21" s="1019"/>
      <c r="G21" s="1019"/>
      <c r="H21" s="1019"/>
      <c r="I21" s="1019"/>
      <c r="J21" s="1019"/>
      <c r="K21" s="1019"/>
      <c r="L21" s="1130">
        <v>4</v>
      </c>
      <c r="M21" s="1128" t="s">
        <v>413</v>
      </c>
      <c r="N21" s="221" t="s">
        <v>351</v>
      </c>
      <c r="O21" s="1131">
        <v>6</v>
      </c>
      <c r="P21" s="1131">
        <v>15.27</v>
      </c>
      <c r="Q21" s="1131">
        <v>8.734</v>
      </c>
      <c r="R21" s="1131">
        <v>15.27</v>
      </c>
      <c r="S21" s="1131">
        <v>9.8000000000000007</v>
      </c>
      <c r="T21" s="1131">
        <v>10</v>
      </c>
      <c r="U21" s="1131">
        <v>10.5</v>
      </c>
      <c r="V21" s="1131">
        <v>11</v>
      </c>
      <c r="W21" s="1131">
        <v>11.5</v>
      </c>
      <c r="X21" s="1131"/>
      <c r="Y21" s="1131"/>
      <c r="Z21" s="1131"/>
      <c r="AA21" s="1131"/>
      <c r="AB21" s="1131"/>
      <c r="AC21" s="1131">
        <v>9.8000000000000007</v>
      </c>
      <c r="AD21" s="1131">
        <v>9.8000000000000007</v>
      </c>
      <c r="AE21" s="1131">
        <v>9.8000000000000007</v>
      </c>
      <c r="AF21" s="1131">
        <v>9.8000000000000007</v>
      </c>
      <c r="AG21" s="1131">
        <v>9.8000000000000007</v>
      </c>
      <c r="AH21" s="1131"/>
      <c r="AI21" s="1131"/>
      <c r="AJ21" s="1131"/>
      <c r="AK21" s="1131"/>
      <c r="AL21" s="1131"/>
      <c r="AM21" s="951"/>
    </row>
    <row r="22" spans="1:39" s="80" customFormat="1">
      <c r="A22" s="982">
        <v>1</v>
      </c>
      <c r="B22" s="927" t="s">
        <v>1485</v>
      </c>
      <c r="C22" s="927"/>
      <c r="D22" s="927"/>
      <c r="E22" s="927"/>
      <c r="F22" s="927"/>
      <c r="G22" s="927"/>
      <c r="H22" s="927"/>
      <c r="I22" s="927"/>
      <c r="J22" s="927"/>
      <c r="K22" s="927"/>
      <c r="L22" s="1028" t="s">
        <v>120</v>
      </c>
      <c r="M22" s="1128" t="s">
        <v>414</v>
      </c>
      <c r="N22" s="221" t="s">
        <v>351</v>
      </c>
      <c r="O22" s="1116"/>
      <c r="P22" s="1116"/>
      <c r="Q22" s="1116"/>
      <c r="R22" s="1116"/>
      <c r="S22" s="1116"/>
      <c r="T22" s="1116"/>
      <c r="U22" s="1116"/>
      <c r="V22" s="1116"/>
      <c r="W22" s="1116"/>
      <c r="X22" s="1116"/>
      <c r="Y22" s="1116"/>
      <c r="Z22" s="1116"/>
      <c r="AA22" s="1116"/>
      <c r="AB22" s="1116"/>
      <c r="AC22" s="1116"/>
      <c r="AD22" s="1116"/>
      <c r="AE22" s="1116"/>
      <c r="AF22" s="1116"/>
      <c r="AG22" s="1116"/>
      <c r="AH22" s="1116"/>
      <c r="AI22" s="1116"/>
      <c r="AJ22" s="1116"/>
      <c r="AK22" s="1116"/>
      <c r="AL22" s="1116"/>
      <c r="AM22" s="951"/>
    </row>
    <row r="23" spans="1:39" s="80" customFormat="1">
      <c r="A23" s="982">
        <v>1</v>
      </c>
      <c r="B23" s="927" t="s">
        <v>1486</v>
      </c>
      <c r="C23" s="927"/>
      <c r="D23" s="927"/>
      <c r="E23" s="927"/>
      <c r="F23" s="927"/>
      <c r="G23" s="927"/>
      <c r="H23" s="927"/>
      <c r="I23" s="927"/>
      <c r="J23" s="927"/>
      <c r="K23" s="927"/>
      <c r="L23" s="1028" t="s">
        <v>124</v>
      </c>
      <c r="M23" s="1128" t="s">
        <v>133</v>
      </c>
      <c r="N23" s="221" t="s">
        <v>351</v>
      </c>
      <c r="O23" s="1116"/>
      <c r="P23" s="1116"/>
      <c r="Q23" s="1116"/>
      <c r="R23" s="1116"/>
      <c r="S23" s="1116"/>
      <c r="T23" s="1116"/>
      <c r="U23" s="1116"/>
      <c r="V23" s="1116"/>
      <c r="W23" s="1116"/>
      <c r="X23" s="1116"/>
      <c r="Y23" s="1116"/>
      <c r="Z23" s="1116"/>
      <c r="AA23" s="1116"/>
      <c r="AB23" s="1116"/>
      <c r="AC23" s="1116"/>
      <c r="AD23" s="1116"/>
      <c r="AE23" s="1116"/>
      <c r="AF23" s="1116"/>
      <c r="AG23" s="1116"/>
      <c r="AH23" s="1116"/>
      <c r="AI23" s="1116"/>
      <c r="AJ23" s="1116"/>
      <c r="AK23" s="1116"/>
      <c r="AL23" s="1116"/>
      <c r="AM23" s="951"/>
    </row>
    <row r="24" spans="1:39" s="80" customFormat="1">
      <c r="A24" s="982">
        <v>1</v>
      </c>
      <c r="B24" s="927" t="s">
        <v>1487</v>
      </c>
      <c r="C24" s="927"/>
      <c r="D24" s="927"/>
      <c r="E24" s="927"/>
      <c r="F24" s="927"/>
      <c r="G24" s="927"/>
      <c r="H24" s="927"/>
      <c r="I24" s="927"/>
      <c r="J24" s="927"/>
      <c r="K24" s="927"/>
      <c r="L24" s="1028" t="s">
        <v>125</v>
      </c>
      <c r="M24" s="1128" t="s">
        <v>132</v>
      </c>
      <c r="N24" s="221" t="s">
        <v>351</v>
      </c>
      <c r="O24" s="1116"/>
      <c r="P24" s="1116"/>
      <c r="Q24" s="1116"/>
      <c r="R24" s="1116"/>
      <c r="S24" s="1116"/>
      <c r="T24" s="1116"/>
      <c r="U24" s="1116"/>
      <c r="V24" s="1116"/>
      <c r="W24" s="1116"/>
      <c r="X24" s="1116"/>
      <c r="Y24" s="1116"/>
      <c r="Z24" s="1116"/>
      <c r="AA24" s="1116"/>
      <c r="AB24" s="1116"/>
      <c r="AC24" s="1116"/>
      <c r="AD24" s="1116"/>
      <c r="AE24" s="1116"/>
      <c r="AF24" s="1116"/>
      <c r="AG24" s="1116"/>
      <c r="AH24" s="1116"/>
      <c r="AI24" s="1116"/>
      <c r="AJ24" s="1116"/>
      <c r="AK24" s="1116"/>
      <c r="AL24" s="1116"/>
      <c r="AM24" s="951"/>
    </row>
    <row r="25" spans="1:39" s="80" customFormat="1" ht="22.5">
      <c r="A25" s="982">
        <v>1</v>
      </c>
      <c r="B25" s="927" t="s">
        <v>1494</v>
      </c>
      <c r="C25" s="927"/>
      <c r="D25" s="927"/>
      <c r="E25" s="927"/>
      <c r="F25" s="927"/>
      <c r="G25" s="927"/>
      <c r="H25" s="927"/>
      <c r="I25" s="927"/>
      <c r="J25" s="927"/>
      <c r="K25" s="927"/>
      <c r="L25" s="1028" t="s">
        <v>126</v>
      </c>
      <c r="M25" s="1128" t="s">
        <v>1391</v>
      </c>
      <c r="N25" s="221" t="s">
        <v>351</v>
      </c>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951"/>
    </row>
    <row r="26" spans="1:39">
      <c r="A26" s="982">
        <v>1</v>
      </c>
      <c r="B26" s="1019" t="s">
        <v>1495</v>
      </c>
      <c r="C26" s="1019"/>
      <c r="D26" s="1019"/>
      <c r="E26" s="1019"/>
      <c r="F26" s="1019"/>
      <c r="G26" s="1019"/>
      <c r="H26" s="1019"/>
      <c r="I26" s="1019"/>
      <c r="J26" s="1019"/>
      <c r="K26" s="1019"/>
      <c r="L26" s="1130">
        <v>9</v>
      </c>
      <c r="M26" s="1128" t="s">
        <v>415</v>
      </c>
      <c r="N26" s="221" t="s">
        <v>351</v>
      </c>
      <c r="O26" s="1132">
        <v>0</v>
      </c>
      <c r="P26" s="1132">
        <v>0</v>
      </c>
      <c r="Q26" s="1132">
        <v>0</v>
      </c>
      <c r="R26" s="1132">
        <v>0</v>
      </c>
      <c r="S26" s="1132">
        <v>0</v>
      </c>
      <c r="T26" s="1132">
        <v>0</v>
      </c>
      <c r="U26" s="1132">
        <v>0</v>
      </c>
      <c r="V26" s="1132">
        <v>0</v>
      </c>
      <c r="W26" s="1132">
        <v>0</v>
      </c>
      <c r="X26" s="1132">
        <v>0</v>
      </c>
      <c r="Y26" s="1132">
        <v>0</v>
      </c>
      <c r="Z26" s="1132">
        <v>0</v>
      </c>
      <c r="AA26" s="1132">
        <v>0</v>
      </c>
      <c r="AB26" s="1132">
        <v>0</v>
      </c>
      <c r="AC26" s="1132">
        <v>0</v>
      </c>
      <c r="AD26" s="1132">
        <v>0</v>
      </c>
      <c r="AE26" s="1132">
        <v>0</v>
      </c>
      <c r="AF26" s="1132">
        <v>0</v>
      </c>
      <c r="AG26" s="1132">
        <v>0</v>
      </c>
      <c r="AH26" s="1132">
        <v>0</v>
      </c>
      <c r="AI26" s="1132">
        <v>0</v>
      </c>
      <c r="AJ26" s="1132">
        <v>0</v>
      </c>
      <c r="AK26" s="1132">
        <v>0</v>
      </c>
      <c r="AL26" s="1132">
        <v>0</v>
      </c>
      <c r="AM26" s="951"/>
    </row>
    <row r="27" spans="1:39" ht="0.2" customHeight="1">
      <c r="A27" s="982">
        <v>1</v>
      </c>
      <c r="B27" s="1019"/>
      <c r="C27" s="1019"/>
      <c r="D27" s="1019"/>
      <c r="E27" s="1019"/>
      <c r="F27" s="1019"/>
      <c r="G27" s="1019"/>
      <c r="H27" s="1019"/>
      <c r="I27" s="1019"/>
      <c r="J27" s="1019"/>
      <c r="K27" s="1019"/>
      <c r="L27" s="1130">
        <v>9</v>
      </c>
      <c r="M27" s="220"/>
      <c r="N27" s="221"/>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1"/>
    </row>
    <row r="28" spans="1:39">
      <c r="A28" s="1019"/>
      <c r="B28" s="1019"/>
      <c r="C28" s="1019"/>
      <c r="D28" s="1019"/>
      <c r="E28" s="1019"/>
      <c r="F28" s="1019"/>
      <c r="G28" s="1019"/>
      <c r="H28" s="1019"/>
      <c r="I28" s="1019"/>
      <c r="J28" s="1019"/>
      <c r="K28" s="1019"/>
      <c r="L28" s="1019"/>
      <c r="M28" s="1019"/>
      <c r="N28" s="1019"/>
      <c r="O28" s="1019"/>
      <c r="P28" s="1019"/>
      <c r="Q28" s="1019"/>
      <c r="R28" s="1019"/>
      <c r="S28" s="1019"/>
      <c r="T28" s="1019"/>
      <c r="U28" s="1019"/>
      <c r="V28" s="1019"/>
      <c r="W28" s="1019"/>
      <c r="X28" s="1019"/>
      <c r="Y28" s="1019"/>
      <c r="Z28" s="1019"/>
      <c r="AA28" s="1019"/>
      <c r="AB28" s="1019"/>
      <c r="AC28" s="1019"/>
      <c r="AD28" s="1019"/>
      <c r="AE28" s="1019"/>
      <c r="AF28" s="1019"/>
      <c r="AG28" s="1019"/>
      <c r="AH28" s="1019"/>
      <c r="AI28" s="1019"/>
      <c r="AJ28" s="1019"/>
      <c r="AK28" s="1019"/>
      <c r="AL28" s="1019"/>
      <c r="AM28" s="1019"/>
    </row>
    <row r="29" spans="1:39" s="86" customFormat="1" ht="15" customHeight="1">
      <c r="A29" s="934"/>
      <c r="B29" s="934"/>
      <c r="C29" s="934"/>
      <c r="D29" s="934"/>
      <c r="E29" s="934"/>
      <c r="F29" s="934"/>
      <c r="G29" s="934"/>
      <c r="H29" s="934"/>
      <c r="I29" s="934"/>
      <c r="J29" s="934"/>
      <c r="K29" s="934"/>
      <c r="L29" s="966" t="s">
        <v>1425</v>
      </c>
      <c r="M29" s="966"/>
      <c r="N29" s="966"/>
      <c r="O29" s="966"/>
      <c r="P29" s="966"/>
      <c r="Q29" s="966"/>
      <c r="R29" s="966"/>
      <c r="S29" s="979"/>
      <c r="T29" s="979"/>
      <c r="U29" s="979"/>
      <c r="V29" s="979"/>
      <c r="W29" s="979"/>
      <c r="X29" s="979"/>
      <c r="Y29" s="979"/>
      <c r="Z29" s="979"/>
      <c r="AA29" s="979"/>
      <c r="AB29" s="979"/>
      <c r="AC29" s="979"/>
      <c r="AD29" s="979"/>
      <c r="AE29" s="979"/>
      <c r="AF29" s="979"/>
      <c r="AG29" s="979"/>
      <c r="AH29" s="979"/>
      <c r="AI29" s="979"/>
      <c r="AJ29" s="979"/>
      <c r="AK29" s="979"/>
      <c r="AL29" s="979"/>
      <c r="AM29" s="979"/>
    </row>
    <row r="30" spans="1:39" s="86" customFormat="1" ht="15" customHeight="1">
      <c r="A30" s="934"/>
      <c r="B30" s="934"/>
      <c r="C30" s="934"/>
      <c r="D30" s="934"/>
      <c r="E30" s="934"/>
      <c r="F30" s="934"/>
      <c r="G30" s="934"/>
      <c r="H30" s="934"/>
      <c r="I30" s="934"/>
      <c r="J30" s="934"/>
      <c r="K30" s="807"/>
      <c r="L30" s="996" t="s">
        <v>2997</v>
      </c>
      <c r="M30" s="980"/>
      <c r="N30" s="980"/>
      <c r="O30" s="980"/>
      <c r="P30" s="980"/>
      <c r="Q30" s="980"/>
      <c r="R30" s="980"/>
      <c r="S30" s="981"/>
      <c r="T30" s="981"/>
      <c r="U30" s="981"/>
      <c r="V30" s="981"/>
      <c r="W30" s="981"/>
      <c r="X30" s="981"/>
      <c r="Y30" s="981"/>
      <c r="Z30" s="981"/>
      <c r="AA30" s="981"/>
      <c r="AB30" s="981"/>
      <c r="AC30" s="981"/>
      <c r="AD30" s="981"/>
      <c r="AE30" s="981"/>
      <c r="AF30" s="981"/>
      <c r="AG30" s="981"/>
      <c r="AH30" s="981"/>
      <c r="AI30" s="981"/>
      <c r="AJ30" s="981"/>
      <c r="AK30" s="981"/>
      <c r="AL30" s="981"/>
      <c r="AM30" s="981"/>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zoomScale="60" zoomScaleNormal="100" workbookViewId="0">
      <pane xSplit="14" ySplit="17" topLeftCell="O62"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5" width="13.28515625" style="101" customWidth="1"/>
    <col min="26" max="30" width="13.28515625" style="101" hidden="1" customWidth="1"/>
    <col min="31" max="35" width="13.28515625" style="101" customWidth="1"/>
    <col min="36" max="40" width="13.28515625" style="101" hidden="1" customWidth="1"/>
    <col min="41" max="41" width="21.28515625" style="101" customWidth="1"/>
    <col min="42" max="16384" width="8.85546875" style="101"/>
  </cols>
  <sheetData>
    <row r="1" spans="1:41" hidden="1">
      <c r="A1" s="1133"/>
      <c r="B1" s="1133"/>
      <c r="C1" s="1133"/>
      <c r="D1" s="1133"/>
      <c r="E1" s="1133"/>
      <c r="F1" s="1133"/>
      <c r="G1" s="1133"/>
      <c r="H1" s="1133"/>
      <c r="I1" s="1133"/>
      <c r="J1" s="1133"/>
      <c r="K1" s="1133"/>
      <c r="L1" s="1133"/>
      <c r="M1" s="1133"/>
      <c r="N1" s="1133"/>
      <c r="O1" s="1133">
        <v>2022</v>
      </c>
      <c r="P1" s="1133">
        <v>2022</v>
      </c>
      <c r="Q1" s="1133">
        <v>2022</v>
      </c>
      <c r="R1" s="1133">
        <v>2022</v>
      </c>
      <c r="S1" s="1133">
        <v>2023</v>
      </c>
      <c r="T1" s="1133">
        <v>2023</v>
      </c>
      <c r="U1" s="934">
        <v>2024</v>
      </c>
      <c r="V1" s="934">
        <v>2025</v>
      </c>
      <c r="W1" s="934">
        <v>2026</v>
      </c>
      <c r="X1" s="934">
        <v>2027</v>
      </c>
      <c r="Y1" s="934">
        <v>2028</v>
      </c>
      <c r="Z1" s="934">
        <v>2029</v>
      </c>
      <c r="AA1" s="934">
        <v>2030</v>
      </c>
      <c r="AB1" s="934">
        <v>2031</v>
      </c>
      <c r="AC1" s="934">
        <v>2032</v>
      </c>
      <c r="AD1" s="934">
        <v>2033</v>
      </c>
      <c r="AE1" s="934">
        <v>2024</v>
      </c>
      <c r="AF1" s="934">
        <v>2025</v>
      </c>
      <c r="AG1" s="934">
        <v>2026</v>
      </c>
      <c r="AH1" s="934">
        <v>2027</v>
      </c>
      <c r="AI1" s="934">
        <v>2028</v>
      </c>
      <c r="AJ1" s="934">
        <v>2029</v>
      </c>
      <c r="AK1" s="934">
        <v>2030</v>
      </c>
      <c r="AL1" s="934">
        <v>2031</v>
      </c>
      <c r="AM1" s="934">
        <v>2032</v>
      </c>
      <c r="AN1" s="934">
        <v>2033</v>
      </c>
      <c r="AO1" s="1133"/>
    </row>
    <row r="2" spans="1:41" hidden="1">
      <c r="A2" s="1133"/>
      <c r="B2" s="1133"/>
      <c r="C2" s="1133"/>
      <c r="D2" s="1133"/>
      <c r="E2" s="1133"/>
      <c r="F2" s="1133"/>
      <c r="G2" s="1133"/>
      <c r="H2" s="1133"/>
      <c r="I2" s="1133"/>
      <c r="J2" s="1133"/>
      <c r="K2" s="1133"/>
      <c r="L2" s="1133"/>
      <c r="M2" s="1133"/>
      <c r="N2" s="1133"/>
      <c r="O2" s="1133" t="s">
        <v>1158</v>
      </c>
      <c r="P2" s="1133" t="s">
        <v>267</v>
      </c>
      <c r="Q2" s="1133" t="s">
        <v>417</v>
      </c>
      <c r="R2" s="1133" t="s">
        <v>418</v>
      </c>
      <c r="S2" s="1133" t="s">
        <v>1158</v>
      </c>
      <c r="T2" s="1133" t="s">
        <v>267</v>
      </c>
      <c r="U2" s="1133" t="s">
        <v>268</v>
      </c>
      <c r="V2" s="1133" t="s">
        <v>268</v>
      </c>
      <c r="W2" s="1133" t="s">
        <v>268</v>
      </c>
      <c r="X2" s="1133" t="s">
        <v>268</v>
      </c>
      <c r="Y2" s="1133" t="s">
        <v>268</v>
      </c>
      <c r="Z2" s="1133" t="s">
        <v>268</v>
      </c>
      <c r="AA2" s="1133" t="s">
        <v>268</v>
      </c>
      <c r="AB2" s="1133" t="s">
        <v>268</v>
      </c>
      <c r="AC2" s="1133" t="s">
        <v>268</v>
      </c>
      <c r="AD2" s="1133" t="s">
        <v>268</v>
      </c>
      <c r="AE2" s="1133" t="s">
        <v>267</v>
      </c>
      <c r="AF2" s="1133" t="s">
        <v>267</v>
      </c>
      <c r="AG2" s="1133" t="s">
        <v>267</v>
      </c>
      <c r="AH2" s="1133" t="s">
        <v>267</v>
      </c>
      <c r="AI2" s="1133" t="s">
        <v>267</v>
      </c>
      <c r="AJ2" s="1133" t="s">
        <v>267</v>
      </c>
      <c r="AK2" s="1133" t="s">
        <v>267</v>
      </c>
      <c r="AL2" s="1133" t="s">
        <v>267</v>
      </c>
      <c r="AM2" s="1133" t="s">
        <v>267</v>
      </c>
      <c r="AN2" s="1133" t="s">
        <v>267</v>
      </c>
      <c r="AO2" s="1133"/>
    </row>
    <row r="3" spans="1:41" hidden="1">
      <c r="A3" s="1133"/>
      <c r="B3" s="1133"/>
      <c r="C3" s="1133"/>
      <c r="D3" s="1133"/>
      <c r="E3" s="1133"/>
      <c r="F3" s="1133"/>
      <c r="G3" s="1133"/>
      <c r="H3" s="1133"/>
      <c r="I3" s="1133"/>
      <c r="J3" s="1133"/>
      <c r="K3" s="1133"/>
      <c r="L3" s="1133"/>
      <c r="M3" s="1133"/>
      <c r="N3" s="1133"/>
      <c r="O3" s="1133"/>
      <c r="P3" s="1133"/>
      <c r="Q3" s="1133"/>
      <c r="R3" s="1133"/>
      <c r="S3" s="1133"/>
      <c r="T3" s="1133"/>
      <c r="U3" s="934"/>
      <c r="V3" s="934"/>
      <c r="W3" s="934"/>
      <c r="X3" s="934"/>
      <c r="Y3" s="934"/>
      <c r="Z3" s="934"/>
      <c r="AA3" s="934"/>
      <c r="AB3" s="934"/>
      <c r="AC3" s="934"/>
      <c r="AD3" s="934"/>
      <c r="AE3" s="934"/>
      <c r="AF3" s="934"/>
      <c r="AG3" s="934"/>
      <c r="AH3" s="934"/>
      <c r="AI3" s="934"/>
      <c r="AJ3" s="934"/>
      <c r="AK3" s="934"/>
      <c r="AL3" s="934"/>
      <c r="AM3" s="934"/>
      <c r="AN3" s="934"/>
      <c r="AO3" s="1133"/>
    </row>
    <row r="4" spans="1:41" hidden="1">
      <c r="A4" s="1133"/>
      <c r="B4" s="1133"/>
      <c r="C4" s="1133"/>
      <c r="D4" s="1133"/>
      <c r="E4" s="1133"/>
      <c r="F4" s="1133"/>
      <c r="G4" s="1133"/>
      <c r="H4" s="1133"/>
      <c r="I4" s="1133"/>
      <c r="J4" s="1133"/>
      <c r="K4" s="1133"/>
      <c r="L4" s="1133"/>
      <c r="M4" s="1133"/>
      <c r="N4" s="1133"/>
      <c r="O4" s="1133"/>
      <c r="P4" s="1133"/>
      <c r="Q4" s="1133"/>
      <c r="R4" s="1133"/>
      <c r="S4" s="1133"/>
      <c r="T4" s="1133"/>
      <c r="U4" s="934"/>
      <c r="V4" s="934"/>
      <c r="W4" s="934"/>
      <c r="X4" s="934"/>
      <c r="Y4" s="934"/>
      <c r="Z4" s="934"/>
      <c r="AA4" s="934"/>
      <c r="AB4" s="934"/>
      <c r="AC4" s="934"/>
      <c r="AD4" s="934"/>
      <c r="AE4" s="934"/>
      <c r="AF4" s="934"/>
      <c r="AG4" s="934"/>
      <c r="AH4" s="934"/>
      <c r="AI4" s="934"/>
      <c r="AJ4" s="934"/>
      <c r="AK4" s="934"/>
      <c r="AL4" s="934"/>
      <c r="AM4" s="934"/>
      <c r="AN4" s="934"/>
      <c r="AO4" s="1133"/>
    </row>
    <row r="5" spans="1:41" hidden="1">
      <c r="A5" s="1133"/>
      <c r="B5" s="1133"/>
      <c r="C5" s="1133"/>
      <c r="D5" s="1133"/>
      <c r="E5" s="1133"/>
      <c r="F5" s="1133"/>
      <c r="G5" s="1133"/>
      <c r="H5" s="1133"/>
      <c r="I5" s="1133"/>
      <c r="J5" s="1133"/>
      <c r="K5" s="1133"/>
      <c r="L5" s="1133"/>
      <c r="M5" s="1133"/>
      <c r="N5" s="1133"/>
      <c r="O5" s="1133"/>
      <c r="P5" s="1133"/>
      <c r="Q5" s="1133"/>
      <c r="R5" s="1133"/>
      <c r="S5" s="1133"/>
      <c r="T5" s="1133"/>
      <c r="U5" s="934"/>
      <c r="V5" s="934"/>
      <c r="W5" s="934"/>
      <c r="X5" s="934"/>
      <c r="Y5" s="934"/>
      <c r="Z5" s="934"/>
      <c r="AA5" s="934"/>
      <c r="AB5" s="934"/>
      <c r="AC5" s="934"/>
      <c r="AD5" s="934"/>
      <c r="AE5" s="934"/>
      <c r="AF5" s="934"/>
      <c r="AG5" s="934"/>
      <c r="AH5" s="934"/>
      <c r="AI5" s="934"/>
      <c r="AJ5" s="934"/>
      <c r="AK5" s="934"/>
      <c r="AL5" s="934"/>
      <c r="AM5" s="934"/>
      <c r="AN5" s="934"/>
      <c r="AO5" s="1133"/>
    </row>
    <row r="6" spans="1:41" hidden="1">
      <c r="A6" s="1133"/>
      <c r="B6" s="1133"/>
      <c r="C6" s="1133"/>
      <c r="D6" s="1133"/>
      <c r="E6" s="1133"/>
      <c r="F6" s="1133"/>
      <c r="G6" s="1133"/>
      <c r="H6" s="1133"/>
      <c r="I6" s="1133"/>
      <c r="J6" s="1133"/>
      <c r="K6" s="1133"/>
      <c r="L6" s="1133"/>
      <c r="M6" s="1133"/>
      <c r="N6" s="1133"/>
      <c r="O6" s="1133"/>
      <c r="P6" s="1133"/>
      <c r="Q6" s="1133"/>
      <c r="R6" s="1133"/>
      <c r="S6" s="1133"/>
      <c r="T6" s="1133"/>
      <c r="U6" s="934"/>
      <c r="V6" s="934"/>
      <c r="W6" s="934"/>
      <c r="X6" s="934"/>
      <c r="Y6" s="934"/>
      <c r="Z6" s="934"/>
      <c r="AA6" s="934"/>
      <c r="AB6" s="934"/>
      <c r="AC6" s="934"/>
      <c r="AD6" s="934"/>
      <c r="AE6" s="934"/>
      <c r="AF6" s="934"/>
      <c r="AG6" s="934"/>
      <c r="AH6" s="934"/>
      <c r="AI6" s="934"/>
      <c r="AJ6" s="934"/>
      <c r="AK6" s="934"/>
      <c r="AL6" s="934"/>
      <c r="AM6" s="934"/>
      <c r="AN6" s="934"/>
      <c r="AO6" s="1133"/>
    </row>
    <row r="7" spans="1:41" hidden="1">
      <c r="A7" s="1133"/>
      <c r="B7" s="1133"/>
      <c r="C7" s="1133"/>
      <c r="D7" s="1133"/>
      <c r="E7" s="1133"/>
      <c r="F7" s="1133"/>
      <c r="G7" s="1133"/>
      <c r="H7" s="1133"/>
      <c r="I7" s="1133"/>
      <c r="J7" s="1133"/>
      <c r="K7" s="1133"/>
      <c r="L7" s="1133"/>
      <c r="M7" s="1133"/>
      <c r="N7" s="1133"/>
      <c r="O7" s="1133"/>
      <c r="P7" s="1133"/>
      <c r="Q7" s="1133"/>
      <c r="R7" s="1133"/>
      <c r="S7" s="1133"/>
      <c r="T7" s="1133"/>
      <c r="U7" s="886" t="b">
        <v>1</v>
      </c>
      <c r="V7" s="886" t="b">
        <v>1</v>
      </c>
      <c r="W7" s="886" t="b">
        <v>1</v>
      </c>
      <c r="X7" s="886" t="b">
        <v>1</v>
      </c>
      <c r="Y7" s="886" t="b">
        <v>1</v>
      </c>
      <c r="Z7" s="886" t="b">
        <v>0</v>
      </c>
      <c r="AA7" s="886" t="b">
        <v>0</v>
      </c>
      <c r="AB7" s="886" t="b">
        <v>0</v>
      </c>
      <c r="AC7" s="886" t="b">
        <v>0</v>
      </c>
      <c r="AD7" s="886" t="b">
        <v>0</v>
      </c>
      <c r="AE7" s="886" t="b">
        <v>1</v>
      </c>
      <c r="AF7" s="886" t="b">
        <v>1</v>
      </c>
      <c r="AG7" s="886" t="b">
        <v>1</v>
      </c>
      <c r="AH7" s="886" t="b">
        <v>1</v>
      </c>
      <c r="AI7" s="886" t="b">
        <v>1</v>
      </c>
      <c r="AJ7" s="886" t="b">
        <v>0</v>
      </c>
      <c r="AK7" s="886" t="b">
        <v>0</v>
      </c>
      <c r="AL7" s="886" t="b">
        <v>0</v>
      </c>
      <c r="AM7" s="886" t="b">
        <v>0</v>
      </c>
      <c r="AN7" s="886" t="b">
        <v>0</v>
      </c>
      <c r="AO7" s="1133"/>
    </row>
    <row r="8" spans="1:41" hidden="1">
      <c r="A8" s="1133"/>
      <c r="B8" s="1133"/>
      <c r="C8" s="1133"/>
      <c r="D8" s="1133"/>
      <c r="E8" s="1133"/>
      <c r="F8" s="1133"/>
      <c r="G8" s="1133"/>
      <c r="H8" s="1133"/>
      <c r="I8" s="1133"/>
      <c r="J8" s="1133"/>
      <c r="K8" s="1133"/>
      <c r="L8" s="1133"/>
      <c r="M8" s="1133"/>
      <c r="N8" s="1133"/>
      <c r="O8" s="1133"/>
      <c r="P8" s="1133"/>
      <c r="Q8" s="1133"/>
      <c r="R8" s="1133"/>
      <c r="S8" s="1133"/>
      <c r="T8" s="1133"/>
      <c r="U8" s="1133"/>
      <c r="V8" s="1133"/>
      <c r="W8" s="1133"/>
      <c r="X8" s="1133"/>
      <c r="Y8" s="1133"/>
      <c r="Z8" s="1133"/>
      <c r="AA8" s="1133"/>
      <c r="AB8" s="1133"/>
      <c r="AC8" s="1133"/>
      <c r="AD8" s="1133"/>
      <c r="AE8" s="1133"/>
      <c r="AF8" s="1133"/>
      <c r="AG8" s="1133"/>
      <c r="AH8" s="1133"/>
      <c r="AI8" s="1133"/>
      <c r="AJ8" s="1133"/>
      <c r="AK8" s="1133"/>
      <c r="AL8" s="1133"/>
      <c r="AM8" s="1133"/>
      <c r="AN8" s="1133"/>
      <c r="AO8" s="1133"/>
    </row>
    <row r="9" spans="1:41" hidden="1">
      <c r="A9" s="1133"/>
      <c r="B9" s="1133"/>
      <c r="C9" s="1133"/>
      <c r="D9" s="1133"/>
      <c r="E9" s="1133"/>
      <c r="F9" s="1133"/>
      <c r="G9" s="1133"/>
      <c r="H9" s="1133"/>
      <c r="I9" s="1133"/>
      <c r="J9" s="1133"/>
      <c r="K9" s="1133"/>
      <c r="L9" s="1133"/>
      <c r="M9" s="1133"/>
      <c r="N9" s="1133"/>
      <c r="O9" s="1133"/>
      <c r="P9" s="1133"/>
      <c r="Q9" s="1133"/>
      <c r="R9" s="1133"/>
      <c r="S9" s="1133"/>
      <c r="T9" s="1133"/>
      <c r="U9" s="1133"/>
      <c r="V9" s="1133"/>
      <c r="W9" s="1133"/>
      <c r="X9" s="1133"/>
      <c r="Y9" s="1133"/>
      <c r="Z9" s="1133"/>
      <c r="AA9" s="1133"/>
      <c r="AB9" s="1133"/>
      <c r="AC9" s="1133"/>
      <c r="AD9" s="1133"/>
      <c r="AE9" s="1133"/>
      <c r="AF9" s="1133"/>
      <c r="AG9" s="1133"/>
      <c r="AH9" s="1133"/>
      <c r="AI9" s="1133"/>
      <c r="AJ9" s="1133"/>
      <c r="AK9" s="1133"/>
      <c r="AL9" s="1133"/>
      <c r="AM9" s="1133"/>
      <c r="AN9" s="1133"/>
      <c r="AO9" s="1133"/>
    </row>
    <row r="10" spans="1:41" hidden="1">
      <c r="A10" s="1133"/>
      <c r="B10" s="1133"/>
      <c r="C10" s="1133"/>
      <c r="D10" s="1133"/>
      <c r="E10" s="1133"/>
      <c r="F10" s="1133"/>
      <c r="G10" s="1133"/>
      <c r="H10" s="1133"/>
      <c r="I10" s="1133"/>
      <c r="J10" s="1133"/>
      <c r="K10" s="1133"/>
      <c r="L10" s="1133"/>
      <c r="M10" s="1133"/>
      <c r="N10" s="1133"/>
      <c r="O10" s="1133"/>
      <c r="P10" s="1133"/>
      <c r="Q10" s="1133"/>
      <c r="R10" s="1133"/>
      <c r="S10" s="1133"/>
      <c r="T10" s="1133"/>
      <c r="U10" s="1133"/>
      <c r="V10" s="1133"/>
      <c r="W10" s="1133"/>
      <c r="X10" s="1133"/>
      <c r="Y10" s="1133"/>
      <c r="Z10" s="1133"/>
      <c r="AA10" s="1133"/>
      <c r="AB10" s="1133"/>
      <c r="AC10" s="1133"/>
      <c r="AD10" s="1133"/>
      <c r="AE10" s="1133"/>
      <c r="AF10" s="1133"/>
      <c r="AG10" s="1133"/>
      <c r="AH10" s="1133"/>
      <c r="AI10" s="1133"/>
      <c r="AJ10" s="1133"/>
      <c r="AK10" s="1133"/>
      <c r="AL10" s="1133"/>
      <c r="AM10" s="1133"/>
      <c r="AN10" s="1133"/>
      <c r="AO10" s="1133"/>
    </row>
    <row r="11" spans="1:41" s="99" customFormat="1" ht="15" hidden="1" customHeight="1">
      <c r="A11" s="1134"/>
      <c r="B11" s="1134"/>
      <c r="C11" s="1134"/>
      <c r="D11" s="1134"/>
      <c r="E11" s="1134"/>
      <c r="F11" s="1134"/>
      <c r="G11" s="1134"/>
      <c r="H11" s="1134"/>
      <c r="I11" s="1134"/>
      <c r="J11" s="1134"/>
      <c r="K11" s="1134"/>
      <c r="L11" s="1134"/>
      <c r="M11" s="1135"/>
      <c r="N11" s="1134"/>
      <c r="O11" s="1134"/>
      <c r="P11" s="1134"/>
      <c r="Q11" s="1134"/>
      <c r="R11" s="1134"/>
      <c r="S11" s="1134"/>
      <c r="T11" s="1134"/>
      <c r="U11" s="1134"/>
      <c r="V11" s="1134"/>
      <c r="W11" s="1134"/>
      <c r="X11" s="1134"/>
      <c r="Y11" s="1134"/>
      <c r="Z11" s="1134"/>
      <c r="AA11" s="1134"/>
      <c r="AB11" s="1134"/>
      <c r="AC11" s="1134"/>
      <c r="AD11" s="1134"/>
      <c r="AE11" s="1134"/>
      <c r="AF11" s="1134"/>
      <c r="AG11" s="1134"/>
      <c r="AH11" s="1134"/>
      <c r="AI11" s="1134"/>
      <c r="AJ11" s="1134"/>
      <c r="AK11" s="1134"/>
      <c r="AL11" s="1134"/>
      <c r="AM11" s="1134"/>
      <c r="AN11" s="1134"/>
      <c r="AO11" s="1134"/>
    </row>
    <row r="12" spans="1:41" s="99" customFormat="1" ht="20.100000000000001" customHeight="1">
      <c r="A12" s="1134"/>
      <c r="B12" s="1134"/>
      <c r="C12" s="1134"/>
      <c r="D12" s="1134"/>
      <c r="E12" s="1134"/>
      <c r="F12" s="1134"/>
      <c r="G12" s="1134"/>
      <c r="H12" s="1134"/>
      <c r="I12" s="1134"/>
      <c r="J12" s="1134"/>
      <c r="K12" s="1134"/>
      <c r="L12" s="436" t="s">
        <v>1335</v>
      </c>
      <c r="M12" s="254"/>
      <c r="N12" s="254"/>
      <c r="O12" s="254"/>
      <c r="P12" s="254"/>
      <c r="Q12" s="254"/>
      <c r="R12" s="254"/>
      <c r="S12" s="254"/>
      <c r="T12" s="254"/>
      <c r="U12" s="254"/>
      <c r="V12" s="254"/>
      <c r="W12" s="254"/>
      <c r="X12" s="254"/>
      <c r="Y12" s="254"/>
      <c r="Z12" s="254"/>
      <c r="AA12" s="254"/>
      <c r="AB12" s="254"/>
      <c r="AC12" s="254"/>
      <c r="AD12" s="254"/>
      <c r="AE12" s="254"/>
      <c r="AF12" s="255"/>
      <c r="AG12" s="255"/>
      <c r="AH12" s="255"/>
      <c r="AI12" s="255"/>
      <c r="AJ12" s="255"/>
      <c r="AK12" s="255"/>
      <c r="AL12" s="255"/>
      <c r="AM12" s="255"/>
      <c r="AN12" s="255"/>
      <c r="AO12" s="255"/>
    </row>
    <row r="13" spans="1:41" s="99" customFormat="1" ht="11.25" hidden="1" customHeight="1">
      <c r="A13" s="1134"/>
      <c r="B13" s="1134"/>
      <c r="C13" s="1134"/>
      <c r="D13" s="1134"/>
      <c r="E13" s="1134"/>
      <c r="F13" s="1134"/>
      <c r="G13" s="1134"/>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4"/>
      <c r="AK13" s="1134"/>
      <c r="AL13" s="1134"/>
      <c r="AM13" s="1134"/>
      <c r="AN13" s="1134"/>
      <c r="AO13" s="1134"/>
    </row>
    <row r="14" spans="1:41" s="99" customFormat="1" ht="22.5" hidden="1" customHeight="1">
      <c r="A14" s="1134"/>
      <c r="B14" s="1134"/>
      <c r="C14" s="1134"/>
      <c r="D14" s="1134"/>
      <c r="E14" s="1134"/>
      <c r="F14" s="1134"/>
      <c r="G14" s="1134"/>
      <c r="H14" s="1134"/>
      <c r="I14" s="1134"/>
      <c r="J14" s="1134"/>
      <c r="K14" s="1134"/>
      <c r="L14" s="1136" t="s">
        <v>1279</v>
      </c>
      <c r="M14" s="1136"/>
      <c r="N14" s="1137" t="s">
        <v>21</v>
      </c>
      <c r="O14" s="1134"/>
      <c r="P14" s="1134"/>
      <c r="Q14" s="1134"/>
      <c r="R14" s="1134"/>
      <c r="S14" s="1134"/>
      <c r="T14" s="1134"/>
      <c r="U14" s="1134"/>
      <c r="V14" s="1134"/>
      <c r="W14" s="1134"/>
      <c r="X14" s="1134"/>
      <c r="Y14" s="1134"/>
      <c r="Z14" s="1134"/>
      <c r="AA14" s="1134"/>
      <c r="AB14" s="1134"/>
      <c r="AC14" s="1134"/>
      <c r="AD14" s="1134"/>
      <c r="AE14" s="1134"/>
      <c r="AF14" s="1134"/>
      <c r="AG14" s="1134"/>
      <c r="AH14" s="1134"/>
      <c r="AI14" s="1134"/>
      <c r="AJ14" s="1134"/>
      <c r="AK14" s="1134"/>
      <c r="AL14" s="1134"/>
      <c r="AM14" s="1134"/>
      <c r="AN14" s="1134"/>
      <c r="AO14" s="1134"/>
    </row>
    <row r="15" spans="1:41" s="99" customFormat="1" ht="11.25" customHeight="1">
      <c r="A15" s="1134"/>
      <c r="B15" s="1134"/>
      <c r="C15" s="1134"/>
      <c r="D15" s="1134"/>
      <c r="E15" s="1134"/>
      <c r="F15" s="1134"/>
      <c r="G15" s="1134"/>
      <c r="H15" s="1134"/>
      <c r="I15" s="1134"/>
      <c r="J15" s="1134"/>
      <c r="K15" s="1134"/>
      <c r="L15" s="1134"/>
      <c r="M15" s="1134"/>
      <c r="N15" s="1134"/>
      <c r="O15" s="1134"/>
      <c r="P15" s="1134"/>
      <c r="Q15" s="1134"/>
      <c r="R15" s="1134"/>
      <c r="S15" s="1134"/>
      <c r="T15" s="1134"/>
      <c r="U15" s="1134"/>
      <c r="V15" s="1134"/>
      <c r="W15" s="1134"/>
      <c r="X15" s="1134"/>
      <c r="Y15" s="1134"/>
      <c r="Z15" s="1134"/>
      <c r="AA15" s="1134"/>
      <c r="AB15" s="1134"/>
      <c r="AC15" s="1134"/>
      <c r="AD15" s="1134"/>
      <c r="AE15" s="1134"/>
      <c r="AF15" s="1134"/>
      <c r="AG15" s="1134"/>
      <c r="AH15" s="1134"/>
      <c r="AI15" s="1134"/>
      <c r="AJ15" s="1134"/>
      <c r="AK15" s="1134"/>
      <c r="AL15" s="1134"/>
      <c r="AM15" s="1134"/>
      <c r="AN15" s="1134"/>
      <c r="AO15" s="1134"/>
    </row>
    <row r="16" spans="1:41" s="99" customFormat="1" ht="15" customHeight="1">
      <c r="A16" s="1134"/>
      <c r="B16" s="1134"/>
      <c r="C16" s="1134"/>
      <c r="D16" s="1134"/>
      <c r="E16" s="1134"/>
      <c r="F16" s="1134"/>
      <c r="G16" s="1134"/>
      <c r="H16" s="1134"/>
      <c r="I16" s="1134"/>
      <c r="J16" s="1134"/>
      <c r="K16" s="1134"/>
      <c r="L16" s="901" t="s">
        <v>16</v>
      </c>
      <c r="M16" s="1138" t="s">
        <v>416</v>
      </c>
      <c r="N16" s="1138" t="s">
        <v>135</v>
      </c>
      <c r="O16" s="1139" t="s">
        <v>3020</v>
      </c>
      <c r="P16" s="1139" t="s">
        <v>3020</v>
      </c>
      <c r="Q16" s="1139" t="s">
        <v>3020</v>
      </c>
      <c r="R16" s="1139" t="s">
        <v>3020</v>
      </c>
      <c r="S16" s="1140" t="s">
        <v>3021</v>
      </c>
      <c r="T16" s="1140" t="s">
        <v>3021</v>
      </c>
      <c r="U16" s="940" t="s">
        <v>3022</v>
      </c>
      <c r="V16" s="940" t="s">
        <v>3060</v>
      </c>
      <c r="W16" s="940" t="s">
        <v>3061</v>
      </c>
      <c r="X16" s="940" t="s">
        <v>3062</v>
      </c>
      <c r="Y16" s="940" t="s">
        <v>3063</v>
      </c>
      <c r="Z16" s="940" t="s">
        <v>3064</v>
      </c>
      <c r="AA16" s="940" t="s">
        <v>3065</v>
      </c>
      <c r="AB16" s="940" t="s">
        <v>3066</v>
      </c>
      <c r="AC16" s="940" t="s">
        <v>3067</v>
      </c>
      <c r="AD16" s="940" t="s">
        <v>3068</v>
      </c>
      <c r="AE16" s="940" t="s">
        <v>3022</v>
      </c>
      <c r="AF16" s="940" t="s">
        <v>3060</v>
      </c>
      <c r="AG16" s="940" t="s">
        <v>3061</v>
      </c>
      <c r="AH16" s="940" t="s">
        <v>3062</v>
      </c>
      <c r="AI16" s="940" t="s">
        <v>3063</v>
      </c>
      <c r="AJ16" s="940" t="s">
        <v>3064</v>
      </c>
      <c r="AK16" s="940" t="s">
        <v>3065</v>
      </c>
      <c r="AL16" s="940" t="s">
        <v>3066</v>
      </c>
      <c r="AM16" s="940" t="s">
        <v>3067</v>
      </c>
      <c r="AN16" s="940" t="s">
        <v>3068</v>
      </c>
      <c r="AO16" s="1141" t="s">
        <v>304</v>
      </c>
    </row>
    <row r="17" spans="1:41" s="100" customFormat="1" ht="126" customHeight="1">
      <c r="A17" s="1142"/>
      <c r="B17" s="1142"/>
      <c r="C17" s="1142"/>
      <c r="D17" s="1142"/>
      <c r="E17" s="1142"/>
      <c r="F17" s="1142"/>
      <c r="G17" s="1142"/>
      <c r="H17" s="1142"/>
      <c r="I17" s="1142"/>
      <c r="J17" s="1142"/>
      <c r="K17" s="1142"/>
      <c r="L17" s="901"/>
      <c r="M17" s="1138"/>
      <c r="N17" s="1138"/>
      <c r="O17" s="1139" t="s">
        <v>1158</v>
      </c>
      <c r="P17" s="1143" t="s">
        <v>267</v>
      </c>
      <c r="Q17" s="1143" t="s">
        <v>417</v>
      </c>
      <c r="R17" s="1143" t="s">
        <v>418</v>
      </c>
      <c r="S17" s="1143" t="s">
        <v>1158</v>
      </c>
      <c r="T17" s="1144" t="s">
        <v>267</v>
      </c>
      <c r="U17" s="943" t="s">
        <v>268</v>
      </c>
      <c r="V17" s="943" t="s">
        <v>268</v>
      </c>
      <c r="W17" s="943" t="s">
        <v>268</v>
      </c>
      <c r="X17" s="943" t="s">
        <v>268</v>
      </c>
      <c r="Y17" s="943" t="s">
        <v>268</v>
      </c>
      <c r="Z17" s="943" t="s">
        <v>268</v>
      </c>
      <c r="AA17" s="943" t="s">
        <v>268</v>
      </c>
      <c r="AB17" s="943" t="s">
        <v>268</v>
      </c>
      <c r="AC17" s="943" t="s">
        <v>268</v>
      </c>
      <c r="AD17" s="943" t="s">
        <v>268</v>
      </c>
      <c r="AE17" s="943" t="s">
        <v>267</v>
      </c>
      <c r="AF17" s="943" t="s">
        <v>267</v>
      </c>
      <c r="AG17" s="943" t="s">
        <v>267</v>
      </c>
      <c r="AH17" s="943" t="s">
        <v>267</v>
      </c>
      <c r="AI17" s="943" t="s">
        <v>267</v>
      </c>
      <c r="AJ17" s="943" t="s">
        <v>267</v>
      </c>
      <c r="AK17" s="943" t="s">
        <v>267</v>
      </c>
      <c r="AL17" s="943" t="s">
        <v>267</v>
      </c>
      <c r="AM17" s="943" t="s">
        <v>267</v>
      </c>
      <c r="AN17" s="943" t="s">
        <v>267</v>
      </c>
      <c r="AO17" s="1141"/>
    </row>
    <row r="18" spans="1:41" s="267" customFormat="1" ht="22.5" hidden="1">
      <c r="A18" s="1145"/>
      <c r="B18" s="1133" t="b">
        <v>0</v>
      </c>
      <c r="C18" s="1133" t="s">
        <v>1480</v>
      </c>
      <c r="D18" s="1146"/>
      <c r="E18" s="1146"/>
      <c r="F18" s="1146"/>
      <c r="G18" s="1146"/>
      <c r="H18" s="1146"/>
      <c r="I18" s="1146"/>
      <c r="J18" s="1146"/>
      <c r="K18" s="1146"/>
      <c r="L18" s="265">
        <v>1</v>
      </c>
      <c r="M18" s="260" t="s">
        <v>419</v>
      </c>
      <c r="N18" s="266" t="s">
        <v>351</v>
      </c>
      <c r="O18" s="1147">
        <v>0</v>
      </c>
      <c r="P18" s="1147">
        <v>0</v>
      </c>
      <c r="Q18" s="1147">
        <v>0</v>
      </c>
      <c r="R18" s="1147">
        <v>0</v>
      </c>
      <c r="S18" s="1147">
        <v>0</v>
      </c>
      <c r="T18" s="1147">
        <v>0</v>
      </c>
      <c r="U18" s="1147">
        <v>0</v>
      </c>
      <c r="V18" s="1147">
        <v>0</v>
      </c>
      <c r="W18" s="1147">
        <v>0</v>
      </c>
      <c r="X18" s="1147">
        <v>0</v>
      </c>
      <c r="Y18" s="1147">
        <v>0</v>
      </c>
      <c r="Z18" s="1147">
        <v>0</v>
      </c>
      <c r="AA18" s="1147">
        <v>0</v>
      </c>
      <c r="AB18" s="1147">
        <v>0</v>
      </c>
      <c r="AC18" s="1147">
        <v>0</v>
      </c>
      <c r="AD18" s="1147">
        <v>0</v>
      </c>
      <c r="AE18" s="1147">
        <v>0</v>
      </c>
      <c r="AF18" s="1147">
        <v>0</v>
      </c>
      <c r="AG18" s="1147">
        <v>0</v>
      </c>
      <c r="AH18" s="1147">
        <v>0</v>
      </c>
      <c r="AI18" s="1147">
        <v>0</v>
      </c>
      <c r="AJ18" s="1147">
        <v>0</v>
      </c>
      <c r="AK18" s="1147">
        <v>0</v>
      </c>
      <c r="AL18" s="1147">
        <v>0</v>
      </c>
      <c r="AM18" s="1147">
        <v>0</v>
      </c>
      <c r="AN18" s="1147">
        <v>0</v>
      </c>
      <c r="AO18" s="951"/>
    </row>
    <row r="19" spans="1:41" hidden="1">
      <c r="A19" s="1145"/>
      <c r="B19" s="1133" t="b">
        <v>0</v>
      </c>
      <c r="C19" s="1133" t="s">
        <v>1491</v>
      </c>
      <c r="D19" s="1133"/>
      <c r="E19" s="1133"/>
      <c r="F19" s="1133"/>
      <c r="G19" s="1133"/>
      <c r="H19" s="1133"/>
      <c r="I19" s="1133"/>
      <c r="J19" s="1133"/>
      <c r="K19" s="1133"/>
      <c r="L19" s="262" t="s">
        <v>149</v>
      </c>
      <c r="M19" s="263" t="s">
        <v>420</v>
      </c>
      <c r="N19" s="259" t="s">
        <v>351</v>
      </c>
      <c r="O19" s="1148">
        <v>0</v>
      </c>
      <c r="P19" s="1148">
        <v>0</v>
      </c>
      <c r="Q19" s="1148">
        <v>0</v>
      </c>
      <c r="R19" s="1148">
        <v>0</v>
      </c>
      <c r="S19" s="1148">
        <v>0</v>
      </c>
      <c r="T19" s="1148">
        <v>0</v>
      </c>
      <c r="U19" s="1148">
        <v>0</v>
      </c>
      <c r="V19" s="1148">
        <v>0</v>
      </c>
      <c r="W19" s="1148">
        <v>0</v>
      </c>
      <c r="X19" s="1148">
        <v>0</v>
      </c>
      <c r="Y19" s="1148">
        <v>0</v>
      </c>
      <c r="Z19" s="1148">
        <v>0</v>
      </c>
      <c r="AA19" s="1148">
        <v>0</v>
      </c>
      <c r="AB19" s="1148">
        <v>0</v>
      </c>
      <c r="AC19" s="1148">
        <v>0</v>
      </c>
      <c r="AD19" s="1148">
        <v>0</v>
      </c>
      <c r="AE19" s="1148">
        <v>0</v>
      </c>
      <c r="AF19" s="1148">
        <v>0</v>
      </c>
      <c r="AG19" s="1148">
        <v>0</v>
      </c>
      <c r="AH19" s="1148">
        <v>0</v>
      </c>
      <c r="AI19" s="1148">
        <v>0</v>
      </c>
      <c r="AJ19" s="1148">
        <v>0</v>
      </c>
      <c r="AK19" s="1148">
        <v>0</v>
      </c>
      <c r="AL19" s="1148">
        <v>0</v>
      </c>
      <c r="AM19" s="1148">
        <v>0</v>
      </c>
      <c r="AN19" s="1148">
        <v>0</v>
      </c>
      <c r="AO19" s="951"/>
    </row>
    <row r="20" spans="1:41" hidden="1">
      <c r="A20" s="1145"/>
      <c r="B20" s="1133" t="b">
        <v>0</v>
      </c>
      <c r="C20" s="1133" t="s">
        <v>1567</v>
      </c>
      <c r="D20" s="1133"/>
      <c r="E20" s="1133"/>
      <c r="F20" s="1133"/>
      <c r="G20" s="1133"/>
      <c r="H20" s="1133"/>
      <c r="I20" s="1133"/>
      <c r="J20" s="1133"/>
      <c r="K20" s="1133"/>
      <c r="L20" s="262" t="s">
        <v>393</v>
      </c>
      <c r="M20" s="264" t="s">
        <v>421</v>
      </c>
      <c r="N20" s="259" t="s">
        <v>351</v>
      </c>
      <c r="O20" s="1149"/>
      <c r="P20" s="1149"/>
      <c r="Q20" s="1149"/>
      <c r="R20" s="1149"/>
      <c r="S20" s="1149"/>
      <c r="T20" s="1149"/>
      <c r="U20" s="1149"/>
      <c r="V20" s="1149"/>
      <c r="W20" s="1149"/>
      <c r="X20" s="1149"/>
      <c r="Y20" s="1149"/>
      <c r="Z20" s="1149"/>
      <c r="AA20" s="1149"/>
      <c r="AB20" s="1149"/>
      <c r="AC20" s="1149"/>
      <c r="AD20" s="1149"/>
      <c r="AE20" s="1149"/>
      <c r="AF20" s="1149"/>
      <c r="AG20" s="1149"/>
      <c r="AH20" s="1149"/>
      <c r="AI20" s="1149"/>
      <c r="AJ20" s="1149"/>
      <c r="AK20" s="1149"/>
      <c r="AL20" s="1149"/>
      <c r="AM20" s="1149"/>
      <c r="AN20" s="1149"/>
      <c r="AO20" s="951"/>
    </row>
    <row r="21" spans="1:41" hidden="1">
      <c r="A21" s="1145"/>
      <c r="B21" s="1133" t="b">
        <v>0</v>
      </c>
      <c r="C21" s="1133" t="s">
        <v>1568</v>
      </c>
      <c r="D21" s="1133"/>
      <c r="E21" s="1133"/>
      <c r="F21" s="1133"/>
      <c r="G21" s="1133"/>
      <c r="H21" s="1133"/>
      <c r="I21" s="1133"/>
      <c r="J21" s="1133"/>
      <c r="K21" s="1133"/>
      <c r="L21" s="262" t="s">
        <v>395</v>
      </c>
      <c r="M21" s="264" t="s">
        <v>1093</v>
      </c>
      <c r="N21" s="259" t="s">
        <v>351</v>
      </c>
      <c r="O21" s="1149"/>
      <c r="P21" s="1149"/>
      <c r="Q21" s="1149"/>
      <c r="R21" s="1149"/>
      <c r="S21" s="1149"/>
      <c r="T21" s="1149"/>
      <c r="U21" s="1149"/>
      <c r="V21" s="1149"/>
      <c r="W21" s="1149"/>
      <c r="X21" s="1149"/>
      <c r="Y21" s="1149"/>
      <c r="Z21" s="1149"/>
      <c r="AA21" s="1149"/>
      <c r="AB21" s="1149"/>
      <c r="AC21" s="1149"/>
      <c r="AD21" s="1149"/>
      <c r="AE21" s="1149"/>
      <c r="AF21" s="1149"/>
      <c r="AG21" s="1149"/>
      <c r="AH21" s="1149"/>
      <c r="AI21" s="1149"/>
      <c r="AJ21" s="1149"/>
      <c r="AK21" s="1149"/>
      <c r="AL21" s="1149"/>
      <c r="AM21" s="1149"/>
      <c r="AN21" s="1149"/>
      <c r="AO21" s="951"/>
    </row>
    <row r="22" spans="1:41" hidden="1">
      <c r="A22" s="1145"/>
      <c r="B22" s="1133" t="b">
        <v>0</v>
      </c>
      <c r="C22" s="1133" t="s">
        <v>1571</v>
      </c>
      <c r="D22" s="1133"/>
      <c r="E22" s="1133"/>
      <c r="F22" s="1133"/>
      <c r="G22" s="1133"/>
      <c r="H22" s="1133"/>
      <c r="I22" s="1133"/>
      <c r="J22" s="1133"/>
      <c r="K22" s="1133"/>
      <c r="L22" s="262" t="s">
        <v>1055</v>
      </c>
      <c r="M22" s="264" t="s">
        <v>422</v>
      </c>
      <c r="N22" s="259" t="s">
        <v>351</v>
      </c>
      <c r="O22" s="1149"/>
      <c r="P22" s="1149"/>
      <c r="Q22" s="1149"/>
      <c r="R22" s="1149"/>
      <c r="S22" s="1149"/>
      <c r="T22" s="1149"/>
      <c r="U22" s="1149"/>
      <c r="V22" s="1149"/>
      <c r="W22" s="1149"/>
      <c r="X22" s="1149"/>
      <c r="Y22" s="1149"/>
      <c r="Z22" s="1149"/>
      <c r="AA22" s="1149"/>
      <c r="AB22" s="1149"/>
      <c r="AC22" s="1149"/>
      <c r="AD22" s="1149"/>
      <c r="AE22" s="1149"/>
      <c r="AF22" s="1149"/>
      <c r="AG22" s="1149"/>
      <c r="AH22" s="1149"/>
      <c r="AI22" s="1149"/>
      <c r="AJ22" s="1149"/>
      <c r="AK22" s="1149"/>
      <c r="AL22" s="1149"/>
      <c r="AM22" s="1149"/>
      <c r="AN22" s="1149"/>
      <c r="AO22" s="951"/>
    </row>
    <row r="23" spans="1:41" hidden="1">
      <c r="A23" s="1145"/>
      <c r="B23" s="1133" t="b">
        <v>0</v>
      </c>
      <c r="C23" s="1133" t="s">
        <v>1572</v>
      </c>
      <c r="D23" s="1133"/>
      <c r="E23" s="1133"/>
      <c r="F23" s="1133"/>
      <c r="G23" s="1133"/>
      <c r="H23" s="1133"/>
      <c r="I23" s="1133"/>
      <c r="J23" s="1133"/>
      <c r="K23" s="1133"/>
      <c r="L23" s="262" t="s">
        <v>1056</v>
      </c>
      <c r="M23" s="264" t="s">
        <v>423</v>
      </c>
      <c r="N23" s="259" t="s">
        <v>351</v>
      </c>
      <c r="O23" s="1149"/>
      <c r="P23" s="1149"/>
      <c r="Q23" s="1149"/>
      <c r="R23" s="1149"/>
      <c r="S23" s="1149"/>
      <c r="T23" s="1149"/>
      <c r="U23" s="1149"/>
      <c r="V23" s="1149"/>
      <c r="W23" s="1149"/>
      <c r="X23" s="1149"/>
      <c r="Y23" s="1149"/>
      <c r="Z23" s="1149"/>
      <c r="AA23" s="1149"/>
      <c r="AB23" s="1149"/>
      <c r="AC23" s="1149"/>
      <c r="AD23" s="1149"/>
      <c r="AE23" s="1149"/>
      <c r="AF23" s="1149"/>
      <c r="AG23" s="1149"/>
      <c r="AH23" s="1149"/>
      <c r="AI23" s="1149"/>
      <c r="AJ23" s="1149"/>
      <c r="AK23" s="1149"/>
      <c r="AL23" s="1149"/>
      <c r="AM23" s="1149"/>
      <c r="AN23" s="1149"/>
      <c r="AO23" s="951"/>
    </row>
    <row r="24" spans="1:41" hidden="1">
      <c r="A24" s="1145"/>
      <c r="B24" s="1133" t="b">
        <v>0</v>
      </c>
      <c r="C24" s="1133" t="s">
        <v>1489</v>
      </c>
      <c r="D24" s="1133"/>
      <c r="E24" s="1133"/>
      <c r="F24" s="1133"/>
      <c r="G24" s="1133"/>
      <c r="H24" s="1133"/>
      <c r="I24" s="1133"/>
      <c r="J24" s="1133"/>
      <c r="K24" s="1133"/>
      <c r="L24" s="262" t="s">
        <v>150</v>
      </c>
      <c r="M24" s="263" t="s">
        <v>424</v>
      </c>
      <c r="N24" s="259" t="s">
        <v>351</v>
      </c>
      <c r="O24" s="1148">
        <v>0</v>
      </c>
      <c r="P24" s="1148">
        <v>0</v>
      </c>
      <c r="Q24" s="1148">
        <v>0</v>
      </c>
      <c r="R24" s="1148">
        <v>0</v>
      </c>
      <c r="S24" s="1148">
        <v>0</v>
      </c>
      <c r="T24" s="1148">
        <v>0</v>
      </c>
      <c r="U24" s="1148">
        <v>0</v>
      </c>
      <c r="V24" s="1148">
        <v>0</v>
      </c>
      <c r="W24" s="1148">
        <v>0</v>
      </c>
      <c r="X24" s="1148">
        <v>0</v>
      </c>
      <c r="Y24" s="1148">
        <v>0</v>
      </c>
      <c r="Z24" s="1148">
        <v>0</v>
      </c>
      <c r="AA24" s="1148">
        <v>0</v>
      </c>
      <c r="AB24" s="1148">
        <v>0</v>
      </c>
      <c r="AC24" s="1148">
        <v>0</v>
      </c>
      <c r="AD24" s="1148">
        <v>0</v>
      </c>
      <c r="AE24" s="1148">
        <v>0</v>
      </c>
      <c r="AF24" s="1148">
        <v>0</v>
      </c>
      <c r="AG24" s="1148">
        <v>0</v>
      </c>
      <c r="AH24" s="1148">
        <v>0</v>
      </c>
      <c r="AI24" s="1148">
        <v>0</v>
      </c>
      <c r="AJ24" s="1148">
        <v>0</v>
      </c>
      <c r="AK24" s="1148">
        <v>0</v>
      </c>
      <c r="AL24" s="1148">
        <v>0</v>
      </c>
      <c r="AM24" s="1148">
        <v>0</v>
      </c>
      <c r="AN24" s="1148">
        <v>0</v>
      </c>
      <c r="AO24" s="951"/>
    </row>
    <row r="25" spans="1:41" hidden="1">
      <c r="A25" s="1145"/>
      <c r="B25" s="1133" t="b">
        <v>0</v>
      </c>
      <c r="C25" s="1133" t="s">
        <v>1573</v>
      </c>
      <c r="D25" s="1133"/>
      <c r="E25" s="1133"/>
      <c r="F25" s="1133"/>
      <c r="G25" s="1133"/>
      <c r="H25" s="1133"/>
      <c r="I25" s="1133"/>
      <c r="J25" s="1133"/>
      <c r="K25" s="1133"/>
      <c r="L25" s="262" t="s">
        <v>514</v>
      </c>
      <c r="M25" s="264" t="s">
        <v>425</v>
      </c>
      <c r="N25" s="259" t="s">
        <v>351</v>
      </c>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951"/>
    </row>
    <row r="26" spans="1:41" hidden="1">
      <c r="A26" s="1145"/>
      <c r="B26" s="1133" t="b">
        <v>0</v>
      </c>
      <c r="C26" s="1133" t="s">
        <v>1574</v>
      </c>
      <c r="D26" s="1133"/>
      <c r="E26" s="1133"/>
      <c r="F26" s="1133"/>
      <c r="G26" s="1133"/>
      <c r="H26" s="1133"/>
      <c r="I26" s="1133"/>
      <c r="J26" s="1133"/>
      <c r="K26" s="1133"/>
      <c r="L26" s="262" t="s">
        <v>520</v>
      </c>
      <c r="M26" s="264" t="s">
        <v>426</v>
      </c>
      <c r="N26" s="259" t="s">
        <v>351</v>
      </c>
      <c r="O26" s="1149"/>
      <c r="P26" s="1149"/>
      <c r="Q26" s="1149"/>
      <c r="R26" s="1149"/>
      <c r="S26" s="1149"/>
      <c r="T26" s="1149"/>
      <c r="U26" s="1149"/>
      <c r="V26" s="1149"/>
      <c r="W26" s="1149"/>
      <c r="X26" s="1149"/>
      <c r="Y26" s="1149"/>
      <c r="Z26" s="1149"/>
      <c r="AA26" s="1149"/>
      <c r="AB26" s="1149"/>
      <c r="AC26" s="1149"/>
      <c r="AD26" s="1149"/>
      <c r="AE26" s="1149"/>
      <c r="AF26" s="1149"/>
      <c r="AG26" s="1149"/>
      <c r="AH26" s="1149"/>
      <c r="AI26" s="1149"/>
      <c r="AJ26" s="1149"/>
      <c r="AK26" s="1149"/>
      <c r="AL26" s="1149"/>
      <c r="AM26" s="1149"/>
      <c r="AN26" s="1149"/>
      <c r="AO26" s="951"/>
    </row>
    <row r="27" spans="1:41" hidden="1">
      <c r="A27" s="1145"/>
      <c r="B27" s="1133" t="b">
        <v>0</v>
      </c>
      <c r="C27" s="1133" t="s">
        <v>1575</v>
      </c>
      <c r="D27" s="1133"/>
      <c r="E27" s="1133"/>
      <c r="F27" s="1133"/>
      <c r="G27" s="1133"/>
      <c r="H27" s="1133"/>
      <c r="I27" s="1133"/>
      <c r="J27" s="1133"/>
      <c r="K27" s="1133"/>
      <c r="L27" s="262" t="s">
        <v>522</v>
      </c>
      <c r="M27" s="264" t="s">
        <v>427</v>
      </c>
      <c r="N27" s="259" t="s">
        <v>351</v>
      </c>
      <c r="O27" s="1149"/>
      <c r="P27" s="1149"/>
      <c r="Q27" s="1149"/>
      <c r="R27" s="1149"/>
      <c r="S27" s="1149"/>
      <c r="T27" s="1149"/>
      <c r="U27" s="1149"/>
      <c r="V27" s="1149"/>
      <c r="W27" s="1149"/>
      <c r="X27" s="1149"/>
      <c r="Y27" s="1149"/>
      <c r="Z27" s="1149"/>
      <c r="AA27" s="1149"/>
      <c r="AB27" s="1149"/>
      <c r="AC27" s="1149"/>
      <c r="AD27" s="1149"/>
      <c r="AE27" s="1149"/>
      <c r="AF27" s="1149"/>
      <c r="AG27" s="1149"/>
      <c r="AH27" s="1149"/>
      <c r="AI27" s="1149"/>
      <c r="AJ27" s="1149"/>
      <c r="AK27" s="1149"/>
      <c r="AL27" s="1149"/>
      <c r="AM27" s="1149"/>
      <c r="AN27" s="1149"/>
      <c r="AO27" s="951"/>
    </row>
    <row r="28" spans="1:41" hidden="1">
      <c r="A28" s="1145"/>
      <c r="B28" s="1133" t="b">
        <v>0</v>
      </c>
      <c r="C28" s="1133" t="s">
        <v>1490</v>
      </c>
      <c r="D28" s="1133"/>
      <c r="E28" s="1133"/>
      <c r="F28" s="1133"/>
      <c r="G28" s="1133"/>
      <c r="H28" s="1133"/>
      <c r="I28" s="1133"/>
      <c r="J28" s="1133"/>
      <c r="K28" s="1133"/>
      <c r="L28" s="262" t="s">
        <v>359</v>
      </c>
      <c r="M28" s="263" t="s">
        <v>428</v>
      </c>
      <c r="N28" s="259" t="s">
        <v>351</v>
      </c>
      <c r="O28" s="1148">
        <v>0</v>
      </c>
      <c r="P28" s="1148">
        <v>0</v>
      </c>
      <c r="Q28" s="1148">
        <v>0</v>
      </c>
      <c r="R28" s="1148">
        <v>0</v>
      </c>
      <c r="S28" s="1148">
        <v>0</v>
      </c>
      <c r="T28" s="1148">
        <v>0</v>
      </c>
      <c r="U28" s="1148">
        <v>0</v>
      </c>
      <c r="V28" s="1148">
        <v>0</v>
      </c>
      <c r="W28" s="1148">
        <v>0</v>
      </c>
      <c r="X28" s="1148">
        <v>0</v>
      </c>
      <c r="Y28" s="1148">
        <v>0</v>
      </c>
      <c r="Z28" s="1148">
        <v>0</v>
      </c>
      <c r="AA28" s="1148">
        <v>0</v>
      </c>
      <c r="AB28" s="1148">
        <v>0</v>
      </c>
      <c r="AC28" s="1148">
        <v>0</v>
      </c>
      <c r="AD28" s="1148">
        <v>0</v>
      </c>
      <c r="AE28" s="1148">
        <v>0</v>
      </c>
      <c r="AF28" s="1148">
        <v>0</v>
      </c>
      <c r="AG28" s="1148">
        <v>0</v>
      </c>
      <c r="AH28" s="1148">
        <v>0</v>
      </c>
      <c r="AI28" s="1148">
        <v>0</v>
      </c>
      <c r="AJ28" s="1148">
        <v>0</v>
      </c>
      <c r="AK28" s="1148">
        <v>0</v>
      </c>
      <c r="AL28" s="1148">
        <v>0</v>
      </c>
      <c r="AM28" s="1148">
        <v>0</v>
      </c>
      <c r="AN28" s="1148">
        <v>0</v>
      </c>
      <c r="AO28" s="951"/>
    </row>
    <row r="29" spans="1:41" hidden="1">
      <c r="A29" s="1145"/>
      <c r="B29" s="1133" t="b">
        <v>0</v>
      </c>
      <c r="C29" s="1133" t="s">
        <v>1576</v>
      </c>
      <c r="D29" s="1133"/>
      <c r="E29" s="1133"/>
      <c r="F29" s="1133"/>
      <c r="G29" s="1133"/>
      <c r="H29" s="1133"/>
      <c r="I29" s="1133"/>
      <c r="J29" s="1133"/>
      <c r="K29" s="1133"/>
      <c r="L29" s="262" t="s">
        <v>543</v>
      </c>
      <c r="M29" s="264" t="s">
        <v>429</v>
      </c>
      <c r="N29" s="259" t="s">
        <v>351</v>
      </c>
      <c r="O29" s="1149"/>
      <c r="P29" s="1149"/>
      <c r="Q29" s="1149"/>
      <c r="R29" s="1149"/>
      <c r="S29" s="1149"/>
      <c r="T29" s="1149"/>
      <c r="U29" s="1149"/>
      <c r="V29" s="1149"/>
      <c r="W29" s="1149"/>
      <c r="X29" s="1149"/>
      <c r="Y29" s="1149"/>
      <c r="Z29" s="1149"/>
      <c r="AA29" s="1149"/>
      <c r="AB29" s="1149"/>
      <c r="AC29" s="1149"/>
      <c r="AD29" s="1149"/>
      <c r="AE29" s="1149"/>
      <c r="AF29" s="1149"/>
      <c r="AG29" s="1149"/>
      <c r="AH29" s="1149"/>
      <c r="AI29" s="1149"/>
      <c r="AJ29" s="1149"/>
      <c r="AK29" s="1149"/>
      <c r="AL29" s="1149"/>
      <c r="AM29" s="1149"/>
      <c r="AN29" s="1149"/>
      <c r="AO29" s="951"/>
    </row>
    <row r="30" spans="1:41" hidden="1">
      <c r="A30" s="1145"/>
      <c r="B30" s="1133" t="b">
        <v>0</v>
      </c>
      <c r="C30" s="1133" t="s">
        <v>1577</v>
      </c>
      <c r="D30" s="1133"/>
      <c r="E30" s="1133"/>
      <c r="F30" s="1133"/>
      <c r="G30" s="1133"/>
      <c r="H30" s="1133"/>
      <c r="I30" s="1133"/>
      <c r="J30" s="1133"/>
      <c r="K30" s="1133"/>
      <c r="L30" s="262" t="s">
        <v>545</v>
      </c>
      <c r="M30" s="264" t="s">
        <v>430</v>
      </c>
      <c r="N30" s="259" t="s">
        <v>351</v>
      </c>
      <c r="O30" s="1149"/>
      <c r="P30" s="1149"/>
      <c r="Q30" s="1149"/>
      <c r="R30" s="1149"/>
      <c r="S30" s="1149"/>
      <c r="T30" s="1149"/>
      <c r="U30" s="1149"/>
      <c r="V30" s="1149"/>
      <c r="W30" s="1149"/>
      <c r="X30" s="1149"/>
      <c r="Y30" s="1149"/>
      <c r="Z30" s="1149"/>
      <c r="AA30" s="1149"/>
      <c r="AB30" s="1149"/>
      <c r="AC30" s="1149"/>
      <c r="AD30" s="1149"/>
      <c r="AE30" s="1149"/>
      <c r="AF30" s="1149"/>
      <c r="AG30" s="1149"/>
      <c r="AH30" s="1149"/>
      <c r="AI30" s="1149"/>
      <c r="AJ30" s="1149"/>
      <c r="AK30" s="1149"/>
      <c r="AL30" s="1149"/>
      <c r="AM30" s="1149"/>
      <c r="AN30" s="1149"/>
      <c r="AO30" s="951"/>
    </row>
    <row r="31" spans="1:41" hidden="1">
      <c r="A31" s="1145"/>
      <c r="B31" s="1133" t="b">
        <v>0</v>
      </c>
      <c r="C31" s="1133" t="s">
        <v>1578</v>
      </c>
      <c r="D31" s="1133"/>
      <c r="E31" s="1133"/>
      <c r="F31" s="1133"/>
      <c r="G31" s="1133"/>
      <c r="H31" s="1133"/>
      <c r="I31" s="1133"/>
      <c r="J31" s="1133"/>
      <c r="K31" s="1133"/>
      <c r="L31" s="262" t="s">
        <v>547</v>
      </c>
      <c r="M31" s="264" t="s">
        <v>431</v>
      </c>
      <c r="N31" s="259" t="s">
        <v>351</v>
      </c>
      <c r="O31" s="1149"/>
      <c r="P31" s="1149"/>
      <c r="Q31" s="1149"/>
      <c r="R31" s="1149"/>
      <c r="S31" s="1149"/>
      <c r="T31" s="1149"/>
      <c r="U31" s="1149"/>
      <c r="V31" s="1149"/>
      <c r="W31" s="1149"/>
      <c r="X31" s="1149"/>
      <c r="Y31" s="1149"/>
      <c r="Z31" s="1149"/>
      <c r="AA31" s="1149"/>
      <c r="AB31" s="1149"/>
      <c r="AC31" s="1149"/>
      <c r="AD31" s="1149"/>
      <c r="AE31" s="1149"/>
      <c r="AF31" s="1149"/>
      <c r="AG31" s="1149"/>
      <c r="AH31" s="1149"/>
      <c r="AI31" s="1149"/>
      <c r="AJ31" s="1149"/>
      <c r="AK31" s="1149"/>
      <c r="AL31" s="1149"/>
      <c r="AM31" s="1149"/>
      <c r="AN31" s="1149"/>
      <c r="AO31" s="951"/>
    </row>
    <row r="32" spans="1:41" hidden="1">
      <c r="A32" s="1145"/>
      <c r="B32" s="1133" t="b">
        <v>0</v>
      </c>
      <c r="C32" s="1133" t="s">
        <v>1488</v>
      </c>
      <c r="D32" s="1133"/>
      <c r="E32" s="1133"/>
      <c r="F32" s="1133"/>
      <c r="G32" s="1133"/>
      <c r="H32" s="1133"/>
      <c r="I32" s="1133"/>
      <c r="J32" s="1133"/>
      <c r="K32" s="1133"/>
      <c r="L32" s="262" t="s">
        <v>361</v>
      </c>
      <c r="M32" s="263" t="s">
        <v>432</v>
      </c>
      <c r="N32" s="259" t="s">
        <v>351</v>
      </c>
      <c r="O32" s="1148">
        <v>0</v>
      </c>
      <c r="P32" s="1148">
        <v>0</v>
      </c>
      <c r="Q32" s="1148">
        <v>0</v>
      </c>
      <c r="R32" s="1148">
        <v>0</v>
      </c>
      <c r="S32" s="1148">
        <v>0</v>
      </c>
      <c r="T32" s="1148">
        <v>0</v>
      </c>
      <c r="U32" s="1148">
        <v>0</v>
      </c>
      <c r="V32" s="1148">
        <v>0</v>
      </c>
      <c r="W32" s="1148">
        <v>0</v>
      </c>
      <c r="X32" s="1148">
        <v>0</v>
      </c>
      <c r="Y32" s="1148">
        <v>0</v>
      </c>
      <c r="Z32" s="1148">
        <v>0</v>
      </c>
      <c r="AA32" s="1148">
        <v>0</v>
      </c>
      <c r="AB32" s="1148">
        <v>0</v>
      </c>
      <c r="AC32" s="1148">
        <v>0</v>
      </c>
      <c r="AD32" s="1148">
        <v>0</v>
      </c>
      <c r="AE32" s="1148">
        <v>0</v>
      </c>
      <c r="AF32" s="1148">
        <v>0</v>
      </c>
      <c r="AG32" s="1148">
        <v>0</v>
      </c>
      <c r="AH32" s="1148">
        <v>0</v>
      </c>
      <c r="AI32" s="1148">
        <v>0</v>
      </c>
      <c r="AJ32" s="1148">
        <v>0</v>
      </c>
      <c r="AK32" s="1148">
        <v>0</v>
      </c>
      <c r="AL32" s="1148">
        <v>0</v>
      </c>
      <c r="AM32" s="1148">
        <v>0</v>
      </c>
      <c r="AN32" s="1148">
        <v>0</v>
      </c>
      <c r="AO32" s="951"/>
    </row>
    <row r="33" spans="1:41" hidden="1">
      <c r="A33" s="1145"/>
      <c r="B33" s="1133" t="b">
        <v>0</v>
      </c>
      <c r="C33" s="1133" t="s">
        <v>1579</v>
      </c>
      <c r="D33" s="1133"/>
      <c r="E33" s="1133"/>
      <c r="F33" s="1133"/>
      <c r="G33" s="1133"/>
      <c r="H33" s="1133"/>
      <c r="I33" s="1133"/>
      <c r="J33" s="1133"/>
      <c r="K33" s="1133"/>
      <c r="L33" s="262" t="s">
        <v>550</v>
      </c>
      <c r="M33" s="264" t="s">
        <v>433</v>
      </c>
      <c r="N33" s="259" t="s">
        <v>351</v>
      </c>
      <c r="O33" s="1149"/>
      <c r="P33" s="1149"/>
      <c r="Q33" s="1149"/>
      <c r="R33" s="1149"/>
      <c r="S33" s="1149"/>
      <c r="T33" s="1149"/>
      <c r="U33" s="1149"/>
      <c r="V33" s="1149"/>
      <c r="W33" s="1149"/>
      <c r="X33" s="1149"/>
      <c r="Y33" s="1149"/>
      <c r="Z33" s="1149"/>
      <c r="AA33" s="1149"/>
      <c r="AB33" s="1149"/>
      <c r="AC33" s="1149"/>
      <c r="AD33" s="1149"/>
      <c r="AE33" s="1149"/>
      <c r="AF33" s="1149"/>
      <c r="AG33" s="1149"/>
      <c r="AH33" s="1149"/>
      <c r="AI33" s="1149"/>
      <c r="AJ33" s="1149"/>
      <c r="AK33" s="1149"/>
      <c r="AL33" s="1149"/>
      <c r="AM33" s="1149"/>
      <c r="AN33" s="1149"/>
      <c r="AO33" s="951"/>
    </row>
    <row r="34" spans="1:41" ht="22.5" hidden="1">
      <c r="A34" s="1145"/>
      <c r="B34" s="1133" t="b">
        <v>0</v>
      </c>
      <c r="C34" s="1133" t="s">
        <v>1580</v>
      </c>
      <c r="D34" s="1133"/>
      <c r="E34" s="1133"/>
      <c r="F34" s="1133"/>
      <c r="G34" s="1133"/>
      <c r="H34" s="1133"/>
      <c r="I34" s="1133"/>
      <c r="J34" s="1133"/>
      <c r="K34" s="1133"/>
      <c r="L34" s="262" t="s">
        <v>564</v>
      </c>
      <c r="M34" s="264" t="s">
        <v>1143</v>
      </c>
      <c r="N34" s="259" t="s">
        <v>351</v>
      </c>
      <c r="O34" s="1149"/>
      <c r="P34" s="1149"/>
      <c r="Q34" s="1149"/>
      <c r="R34" s="1149"/>
      <c r="S34" s="1149"/>
      <c r="T34" s="1149"/>
      <c r="U34" s="1149"/>
      <c r="V34" s="1149"/>
      <c r="W34" s="1149"/>
      <c r="X34" s="1149"/>
      <c r="Y34" s="1149"/>
      <c r="Z34" s="1149"/>
      <c r="AA34" s="1149"/>
      <c r="AB34" s="1149"/>
      <c r="AC34" s="1149"/>
      <c r="AD34" s="1149"/>
      <c r="AE34" s="1149"/>
      <c r="AF34" s="1149"/>
      <c r="AG34" s="1149"/>
      <c r="AH34" s="1149"/>
      <c r="AI34" s="1149"/>
      <c r="AJ34" s="1149"/>
      <c r="AK34" s="1149"/>
      <c r="AL34" s="1149"/>
      <c r="AM34" s="1149"/>
      <c r="AN34" s="1149"/>
      <c r="AO34" s="951"/>
    </row>
    <row r="35" spans="1:41" ht="22.5" hidden="1">
      <c r="A35" s="1145"/>
      <c r="B35" s="1133" t="b">
        <v>0</v>
      </c>
      <c r="C35" s="1133" t="s">
        <v>1581</v>
      </c>
      <c r="D35" s="1133"/>
      <c r="E35" s="1133"/>
      <c r="F35" s="1133"/>
      <c r="G35" s="1133"/>
      <c r="H35" s="1133"/>
      <c r="I35" s="1133"/>
      <c r="J35" s="1133"/>
      <c r="K35" s="1133"/>
      <c r="L35" s="262" t="s">
        <v>568</v>
      </c>
      <c r="M35" s="264" t="s">
        <v>434</v>
      </c>
      <c r="N35" s="259" t="s">
        <v>351</v>
      </c>
      <c r="O35" s="1149"/>
      <c r="P35" s="1149"/>
      <c r="Q35" s="1149"/>
      <c r="R35" s="1149"/>
      <c r="S35" s="1149"/>
      <c r="T35" s="1149"/>
      <c r="U35" s="1149"/>
      <c r="V35" s="1149"/>
      <c r="W35" s="1149"/>
      <c r="X35" s="1149"/>
      <c r="Y35" s="1149"/>
      <c r="Z35" s="1149"/>
      <c r="AA35" s="1149"/>
      <c r="AB35" s="1149"/>
      <c r="AC35" s="1149"/>
      <c r="AD35" s="1149"/>
      <c r="AE35" s="1149"/>
      <c r="AF35" s="1149"/>
      <c r="AG35" s="1149"/>
      <c r="AH35" s="1149"/>
      <c r="AI35" s="1149"/>
      <c r="AJ35" s="1149"/>
      <c r="AK35" s="1149"/>
      <c r="AL35" s="1149"/>
      <c r="AM35" s="1149"/>
      <c r="AN35" s="1149"/>
      <c r="AO35" s="951"/>
    </row>
    <row r="36" spans="1:41" hidden="1">
      <c r="A36" s="1145"/>
      <c r="B36" s="1133" t="b">
        <v>0</v>
      </c>
      <c r="C36" s="1133" t="s">
        <v>1582</v>
      </c>
      <c r="D36" s="1133"/>
      <c r="E36" s="1133"/>
      <c r="F36" s="1133"/>
      <c r="G36" s="1133"/>
      <c r="H36" s="1133"/>
      <c r="I36" s="1133"/>
      <c r="J36" s="1133"/>
      <c r="K36" s="1133"/>
      <c r="L36" s="262" t="s">
        <v>570</v>
      </c>
      <c r="M36" s="264" t="s">
        <v>435</v>
      </c>
      <c r="N36" s="259" t="s">
        <v>351</v>
      </c>
      <c r="O36" s="1149"/>
      <c r="P36" s="1149"/>
      <c r="Q36" s="1149"/>
      <c r="R36" s="1149"/>
      <c r="S36" s="1149"/>
      <c r="T36" s="1149"/>
      <c r="U36" s="1149"/>
      <c r="V36" s="1149"/>
      <c r="W36" s="1149"/>
      <c r="X36" s="1149"/>
      <c r="Y36" s="1149"/>
      <c r="Z36" s="1149"/>
      <c r="AA36" s="1149"/>
      <c r="AB36" s="1149"/>
      <c r="AC36" s="1149"/>
      <c r="AD36" s="1149"/>
      <c r="AE36" s="1149"/>
      <c r="AF36" s="1149"/>
      <c r="AG36" s="1149"/>
      <c r="AH36" s="1149"/>
      <c r="AI36" s="1149"/>
      <c r="AJ36" s="1149"/>
      <c r="AK36" s="1149"/>
      <c r="AL36" s="1149"/>
      <c r="AM36" s="1149"/>
      <c r="AN36" s="1149"/>
      <c r="AO36" s="951"/>
    </row>
    <row r="37" spans="1:41" s="267" customFormat="1" ht="22.5" hidden="1">
      <c r="A37" s="1145"/>
      <c r="B37" s="1133" t="b">
        <v>0</v>
      </c>
      <c r="C37" s="1133" t="s">
        <v>1481</v>
      </c>
      <c r="D37" s="1146"/>
      <c r="E37" s="1146"/>
      <c r="F37" s="1146"/>
      <c r="G37" s="1146"/>
      <c r="H37" s="1146"/>
      <c r="I37" s="1146"/>
      <c r="J37" s="1146"/>
      <c r="K37" s="1146"/>
      <c r="L37" s="265" t="s">
        <v>102</v>
      </c>
      <c r="M37" s="261" t="s">
        <v>436</v>
      </c>
      <c r="N37" s="266" t="s">
        <v>351</v>
      </c>
      <c r="O37" s="1147">
        <v>0</v>
      </c>
      <c r="P37" s="1147">
        <v>0</v>
      </c>
      <c r="Q37" s="1147">
        <v>0</v>
      </c>
      <c r="R37" s="1147">
        <v>0</v>
      </c>
      <c r="S37" s="1147">
        <v>0</v>
      </c>
      <c r="T37" s="1147">
        <v>0</v>
      </c>
      <c r="U37" s="1147">
        <v>0</v>
      </c>
      <c r="V37" s="1147">
        <v>0</v>
      </c>
      <c r="W37" s="1147">
        <v>0</v>
      </c>
      <c r="X37" s="1147">
        <v>0</v>
      </c>
      <c r="Y37" s="1147">
        <v>0</v>
      </c>
      <c r="Z37" s="1147">
        <v>0</v>
      </c>
      <c r="AA37" s="1147">
        <v>0</v>
      </c>
      <c r="AB37" s="1147">
        <v>0</v>
      </c>
      <c r="AC37" s="1147">
        <v>0</v>
      </c>
      <c r="AD37" s="1147">
        <v>0</v>
      </c>
      <c r="AE37" s="1147">
        <v>0</v>
      </c>
      <c r="AF37" s="1147">
        <v>0</v>
      </c>
      <c r="AG37" s="1147">
        <v>0</v>
      </c>
      <c r="AH37" s="1147">
        <v>0</v>
      </c>
      <c r="AI37" s="1147">
        <v>0</v>
      </c>
      <c r="AJ37" s="1147">
        <v>0</v>
      </c>
      <c r="AK37" s="1147">
        <v>0</v>
      </c>
      <c r="AL37" s="1147">
        <v>0</v>
      </c>
      <c r="AM37" s="1147">
        <v>0</v>
      </c>
      <c r="AN37" s="1147">
        <v>0</v>
      </c>
      <c r="AO37" s="951"/>
    </row>
    <row r="38" spans="1:41" hidden="1">
      <c r="A38" s="1145"/>
      <c r="B38" s="1133" t="b">
        <v>0</v>
      </c>
      <c r="C38" s="1133" t="s">
        <v>1492</v>
      </c>
      <c r="D38" s="1133"/>
      <c r="E38" s="1133"/>
      <c r="F38" s="1133"/>
      <c r="G38" s="1133"/>
      <c r="H38" s="1133"/>
      <c r="I38" s="1133"/>
      <c r="J38" s="1133"/>
      <c r="K38" s="1133"/>
      <c r="L38" s="262" t="s">
        <v>17</v>
      </c>
      <c r="M38" s="263" t="s">
        <v>1153</v>
      </c>
      <c r="N38" s="259" t="s">
        <v>351</v>
      </c>
      <c r="O38" s="1149"/>
      <c r="P38" s="1149"/>
      <c r="Q38" s="1149"/>
      <c r="R38" s="1149"/>
      <c r="S38" s="1149"/>
      <c r="T38" s="1149"/>
      <c r="U38" s="1149"/>
      <c r="V38" s="1149"/>
      <c r="W38" s="1149"/>
      <c r="X38" s="1149"/>
      <c r="Y38" s="1149"/>
      <c r="Z38" s="1149"/>
      <c r="AA38" s="1149"/>
      <c r="AB38" s="1149"/>
      <c r="AC38" s="1149"/>
      <c r="AD38" s="1149"/>
      <c r="AE38" s="1149"/>
      <c r="AF38" s="1149"/>
      <c r="AG38" s="1149"/>
      <c r="AH38" s="1149"/>
      <c r="AI38" s="1149"/>
      <c r="AJ38" s="1149"/>
      <c r="AK38" s="1149"/>
      <c r="AL38" s="1149"/>
      <c r="AM38" s="1149"/>
      <c r="AN38" s="1149"/>
      <c r="AO38" s="951"/>
    </row>
    <row r="39" spans="1:41" hidden="1">
      <c r="A39" s="1145"/>
      <c r="B39" s="1133" t="b">
        <v>0</v>
      </c>
      <c r="C39" s="1133" t="s">
        <v>1493</v>
      </c>
      <c r="D39" s="1133"/>
      <c r="E39" s="1133"/>
      <c r="F39" s="1133"/>
      <c r="G39" s="1133"/>
      <c r="H39" s="1133"/>
      <c r="I39" s="1133"/>
      <c r="J39" s="1133"/>
      <c r="K39" s="1133"/>
      <c r="L39" s="262" t="s">
        <v>138</v>
      </c>
      <c r="M39" s="263" t="s">
        <v>1154</v>
      </c>
      <c r="N39" s="259" t="s">
        <v>351</v>
      </c>
      <c r="O39" s="1149"/>
      <c r="P39" s="1149"/>
      <c r="Q39" s="1149"/>
      <c r="R39" s="1149"/>
      <c r="S39" s="1149"/>
      <c r="T39" s="1149"/>
      <c r="U39" s="1149"/>
      <c r="V39" s="1149"/>
      <c r="W39" s="1149"/>
      <c r="X39" s="1149"/>
      <c r="Y39" s="1149"/>
      <c r="Z39" s="1149"/>
      <c r="AA39" s="1149"/>
      <c r="AB39" s="1149"/>
      <c r="AC39" s="1149"/>
      <c r="AD39" s="1149"/>
      <c r="AE39" s="1149"/>
      <c r="AF39" s="1149"/>
      <c r="AG39" s="1149"/>
      <c r="AH39" s="1149"/>
      <c r="AI39" s="1149"/>
      <c r="AJ39" s="1149"/>
      <c r="AK39" s="1149"/>
      <c r="AL39" s="1149"/>
      <c r="AM39" s="1149"/>
      <c r="AN39" s="1149"/>
      <c r="AO39" s="951"/>
    </row>
    <row r="40" spans="1:41" hidden="1">
      <c r="A40" s="1145"/>
      <c r="B40" s="1133" t="b">
        <v>0</v>
      </c>
      <c r="C40" s="1133" t="s">
        <v>1552</v>
      </c>
      <c r="D40" s="1133"/>
      <c r="E40" s="1133"/>
      <c r="F40" s="1133"/>
      <c r="G40" s="1133"/>
      <c r="H40" s="1133"/>
      <c r="I40" s="1133"/>
      <c r="J40" s="1133"/>
      <c r="K40" s="1133"/>
      <c r="L40" s="262" t="s">
        <v>151</v>
      </c>
      <c r="M40" s="263" t="s">
        <v>437</v>
      </c>
      <c r="N40" s="259" t="s">
        <v>351</v>
      </c>
      <c r="O40" s="1149"/>
      <c r="P40" s="1149"/>
      <c r="Q40" s="1149"/>
      <c r="R40" s="1149"/>
      <c r="S40" s="1149"/>
      <c r="T40" s="1149"/>
      <c r="U40" s="1149"/>
      <c r="V40" s="1149"/>
      <c r="W40" s="1149"/>
      <c r="X40" s="1149"/>
      <c r="Y40" s="1149"/>
      <c r="Z40" s="1149"/>
      <c r="AA40" s="1149"/>
      <c r="AB40" s="1149"/>
      <c r="AC40" s="1149"/>
      <c r="AD40" s="1149"/>
      <c r="AE40" s="1149"/>
      <c r="AF40" s="1149"/>
      <c r="AG40" s="1149"/>
      <c r="AH40" s="1149"/>
      <c r="AI40" s="1149"/>
      <c r="AJ40" s="1149"/>
      <c r="AK40" s="1149"/>
      <c r="AL40" s="1149"/>
      <c r="AM40" s="1149"/>
      <c r="AN40" s="1149"/>
      <c r="AO40" s="951"/>
    </row>
    <row r="41" spans="1:41" s="80" customFormat="1">
      <c r="A41" s="944" t="s">
        <v>18</v>
      </c>
      <c r="B41" s="1133" t="b">
        <v>1</v>
      </c>
      <c r="C41" s="927"/>
      <c r="D41" s="927"/>
      <c r="E41" s="927"/>
      <c r="F41" s="927"/>
      <c r="G41" s="927"/>
      <c r="H41" s="927"/>
      <c r="I41" s="927"/>
      <c r="J41" s="927"/>
      <c r="K41" s="927"/>
      <c r="L41" s="1061" t="s">
        <v>3018</v>
      </c>
      <c r="M41" s="1150"/>
      <c r="N41" s="1150"/>
      <c r="O41" s="1150"/>
      <c r="P41" s="1150"/>
      <c r="Q41" s="1150"/>
      <c r="R41" s="1150"/>
      <c r="S41" s="1150"/>
      <c r="T41" s="1150"/>
      <c r="U41" s="1150"/>
      <c r="V41" s="1150"/>
      <c r="W41" s="1150"/>
      <c r="X41" s="1150"/>
      <c r="Y41" s="1150"/>
      <c r="Z41" s="1150"/>
      <c r="AA41" s="1150"/>
      <c r="AB41" s="1150"/>
      <c r="AC41" s="1150"/>
      <c r="AD41" s="1150"/>
      <c r="AE41" s="1150"/>
      <c r="AF41" s="1150"/>
      <c r="AG41" s="1150"/>
      <c r="AH41" s="1150"/>
      <c r="AI41" s="1150"/>
      <c r="AJ41" s="1150"/>
      <c r="AK41" s="1150"/>
      <c r="AL41" s="1150"/>
      <c r="AM41" s="1150"/>
      <c r="AN41" s="1150"/>
      <c r="AO41" s="1150"/>
    </row>
    <row r="42" spans="1:41" s="267" customFormat="1" ht="22.5">
      <c r="A42" s="982">
        <v>1</v>
      </c>
      <c r="B42" s="1133" t="b">
        <v>1</v>
      </c>
      <c r="C42" s="1133" t="s">
        <v>1480</v>
      </c>
      <c r="D42" s="1146"/>
      <c r="E42" s="1146"/>
      <c r="F42" s="1146"/>
      <c r="G42" s="1146"/>
      <c r="H42" s="1146"/>
      <c r="I42" s="1146"/>
      <c r="J42" s="1146"/>
      <c r="K42" s="1146"/>
      <c r="L42" s="265">
        <v>1</v>
      </c>
      <c r="M42" s="260" t="s">
        <v>419</v>
      </c>
      <c r="N42" s="266" t="s">
        <v>351</v>
      </c>
      <c r="O42" s="1147">
        <v>0</v>
      </c>
      <c r="P42" s="1147">
        <v>0</v>
      </c>
      <c r="Q42" s="1147">
        <v>0</v>
      </c>
      <c r="R42" s="1147">
        <v>0</v>
      </c>
      <c r="S42" s="1147">
        <v>0</v>
      </c>
      <c r="T42" s="1147">
        <v>0</v>
      </c>
      <c r="U42" s="1147">
        <v>0</v>
      </c>
      <c r="V42" s="1147">
        <v>0</v>
      </c>
      <c r="W42" s="1147">
        <v>0</v>
      </c>
      <c r="X42" s="1147">
        <v>0</v>
      </c>
      <c r="Y42" s="1147">
        <v>0</v>
      </c>
      <c r="Z42" s="1147">
        <v>0</v>
      </c>
      <c r="AA42" s="1147">
        <v>0</v>
      </c>
      <c r="AB42" s="1147">
        <v>0</v>
      </c>
      <c r="AC42" s="1147">
        <v>0</v>
      </c>
      <c r="AD42" s="1147">
        <v>0</v>
      </c>
      <c r="AE42" s="1147">
        <v>0</v>
      </c>
      <c r="AF42" s="1147">
        <v>0</v>
      </c>
      <c r="AG42" s="1147">
        <v>0</v>
      </c>
      <c r="AH42" s="1147">
        <v>0</v>
      </c>
      <c r="AI42" s="1147">
        <v>0</v>
      </c>
      <c r="AJ42" s="1147">
        <v>0</v>
      </c>
      <c r="AK42" s="1147">
        <v>0</v>
      </c>
      <c r="AL42" s="1147">
        <v>0</v>
      </c>
      <c r="AM42" s="1147">
        <v>0</v>
      </c>
      <c r="AN42" s="1147">
        <v>0</v>
      </c>
      <c r="AO42" s="951"/>
    </row>
    <row r="43" spans="1:41">
      <c r="A43" s="982">
        <v>1</v>
      </c>
      <c r="B43" s="1133" t="b">
        <v>1</v>
      </c>
      <c r="C43" s="1133" t="s">
        <v>1491</v>
      </c>
      <c r="D43" s="1133"/>
      <c r="E43" s="1133"/>
      <c r="F43" s="1133"/>
      <c r="G43" s="1133"/>
      <c r="H43" s="1133"/>
      <c r="I43" s="1133"/>
      <c r="J43" s="1133"/>
      <c r="K43" s="1133"/>
      <c r="L43" s="262" t="s">
        <v>149</v>
      </c>
      <c r="M43" s="263" t="s">
        <v>420</v>
      </c>
      <c r="N43" s="259" t="s">
        <v>351</v>
      </c>
      <c r="O43" s="1148">
        <v>0</v>
      </c>
      <c r="P43" s="1148">
        <v>0</v>
      </c>
      <c r="Q43" s="1148">
        <v>0</v>
      </c>
      <c r="R43" s="1148">
        <v>0</v>
      </c>
      <c r="S43" s="1148">
        <v>0</v>
      </c>
      <c r="T43" s="1148">
        <v>0</v>
      </c>
      <c r="U43" s="1148">
        <v>0</v>
      </c>
      <c r="V43" s="1148">
        <v>0</v>
      </c>
      <c r="W43" s="1148">
        <v>0</v>
      </c>
      <c r="X43" s="1148">
        <v>0</v>
      </c>
      <c r="Y43" s="1148">
        <v>0</v>
      </c>
      <c r="Z43" s="1148">
        <v>0</v>
      </c>
      <c r="AA43" s="1148">
        <v>0</v>
      </c>
      <c r="AB43" s="1148">
        <v>0</v>
      </c>
      <c r="AC43" s="1148">
        <v>0</v>
      </c>
      <c r="AD43" s="1148">
        <v>0</v>
      </c>
      <c r="AE43" s="1148">
        <v>0</v>
      </c>
      <c r="AF43" s="1148">
        <v>0</v>
      </c>
      <c r="AG43" s="1148">
        <v>0</v>
      </c>
      <c r="AH43" s="1148">
        <v>0</v>
      </c>
      <c r="AI43" s="1148">
        <v>0</v>
      </c>
      <c r="AJ43" s="1148">
        <v>0</v>
      </c>
      <c r="AK43" s="1148">
        <v>0</v>
      </c>
      <c r="AL43" s="1148">
        <v>0</v>
      </c>
      <c r="AM43" s="1148">
        <v>0</v>
      </c>
      <c r="AN43" s="1148">
        <v>0</v>
      </c>
      <c r="AO43" s="951"/>
    </row>
    <row r="44" spans="1:41">
      <c r="A44" s="982">
        <v>1</v>
      </c>
      <c r="B44" s="1133" t="b">
        <v>1</v>
      </c>
      <c r="C44" s="1133" t="s">
        <v>1567</v>
      </c>
      <c r="D44" s="1133"/>
      <c r="E44" s="1133"/>
      <c r="F44" s="1133"/>
      <c r="G44" s="1133"/>
      <c r="H44" s="1133"/>
      <c r="I44" s="1133"/>
      <c r="J44" s="1133"/>
      <c r="K44" s="1133"/>
      <c r="L44" s="262" t="s">
        <v>393</v>
      </c>
      <c r="M44" s="264" t="s">
        <v>421</v>
      </c>
      <c r="N44" s="259" t="s">
        <v>351</v>
      </c>
      <c r="O44" s="1149"/>
      <c r="P44" s="1149"/>
      <c r="Q44" s="1149"/>
      <c r="R44" s="1149"/>
      <c r="S44" s="1149"/>
      <c r="T44" s="1149"/>
      <c r="U44" s="1149"/>
      <c r="V44" s="1149"/>
      <c r="W44" s="1149"/>
      <c r="X44" s="1149"/>
      <c r="Y44" s="1149"/>
      <c r="Z44" s="1149"/>
      <c r="AA44" s="1149"/>
      <c r="AB44" s="1149"/>
      <c r="AC44" s="1149"/>
      <c r="AD44" s="1149"/>
      <c r="AE44" s="1149"/>
      <c r="AF44" s="1149"/>
      <c r="AG44" s="1149"/>
      <c r="AH44" s="1149"/>
      <c r="AI44" s="1149"/>
      <c r="AJ44" s="1149"/>
      <c r="AK44" s="1149"/>
      <c r="AL44" s="1149"/>
      <c r="AM44" s="1149"/>
      <c r="AN44" s="1149"/>
      <c r="AO44" s="951"/>
    </row>
    <row r="45" spans="1:41">
      <c r="A45" s="982">
        <v>1</v>
      </c>
      <c r="B45" s="1133" t="b">
        <v>1</v>
      </c>
      <c r="C45" s="1133" t="s">
        <v>1568</v>
      </c>
      <c r="D45" s="1133"/>
      <c r="E45" s="1133"/>
      <c r="F45" s="1133"/>
      <c r="G45" s="1133"/>
      <c r="H45" s="1133"/>
      <c r="I45" s="1133"/>
      <c r="J45" s="1133"/>
      <c r="K45" s="1133"/>
      <c r="L45" s="262" t="s">
        <v>395</v>
      </c>
      <c r="M45" s="264" t="s">
        <v>1093</v>
      </c>
      <c r="N45" s="259" t="s">
        <v>351</v>
      </c>
      <c r="O45" s="1149"/>
      <c r="P45" s="1149"/>
      <c r="Q45" s="1149"/>
      <c r="R45" s="1149"/>
      <c r="S45" s="1149"/>
      <c r="T45" s="1149"/>
      <c r="U45" s="1149"/>
      <c r="V45" s="1149"/>
      <c r="W45" s="1149"/>
      <c r="X45" s="1149"/>
      <c r="Y45" s="1149"/>
      <c r="Z45" s="1149"/>
      <c r="AA45" s="1149"/>
      <c r="AB45" s="1149"/>
      <c r="AC45" s="1149"/>
      <c r="AD45" s="1149"/>
      <c r="AE45" s="1149"/>
      <c r="AF45" s="1149"/>
      <c r="AG45" s="1149"/>
      <c r="AH45" s="1149"/>
      <c r="AI45" s="1149"/>
      <c r="AJ45" s="1149"/>
      <c r="AK45" s="1149"/>
      <c r="AL45" s="1149"/>
      <c r="AM45" s="1149"/>
      <c r="AN45" s="1149"/>
      <c r="AO45" s="951"/>
    </row>
    <row r="46" spans="1:41">
      <c r="A46" s="982">
        <v>1</v>
      </c>
      <c r="B46" s="1133" t="b">
        <v>1</v>
      </c>
      <c r="C46" s="1133" t="s">
        <v>1571</v>
      </c>
      <c r="D46" s="1133"/>
      <c r="E46" s="1133"/>
      <c r="F46" s="1133"/>
      <c r="G46" s="1133"/>
      <c r="H46" s="1133"/>
      <c r="I46" s="1133"/>
      <c r="J46" s="1133"/>
      <c r="K46" s="1133"/>
      <c r="L46" s="262" t="s">
        <v>1055</v>
      </c>
      <c r="M46" s="264" t="s">
        <v>422</v>
      </c>
      <c r="N46" s="259" t="s">
        <v>351</v>
      </c>
      <c r="O46" s="1149"/>
      <c r="P46" s="1149"/>
      <c r="Q46" s="1149"/>
      <c r="R46" s="1149"/>
      <c r="S46" s="1149"/>
      <c r="T46" s="1149"/>
      <c r="U46" s="1149"/>
      <c r="V46" s="1149"/>
      <c r="W46" s="1149"/>
      <c r="X46" s="1149"/>
      <c r="Y46" s="1149"/>
      <c r="Z46" s="1149"/>
      <c r="AA46" s="1149"/>
      <c r="AB46" s="1149"/>
      <c r="AC46" s="1149"/>
      <c r="AD46" s="1149"/>
      <c r="AE46" s="1149"/>
      <c r="AF46" s="1149"/>
      <c r="AG46" s="1149"/>
      <c r="AH46" s="1149"/>
      <c r="AI46" s="1149"/>
      <c r="AJ46" s="1149"/>
      <c r="AK46" s="1149"/>
      <c r="AL46" s="1149"/>
      <c r="AM46" s="1149"/>
      <c r="AN46" s="1149"/>
      <c r="AO46" s="951"/>
    </row>
    <row r="47" spans="1:41">
      <c r="A47" s="982">
        <v>1</v>
      </c>
      <c r="B47" s="1133" t="b">
        <v>1</v>
      </c>
      <c r="C47" s="1133" t="s">
        <v>1572</v>
      </c>
      <c r="D47" s="1133"/>
      <c r="E47" s="1133"/>
      <c r="F47" s="1133"/>
      <c r="G47" s="1133"/>
      <c r="H47" s="1133"/>
      <c r="I47" s="1133"/>
      <c r="J47" s="1133"/>
      <c r="K47" s="1133"/>
      <c r="L47" s="262" t="s">
        <v>1056</v>
      </c>
      <c r="M47" s="264" t="s">
        <v>423</v>
      </c>
      <c r="N47" s="259" t="s">
        <v>351</v>
      </c>
      <c r="O47" s="1149"/>
      <c r="P47" s="1149"/>
      <c r="Q47" s="1149"/>
      <c r="R47" s="1149"/>
      <c r="S47" s="1149"/>
      <c r="T47" s="1149"/>
      <c r="U47" s="1149"/>
      <c r="V47" s="1149"/>
      <c r="W47" s="1149"/>
      <c r="X47" s="1149"/>
      <c r="Y47" s="1149"/>
      <c r="Z47" s="1149"/>
      <c r="AA47" s="1149"/>
      <c r="AB47" s="1149"/>
      <c r="AC47" s="1149"/>
      <c r="AD47" s="1149"/>
      <c r="AE47" s="1149"/>
      <c r="AF47" s="1149"/>
      <c r="AG47" s="1149"/>
      <c r="AH47" s="1149"/>
      <c r="AI47" s="1149"/>
      <c r="AJ47" s="1149"/>
      <c r="AK47" s="1149"/>
      <c r="AL47" s="1149"/>
      <c r="AM47" s="1149"/>
      <c r="AN47" s="1149"/>
      <c r="AO47" s="951"/>
    </row>
    <row r="48" spans="1:41">
      <c r="A48" s="982">
        <v>1</v>
      </c>
      <c r="B48" s="1133" t="b">
        <v>1</v>
      </c>
      <c r="C48" s="1133" t="s">
        <v>1489</v>
      </c>
      <c r="D48" s="1133"/>
      <c r="E48" s="1133"/>
      <c r="F48" s="1133"/>
      <c r="G48" s="1133"/>
      <c r="H48" s="1133"/>
      <c r="I48" s="1133"/>
      <c r="J48" s="1133"/>
      <c r="K48" s="1133"/>
      <c r="L48" s="262" t="s">
        <v>150</v>
      </c>
      <c r="M48" s="263" t="s">
        <v>424</v>
      </c>
      <c r="N48" s="259" t="s">
        <v>351</v>
      </c>
      <c r="O48" s="1148">
        <v>0</v>
      </c>
      <c r="P48" s="1148">
        <v>0</v>
      </c>
      <c r="Q48" s="1148">
        <v>0</v>
      </c>
      <c r="R48" s="1148">
        <v>0</v>
      </c>
      <c r="S48" s="1148">
        <v>0</v>
      </c>
      <c r="T48" s="1148">
        <v>0</v>
      </c>
      <c r="U48" s="1148">
        <v>0</v>
      </c>
      <c r="V48" s="1148">
        <v>0</v>
      </c>
      <c r="W48" s="1148">
        <v>0</v>
      </c>
      <c r="X48" s="1148">
        <v>0</v>
      </c>
      <c r="Y48" s="1148">
        <v>0</v>
      </c>
      <c r="Z48" s="1148">
        <v>0</v>
      </c>
      <c r="AA48" s="1148">
        <v>0</v>
      </c>
      <c r="AB48" s="1148">
        <v>0</v>
      </c>
      <c r="AC48" s="1148">
        <v>0</v>
      </c>
      <c r="AD48" s="1148">
        <v>0</v>
      </c>
      <c r="AE48" s="1148">
        <v>0</v>
      </c>
      <c r="AF48" s="1148">
        <v>0</v>
      </c>
      <c r="AG48" s="1148">
        <v>0</v>
      </c>
      <c r="AH48" s="1148">
        <v>0</v>
      </c>
      <c r="AI48" s="1148">
        <v>0</v>
      </c>
      <c r="AJ48" s="1148">
        <v>0</v>
      </c>
      <c r="AK48" s="1148">
        <v>0</v>
      </c>
      <c r="AL48" s="1148">
        <v>0</v>
      </c>
      <c r="AM48" s="1148">
        <v>0</v>
      </c>
      <c r="AN48" s="1148">
        <v>0</v>
      </c>
      <c r="AO48" s="951"/>
    </row>
    <row r="49" spans="1:41">
      <c r="A49" s="982">
        <v>1</v>
      </c>
      <c r="B49" s="1133" t="b">
        <v>1</v>
      </c>
      <c r="C49" s="1133" t="s">
        <v>1573</v>
      </c>
      <c r="D49" s="1133"/>
      <c r="E49" s="1133"/>
      <c r="F49" s="1133"/>
      <c r="G49" s="1133"/>
      <c r="H49" s="1133"/>
      <c r="I49" s="1133"/>
      <c r="J49" s="1133"/>
      <c r="K49" s="1133"/>
      <c r="L49" s="262" t="s">
        <v>514</v>
      </c>
      <c r="M49" s="264" t="s">
        <v>425</v>
      </c>
      <c r="N49" s="259" t="s">
        <v>351</v>
      </c>
      <c r="O49" s="1149"/>
      <c r="P49" s="1149"/>
      <c r="Q49" s="1149"/>
      <c r="R49" s="1149"/>
      <c r="S49" s="1149"/>
      <c r="T49" s="1149"/>
      <c r="U49" s="1149"/>
      <c r="V49" s="1149"/>
      <c r="W49" s="1149"/>
      <c r="X49" s="1149"/>
      <c r="Y49" s="1149"/>
      <c r="Z49" s="1149"/>
      <c r="AA49" s="1149"/>
      <c r="AB49" s="1149"/>
      <c r="AC49" s="1149"/>
      <c r="AD49" s="1149"/>
      <c r="AE49" s="1149"/>
      <c r="AF49" s="1149"/>
      <c r="AG49" s="1149"/>
      <c r="AH49" s="1149"/>
      <c r="AI49" s="1149"/>
      <c r="AJ49" s="1149"/>
      <c r="AK49" s="1149"/>
      <c r="AL49" s="1149"/>
      <c r="AM49" s="1149"/>
      <c r="AN49" s="1149"/>
      <c r="AO49" s="951"/>
    </row>
    <row r="50" spans="1:41">
      <c r="A50" s="982">
        <v>1</v>
      </c>
      <c r="B50" s="1133" t="b">
        <v>1</v>
      </c>
      <c r="C50" s="1133" t="s">
        <v>1574</v>
      </c>
      <c r="D50" s="1133"/>
      <c r="E50" s="1133"/>
      <c r="F50" s="1133"/>
      <c r="G50" s="1133"/>
      <c r="H50" s="1133"/>
      <c r="I50" s="1133"/>
      <c r="J50" s="1133"/>
      <c r="K50" s="1133"/>
      <c r="L50" s="262" t="s">
        <v>520</v>
      </c>
      <c r="M50" s="264" t="s">
        <v>426</v>
      </c>
      <c r="N50" s="259" t="s">
        <v>351</v>
      </c>
      <c r="O50" s="1149"/>
      <c r="P50" s="1149"/>
      <c r="Q50" s="1149"/>
      <c r="R50" s="1149"/>
      <c r="S50" s="1149"/>
      <c r="T50" s="1149"/>
      <c r="U50" s="1149"/>
      <c r="V50" s="1149"/>
      <c r="W50" s="1149"/>
      <c r="X50" s="1149"/>
      <c r="Y50" s="1149"/>
      <c r="Z50" s="1149"/>
      <c r="AA50" s="1149"/>
      <c r="AB50" s="1149"/>
      <c r="AC50" s="1149"/>
      <c r="AD50" s="1149"/>
      <c r="AE50" s="1149"/>
      <c r="AF50" s="1149"/>
      <c r="AG50" s="1149"/>
      <c r="AH50" s="1149"/>
      <c r="AI50" s="1149"/>
      <c r="AJ50" s="1149"/>
      <c r="AK50" s="1149"/>
      <c r="AL50" s="1149"/>
      <c r="AM50" s="1149"/>
      <c r="AN50" s="1149"/>
      <c r="AO50" s="951"/>
    </row>
    <row r="51" spans="1:41">
      <c r="A51" s="982">
        <v>1</v>
      </c>
      <c r="B51" s="1133" t="b">
        <v>1</v>
      </c>
      <c r="C51" s="1133" t="s">
        <v>1575</v>
      </c>
      <c r="D51" s="1133"/>
      <c r="E51" s="1133"/>
      <c r="F51" s="1133"/>
      <c r="G51" s="1133"/>
      <c r="H51" s="1133"/>
      <c r="I51" s="1133"/>
      <c r="J51" s="1133"/>
      <c r="K51" s="1133"/>
      <c r="L51" s="262" t="s">
        <v>522</v>
      </c>
      <c r="M51" s="264" t="s">
        <v>427</v>
      </c>
      <c r="N51" s="259" t="s">
        <v>351</v>
      </c>
      <c r="O51" s="1149"/>
      <c r="P51" s="1149"/>
      <c r="Q51" s="1149"/>
      <c r="R51" s="1149"/>
      <c r="S51" s="1149"/>
      <c r="T51" s="1149"/>
      <c r="U51" s="1149"/>
      <c r="V51" s="1149"/>
      <c r="W51" s="1149"/>
      <c r="X51" s="1149"/>
      <c r="Y51" s="1149"/>
      <c r="Z51" s="1149"/>
      <c r="AA51" s="1149"/>
      <c r="AB51" s="1149"/>
      <c r="AC51" s="1149"/>
      <c r="AD51" s="1149"/>
      <c r="AE51" s="1149"/>
      <c r="AF51" s="1149"/>
      <c r="AG51" s="1149"/>
      <c r="AH51" s="1149"/>
      <c r="AI51" s="1149"/>
      <c r="AJ51" s="1149"/>
      <c r="AK51" s="1149"/>
      <c r="AL51" s="1149"/>
      <c r="AM51" s="1149"/>
      <c r="AN51" s="1149"/>
      <c r="AO51" s="951"/>
    </row>
    <row r="52" spans="1:41">
      <c r="A52" s="982">
        <v>1</v>
      </c>
      <c r="B52" s="1133" t="b">
        <v>1</v>
      </c>
      <c r="C52" s="1133" t="s">
        <v>1490</v>
      </c>
      <c r="D52" s="1133"/>
      <c r="E52" s="1133"/>
      <c r="F52" s="1133"/>
      <c r="G52" s="1133"/>
      <c r="H52" s="1133"/>
      <c r="I52" s="1133"/>
      <c r="J52" s="1133"/>
      <c r="K52" s="1133"/>
      <c r="L52" s="262" t="s">
        <v>359</v>
      </c>
      <c r="M52" s="263" t="s">
        <v>428</v>
      </c>
      <c r="N52" s="259" t="s">
        <v>351</v>
      </c>
      <c r="O52" s="1148">
        <v>0</v>
      </c>
      <c r="P52" s="1148">
        <v>0</v>
      </c>
      <c r="Q52" s="1148">
        <v>0</v>
      </c>
      <c r="R52" s="1148">
        <v>0</v>
      </c>
      <c r="S52" s="1148">
        <v>0</v>
      </c>
      <c r="T52" s="1148">
        <v>0</v>
      </c>
      <c r="U52" s="1148">
        <v>0</v>
      </c>
      <c r="V52" s="1148">
        <v>0</v>
      </c>
      <c r="W52" s="1148">
        <v>0</v>
      </c>
      <c r="X52" s="1148">
        <v>0</v>
      </c>
      <c r="Y52" s="1148">
        <v>0</v>
      </c>
      <c r="Z52" s="1148">
        <v>0</v>
      </c>
      <c r="AA52" s="1148">
        <v>0</v>
      </c>
      <c r="AB52" s="1148">
        <v>0</v>
      </c>
      <c r="AC52" s="1148">
        <v>0</v>
      </c>
      <c r="AD52" s="1148">
        <v>0</v>
      </c>
      <c r="AE52" s="1148">
        <v>0</v>
      </c>
      <c r="AF52" s="1148">
        <v>0</v>
      </c>
      <c r="AG52" s="1148">
        <v>0</v>
      </c>
      <c r="AH52" s="1148">
        <v>0</v>
      </c>
      <c r="AI52" s="1148">
        <v>0</v>
      </c>
      <c r="AJ52" s="1148">
        <v>0</v>
      </c>
      <c r="AK52" s="1148">
        <v>0</v>
      </c>
      <c r="AL52" s="1148">
        <v>0</v>
      </c>
      <c r="AM52" s="1148">
        <v>0</v>
      </c>
      <c r="AN52" s="1148">
        <v>0</v>
      </c>
      <c r="AO52" s="951"/>
    </row>
    <row r="53" spans="1:41">
      <c r="A53" s="982">
        <v>1</v>
      </c>
      <c r="B53" s="1133" t="b">
        <v>1</v>
      </c>
      <c r="C53" s="1133" t="s">
        <v>1576</v>
      </c>
      <c r="D53" s="1133"/>
      <c r="E53" s="1133"/>
      <c r="F53" s="1133"/>
      <c r="G53" s="1133"/>
      <c r="H53" s="1133"/>
      <c r="I53" s="1133"/>
      <c r="J53" s="1133"/>
      <c r="K53" s="1133"/>
      <c r="L53" s="262" t="s">
        <v>543</v>
      </c>
      <c r="M53" s="264" t="s">
        <v>429</v>
      </c>
      <c r="N53" s="259" t="s">
        <v>351</v>
      </c>
      <c r="O53" s="1149"/>
      <c r="P53" s="1149"/>
      <c r="Q53" s="1149"/>
      <c r="R53" s="1149"/>
      <c r="S53" s="1149"/>
      <c r="T53" s="1149"/>
      <c r="U53" s="1149"/>
      <c r="V53" s="1149"/>
      <c r="W53" s="1149"/>
      <c r="X53" s="1149"/>
      <c r="Y53" s="1149"/>
      <c r="Z53" s="1149"/>
      <c r="AA53" s="1149"/>
      <c r="AB53" s="1149"/>
      <c r="AC53" s="1149"/>
      <c r="AD53" s="1149"/>
      <c r="AE53" s="1149"/>
      <c r="AF53" s="1149"/>
      <c r="AG53" s="1149"/>
      <c r="AH53" s="1149"/>
      <c r="AI53" s="1149"/>
      <c r="AJ53" s="1149"/>
      <c r="AK53" s="1149"/>
      <c r="AL53" s="1149"/>
      <c r="AM53" s="1149"/>
      <c r="AN53" s="1149"/>
      <c r="AO53" s="951"/>
    </row>
    <row r="54" spans="1:41">
      <c r="A54" s="982">
        <v>1</v>
      </c>
      <c r="B54" s="1133" t="b">
        <v>1</v>
      </c>
      <c r="C54" s="1133" t="s">
        <v>1577</v>
      </c>
      <c r="D54" s="1133"/>
      <c r="E54" s="1133"/>
      <c r="F54" s="1133"/>
      <c r="G54" s="1133"/>
      <c r="H54" s="1133"/>
      <c r="I54" s="1133"/>
      <c r="J54" s="1133"/>
      <c r="K54" s="1133"/>
      <c r="L54" s="262" t="s">
        <v>545</v>
      </c>
      <c r="M54" s="264" t="s">
        <v>430</v>
      </c>
      <c r="N54" s="259" t="s">
        <v>351</v>
      </c>
      <c r="O54" s="1149"/>
      <c r="P54" s="1149"/>
      <c r="Q54" s="1149"/>
      <c r="R54" s="1149"/>
      <c r="S54" s="1149"/>
      <c r="T54" s="1149"/>
      <c r="U54" s="1149"/>
      <c r="V54" s="1149"/>
      <c r="W54" s="1149"/>
      <c r="X54" s="1149"/>
      <c r="Y54" s="1149"/>
      <c r="Z54" s="1149"/>
      <c r="AA54" s="1149"/>
      <c r="AB54" s="1149"/>
      <c r="AC54" s="1149"/>
      <c r="AD54" s="1149"/>
      <c r="AE54" s="1149"/>
      <c r="AF54" s="1149"/>
      <c r="AG54" s="1149"/>
      <c r="AH54" s="1149"/>
      <c r="AI54" s="1149"/>
      <c r="AJ54" s="1149"/>
      <c r="AK54" s="1149"/>
      <c r="AL54" s="1149"/>
      <c r="AM54" s="1149"/>
      <c r="AN54" s="1149"/>
      <c r="AO54" s="951"/>
    </row>
    <row r="55" spans="1:41">
      <c r="A55" s="982">
        <v>1</v>
      </c>
      <c r="B55" s="1133" t="b">
        <v>1</v>
      </c>
      <c r="C55" s="1133" t="s">
        <v>1578</v>
      </c>
      <c r="D55" s="1133"/>
      <c r="E55" s="1133"/>
      <c r="F55" s="1133"/>
      <c r="G55" s="1133"/>
      <c r="H55" s="1133"/>
      <c r="I55" s="1133"/>
      <c r="J55" s="1133"/>
      <c r="K55" s="1133"/>
      <c r="L55" s="262" t="s">
        <v>547</v>
      </c>
      <c r="M55" s="264" t="s">
        <v>431</v>
      </c>
      <c r="N55" s="259" t="s">
        <v>351</v>
      </c>
      <c r="O55" s="1149"/>
      <c r="P55" s="1149"/>
      <c r="Q55" s="1149"/>
      <c r="R55" s="1149"/>
      <c r="S55" s="1149"/>
      <c r="T55" s="1149"/>
      <c r="U55" s="1149"/>
      <c r="V55" s="1149"/>
      <c r="W55" s="1149"/>
      <c r="X55" s="1149"/>
      <c r="Y55" s="1149"/>
      <c r="Z55" s="1149"/>
      <c r="AA55" s="1149"/>
      <c r="AB55" s="1149"/>
      <c r="AC55" s="1149"/>
      <c r="AD55" s="1149"/>
      <c r="AE55" s="1149"/>
      <c r="AF55" s="1149"/>
      <c r="AG55" s="1149"/>
      <c r="AH55" s="1149"/>
      <c r="AI55" s="1149"/>
      <c r="AJ55" s="1149"/>
      <c r="AK55" s="1149"/>
      <c r="AL55" s="1149"/>
      <c r="AM55" s="1149"/>
      <c r="AN55" s="1149"/>
      <c r="AO55" s="951"/>
    </row>
    <row r="56" spans="1:41">
      <c r="A56" s="982">
        <v>1</v>
      </c>
      <c r="B56" s="1133" t="b">
        <v>1</v>
      </c>
      <c r="C56" s="1133" t="s">
        <v>1488</v>
      </c>
      <c r="D56" s="1133"/>
      <c r="E56" s="1133"/>
      <c r="F56" s="1133"/>
      <c r="G56" s="1133"/>
      <c r="H56" s="1133"/>
      <c r="I56" s="1133"/>
      <c r="J56" s="1133"/>
      <c r="K56" s="1133"/>
      <c r="L56" s="262" t="s">
        <v>361</v>
      </c>
      <c r="M56" s="263" t="s">
        <v>432</v>
      </c>
      <c r="N56" s="259" t="s">
        <v>351</v>
      </c>
      <c r="O56" s="1148">
        <v>0</v>
      </c>
      <c r="P56" s="1148">
        <v>0</v>
      </c>
      <c r="Q56" s="1148">
        <v>0</v>
      </c>
      <c r="R56" s="1148">
        <v>0</v>
      </c>
      <c r="S56" s="1148">
        <v>0</v>
      </c>
      <c r="T56" s="1148">
        <v>0</v>
      </c>
      <c r="U56" s="1148">
        <v>0</v>
      </c>
      <c r="V56" s="1148">
        <v>0</v>
      </c>
      <c r="W56" s="1148">
        <v>0</v>
      </c>
      <c r="X56" s="1148">
        <v>0</v>
      </c>
      <c r="Y56" s="1148">
        <v>0</v>
      </c>
      <c r="Z56" s="1148">
        <v>0</v>
      </c>
      <c r="AA56" s="1148">
        <v>0</v>
      </c>
      <c r="AB56" s="1148">
        <v>0</v>
      </c>
      <c r="AC56" s="1148">
        <v>0</v>
      </c>
      <c r="AD56" s="1148">
        <v>0</v>
      </c>
      <c r="AE56" s="1148">
        <v>0</v>
      </c>
      <c r="AF56" s="1148">
        <v>0</v>
      </c>
      <c r="AG56" s="1148">
        <v>0</v>
      </c>
      <c r="AH56" s="1148">
        <v>0</v>
      </c>
      <c r="AI56" s="1148">
        <v>0</v>
      </c>
      <c r="AJ56" s="1148">
        <v>0</v>
      </c>
      <c r="AK56" s="1148">
        <v>0</v>
      </c>
      <c r="AL56" s="1148">
        <v>0</v>
      </c>
      <c r="AM56" s="1148">
        <v>0</v>
      </c>
      <c r="AN56" s="1148">
        <v>0</v>
      </c>
      <c r="AO56" s="951"/>
    </row>
    <row r="57" spans="1:41">
      <c r="A57" s="982">
        <v>1</v>
      </c>
      <c r="B57" s="1133" t="b">
        <v>1</v>
      </c>
      <c r="C57" s="1133" t="s">
        <v>1579</v>
      </c>
      <c r="D57" s="1133"/>
      <c r="E57" s="1133"/>
      <c r="F57" s="1133"/>
      <c r="G57" s="1133"/>
      <c r="H57" s="1133"/>
      <c r="I57" s="1133"/>
      <c r="J57" s="1133"/>
      <c r="K57" s="1133"/>
      <c r="L57" s="262" t="s">
        <v>550</v>
      </c>
      <c r="M57" s="264" t="s">
        <v>433</v>
      </c>
      <c r="N57" s="259" t="s">
        <v>351</v>
      </c>
      <c r="O57" s="1149"/>
      <c r="P57" s="1149"/>
      <c r="Q57" s="1149"/>
      <c r="R57" s="1149"/>
      <c r="S57" s="1149"/>
      <c r="T57" s="1149"/>
      <c r="U57" s="1149"/>
      <c r="V57" s="1149"/>
      <c r="W57" s="1149"/>
      <c r="X57" s="1149"/>
      <c r="Y57" s="1149"/>
      <c r="Z57" s="1149"/>
      <c r="AA57" s="1149"/>
      <c r="AB57" s="1149"/>
      <c r="AC57" s="1149"/>
      <c r="AD57" s="1149"/>
      <c r="AE57" s="1149"/>
      <c r="AF57" s="1149"/>
      <c r="AG57" s="1149"/>
      <c r="AH57" s="1149"/>
      <c r="AI57" s="1149"/>
      <c r="AJ57" s="1149"/>
      <c r="AK57" s="1149"/>
      <c r="AL57" s="1149"/>
      <c r="AM57" s="1149"/>
      <c r="AN57" s="1149"/>
      <c r="AO57" s="951"/>
    </row>
    <row r="58" spans="1:41" ht="22.5">
      <c r="A58" s="982">
        <v>1</v>
      </c>
      <c r="B58" s="1133" t="b">
        <v>1</v>
      </c>
      <c r="C58" s="1133" t="s">
        <v>1580</v>
      </c>
      <c r="D58" s="1133"/>
      <c r="E58" s="1133"/>
      <c r="F58" s="1133"/>
      <c r="G58" s="1133"/>
      <c r="H58" s="1133"/>
      <c r="I58" s="1133"/>
      <c r="J58" s="1133"/>
      <c r="K58" s="1133"/>
      <c r="L58" s="262" t="s">
        <v>564</v>
      </c>
      <c r="M58" s="264" t="s">
        <v>1143</v>
      </c>
      <c r="N58" s="259" t="s">
        <v>351</v>
      </c>
      <c r="O58" s="1149"/>
      <c r="P58" s="1149"/>
      <c r="Q58" s="1149"/>
      <c r="R58" s="1149"/>
      <c r="S58" s="1149"/>
      <c r="T58" s="1149"/>
      <c r="U58" s="1149"/>
      <c r="V58" s="1149"/>
      <c r="W58" s="1149"/>
      <c r="X58" s="1149"/>
      <c r="Y58" s="1149"/>
      <c r="Z58" s="1149"/>
      <c r="AA58" s="1149"/>
      <c r="AB58" s="1149"/>
      <c r="AC58" s="1149"/>
      <c r="AD58" s="1149"/>
      <c r="AE58" s="1149"/>
      <c r="AF58" s="1149"/>
      <c r="AG58" s="1149"/>
      <c r="AH58" s="1149"/>
      <c r="AI58" s="1149"/>
      <c r="AJ58" s="1149"/>
      <c r="AK58" s="1149"/>
      <c r="AL58" s="1149"/>
      <c r="AM58" s="1149"/>
      <c r="AN58" s="1149"/>
      <c r="AO58" s="951"/>
    </row>
    <row r="59" spans="1:41" ht="22.5">
      <c r="A59" s="982">
        <v>1</v>
      </c>
      <c r="B59" s="1133" t="b">
        <v>1</v>
      </c>
      <c r="C59" s="1133" t="s">
        <v>1581</v>
      </c>
      <c r="D59" s="1133"/>
      <c r="E59" s="1133"/>
      <c r="F59" s="1133"/>
      <c r="G59" s="1133"/>
      <c r="H59" s="1133"/>
      <c r="I59" s="1133"/>
      <c r="J59" s="1133"/>
      <c r="K59" s="1133"/>
      <c r="L59" s="262" t="s">
        <v>568</v>
      </c>
      <c r="M59" s="264" t="s">
        <v>434</v>
      </c>
      <c r="N59" s="259" t="s">
        <v>351</v>
      </c>
      <c r="O59" s="1149"/>
      <c r="P59" s="1149"/>
      <c r="Q59" s="1149"/>
      <c r="R59" s="1149"/>
      <c r="S59" s="1149"/>
      <c r="T59" s="1149"/>
      <c r="U59" s="1149"/>
      <c r="V59" s="1149"/>
      <c r="W59" s="1149"/>
      <c r="X59" s="1149"/>
      <c r="Y59" s="1149"/>
      <c r="Z59" s="1149"/>
      <c r="AA59" s="1149"/>
      <c r="AB59" s="1149"/>
      <c r="AC59" s="1149"/>
      <c r="AD59" s="1149"/>
      <c r="AE59" s="1149"/>
      <c r="AF59" s="1149"/>
      <c r="AG59" s="1149"/>
      <c r="AH59" s="1149"/>
      <c r="AI59" s="1149"/>
      <c r="AJ59" s="1149"/>
      <c r="AK59" s="1149"/>
      <c r="AL59" s="1149"/>
      <c r="AM59" s="1149"/>
      <c r="AN59" s="1149"/>
      <c r="AO59" s="951"/>
    </row>
    <row r="60" spans="1:41">
      <c r="A60" s="982">
        <v>1</v>
      </c>
      <c r="B60" s="1133" t="b">
        <v>1</v>
      </c>
      <c r="C60" s="1133" t="s">
        <v>1582</v>
      </c>
      <c r="D60" s="1133"/>
      <c r="E60" s="1133"/>
      <c r="F60" s="1133"/>
      <c r="G60" s="1133"/>
      <c r="H60" s="1133"/>
      <c r="I60" s="1133"/>
      <c r="J60" s="1133"/>
      <c r="K60" s="1133"/>
      <c r="L60" s="262" t="s">
        <v>570</v>
      </c>
      <c r="M60" s="264" t="s">
        <v>435</v>
      </c>
      <c r="N60" s="259" t="s">
        <v>351</v>
      </c>
      <c r="O60" s="1149"/>
      <c r="P60" s="1149"/>
      <c r="Q60" s="1149"/>
      <c r="R60" s="1149"/>
      <c r="S60" s="1149"/>
      <c r="T60" s="1149"/>
      <c r="U60" s="1149"/>
      <c r="V60" s="1149"/>
      <c r="W60" s="1149"/>
      <c r="X60" s="1149"/>
      <c r="Y60" s="1149"/>
      <c r="Z60" s="1149"/>
      <c r="AA60" s="1149"/>
      <c r="AB60" s="1149"/>
      <c r="AC60" s="1149"/>
      <c r="AD60" s="1149"/>
      <c r="AE60" s="1149"/>
      <c r="AF60" s="1149"/>
      <c r="AG60" s="1149"/>
      <c r="AH60" s="1149"/>
      <c r="AI60" s="1149"/>
      <c r="AJ60" s="1149"/>
      <c r="AK60" s="1149"/>
      <c r="AL60" s="1149"/>
      <c r="AM60" s="1149"/>
      <c r="AN60" s="1149"/>
      <c r="AO60" s="951"/>
    </row>
    <row r="61" spans="1:41" s="267" customFormat="1" ht="22.5">
      <c r="A61" s="982">
        <v>1</v>
      </c>
      <c r="B61" s="1133" t="b">
        <v>1</v>
      </c>
      <c r="C61" s="1133" t="s">
        <v>1481</v>
      </c>
      <c r="D61" s="1146"/>
      <c r="E61" s="1146"/>
      <c r="F61" s="1146"/>
      <c r="G61" s="1146"/>
      <c r="H61" s="1146"/>
      <c r="I61" s="1146"/>
      <c r="J61" s="1146"/>
      <c r="K61" s="1146"/>
      <c r="L61" s="265" t="s">
        <v>102</v>
      </c>
      <c r="M61" s="261" t="s">
        <v>436</v>
      </c>
      <c r="N61" s="266" t="s">
        <v>351</v>
      </c>
      <c r="O61" s="1147">
        <v>0</v>
      </c>
      <c r="P61" s="1147">
        <v>0</v>
      </c>
      <c r="Q61" s="1147">
        <v>0</v>
      </c>
      <c r="R61" s="1147">
        <v>0</v>
      </c>
      <c r="S61" s="1147">
        <v>0</v>
      </c>
      <c r="T61" s="1147">
        <v>0</v>
      </c>
      <c r="U61" s="1147">
        <v>0</v>
      </c>
      <c r="V61" s="1147">
        <v>0</v>
      </c>
      <c r="W61" s="1147">
        <v>0</v>
      </c>
      <c r="X61" s="1147">
        <v>0</v>
      </c>
      <c r="Y61" s="1147">
        <v>0</v>
      </c>
      <c r="Z61" s="1147">
        <v>0</v>
      </c>
      <c r="AA61" s="1147">
        <v>0</v>
      </c>
      <c r="AB61" s="1147">
        <v>0</v>
      </c>
      <c r="AC61" s="1147">
        <v>0</v>
      </c>
      <c r="AD61" s="1147">
        <v>0</v>
      </c>
      <c r="AE61" s="1147">
        <v>0</v>
      </c>
      <c r="AF61" s="1147">
        <v>0</v>
      </c>
      <c r="AG61" s="1147">
        <v>0</v>
      </c>
      <c r="AH61" s="1147">
        <v>0</v>
      </c>
      <c r="AI61" s="1147">
        <v>0</v>
      </c>
      <c r="AJ61" s="1147">
        <v>0</v>
      </c>
      <c r="AK61" s="1147">
        <v>0</v>
      </c>
      <c r="AL61" s="1147">
        <v>0</v>
      </c>
      <c r="AM61" s="1147">
        <v>0</v>
      </c>
      <c r="AN61" s="1147">
        <v>0</v>
      </c>
      <c r="AO61" s="951"/>
    </row>
    <row r="62" spans="1:41">
      <c r="A62" s="982">
        <v>1</v>
      </c>
      <c r="B62" s="1133" t="b">
        <v>1</v>
      </c>
      <c r="C62" s="1133" t="s">
        <v>1492</v>
      </c>
      <c r="D62" s="1133"/>
      <c r="E62" s="1133"/>
      <c r="F62" s="1133"/>
      <c r="G62" s="1133"/>
      <c r="H62" s="1133"/>
      <c r="I62" s="1133"/>
      <c r="J62" s="1133"/>
      <c r="K62" s="1133"/>
      <c r="L62" s="262" t="s">
        <v>17</v>
      </c>
      <c r="M62" s="263" t="s">
        <v>1153</v>
      </c>
      <c r="N62" s="259" t="s">
        <v>351</v>
      </c>
      <c r="O62" s="1149"/>
      <c r="P62" s="1149"/>
      <c r="Q62" s="1149"/>
      <c r="R62" s="1149"/>
      <c r="S62" s="1149"/>
      <c r="T62" s="1149"/>
      <c r="U62" s="1149"/>
      <c r="V62" s="1149"/>
      <c r="W62" s="1149"/>
      <c r="X62" s="1149"/>
      <c r="Y62" s="1149"/>
      <c r="Z62" s="1149"/>
      <c r="AA62" s="1149"/>
      <c r="AB62" s="1149"/>
      <c r="AC62" s="1149"/>
      <c r="AD62" s="1149"/>
      <c r="AE62" s="1149"/>
      <c r="AF62" s="1149"/>
      <c r="AG62" s="1149"/>
      <c r="AH62" s="1149"/>
      <c r="AI62" s="1149"/>
      <c r="AJ62" s="1149"/>
      <c r="AK62" s="1149"/>
      <c r="AL62" s="1149"/>
      <c r="AM62" s="1149"/>
      <c r="AN62" s="1149"/>
      <c r="AO62" s="951"/>
    </row>
    <row r="63" spans="1:41">
      <c r="A63" s="982">
        <v>1</v>
      </c>
      <c r="B63" s="1133" t="b">
        <v>1</v>
      </c>
      <c r="C63" s="1133" t="s">
        <v>1493</v>
      </c>
      <c r="D63" s="1133"/>
      <c r="E63" s="1133"/>
      <c r="F63" s="1133"/>
      <c r="G63" s="1133"/>
      <c r="H63" s="1133"/>
      <c r="I63" s="1133"/>
      <c r="J63" s="1133"/>
      <c r="K63" s="1133"/>
      <c r="L63" s="262" t="s">
        <v>138</v>
      </c>
      <c r="M63" s="263" t="s">
        <v>1154</v>
      </c>
      <c r="N63" s="259" t="s">
        <v>351</v>
      </c>
      <c r="O63" s="1149"/>
      <c r="P63" s="1149"/>
      <c r="Q63" s="1149"/>
      <c r="R63" s="1149"/>
      <c r="S63" s="1149"/>
      <c r="T63" s="1149"/>
      <c r="U63" s="1149"/>
      <c r="V63" s="1149"/>
      <c r="W63" s="1149"/>
      <c r="X63" s="1149"/>
      <c r="Y63" s="1149"/>
      <c r="Z63" s="1149"/>
      <c r="AA63" s="1149"/>
      <c r="AB63" s="1149"/>
      <c r="AC63" s="1149"/>
      <c r="AD63" s="1149"/>
      <c r="AE63" s="1149"/>
      <c r="AF63" s="1149"/>
      <c r="AG63" s="1149"/>
      <c r="AH63" s="1149"/>
      <c r="AI63" s="1149"/>
      <c r="AJ63" s="1149"/>
      <c r="AK63" s="1149"/>
      <c r="AL63" s="1149"/>
      <c r="AM63" s="1149"/>
      <c r="AN63" s="1149"/>
      <c r="AO63" s="951"/>
    </row>
    <row r="64" spans="1:41">
      <c r="A64" s="982">
        <v>1</v>
      </c>
      <c r="B64" s="1133" t="b">
        <v>1</v>
      </c>
      <c r="C64" s="1133" t="s">
        <v>1552</v>
      </c>
      <c r="D64" s="1133"/>
      <c r="E64" s="1133"/>
      <c r="F64" s="1133"/>
      <c r="G64" s="1133"/>
      <c r="H64" s="1133"/>
      <c r="I64" s="1133"/>
      <c r="J64" s="1133"/>
      <c r="K64" s="1133"/>
      <c r="L64" s="262" t="s">
        <v>151</v>
      </c>
      <c r="M64" s="263" t="s">
        <v>437</v>
      </c>
      <c r="N64" s="259" t="s">
        <v>351</v>
      </c>
      <c r="O64" s="1149"/>
      <c r="P64" s="1149"/>
      <c r="Q64" s="1149"/>
      <c r="R64" s="1149"/>
      <c r="S64" s="1149"/>
      <c r="T64" s="1149"/>
      <c r="U64" s="1149"/>
      <c r="V64" s="1149"/>
      <c r="W64" s="1149"/>
      <c r="X64" s="1149"/>
      <c r="Y64" s="1149"/>
      <c r="Z64" s="1149"/>
      <c r="AA64" s="1149"/>
      <c r="AB64" s="1149"/>
      <c r="AC64" s="1149"/>
      <c r="AD64" s="1149"/>
      <c r="AE64" s="1149"/>
      <c r="AF64" s="1149"/>
      <c r="AG64" s="1149"/>
      <c r="AH64" s="1149"/>
      <c r="AI64" s="1149"/>
      <c r="AJ64" s="1149"/>
      <c r="AK64" s="1149"/>
      <c r="AL64" s="1149"/>
      <c r="AM64" s="1149"/>
      <c r="AN64" s="1149"/>
      <c r="AO64" s="951"/>
    </row>
    <row r="65" spans="1:41" ht="21.75" customHeight="1">
      <c r="A65" s="1133"/>
      <c r="B65" s="1133"/>
      <c r="C65" s="1133"/>
      <c r="D65" s="1133"/>
      <c r="E65" s="1133"/>
      <c r="F65" s="1133"/>
      <c r="G65" s="1133"/>
      <c r="H65" s="1133"/>
      <c r="I65" s="1133"/>
      <c r="J65" s="1133"/>
      <c r="K65" s="1133"/>
      <c r="L65" s="1133"/>
      <c r="M65" s="1151" t="s">
        <v>1387</v>
      </c>
      <c r="N65" s="1133"/>
      <c r="O65" s="1133"/>
      <c r="P65" s="1133"/>
      <c r="Q65" s="1133"/>
      <c r="R65" s="1133"/>
      <c r="S65" s="1133"/>
      <c r="T65" s="1133"/>
      <c r="U65" s="1133"/>
      <c r="V65" s="1133"/>
      <c r="W65" s="1133"/>
      <c r="X65" s="1133"/>
      <c r="Y65" s="1133"/>
      <c r="Z65" s="1133"/>
      <c r="AA65" s="1133"/>
      <c r="AB65" s="1133"/>
      <c r="AC65" s="1133"/>
      <c r="AD65" s="1133"/>
      <c r="AE65" s="1133"/>
      <c r="AF65" s="1133"/>
      <c r="AG65" s="1133"/>
      <c r="AH65" s="1133"/>
      <c r="AI65" s="1133"/>
      <c r="AJ65" s="1133"/>
      <c r="AK65" s="1133"/>
      <c r="AL65" s="1133"/>
      <c r="AM65" s="1133"/>
      <c r="AN65" s="1133"/>
      <c r="AO65" s="1133"/>
    </row>
    <row r="66" spans="1:41" ht="15" customHeight="1">
      <c r="A66" s="1133"/>
      <c r="B66" s="1133"/>
      <c r="C66" s="1133"/>
      <c r="D66" s="1133"/>
      <c r="E66" s="1133"/>
      <c r="F66" s="1133"/>
      <c r="G66" s="1133"/>
      <c r="H66" s="1133"/>
      <c r="I66" s="1133"/>
      <c r="J66" s="1133"/>
      <c r="K66" s="1133"/>
      <c r="L66" s="1152" t="s">
        <v>1425</v>
      </c>
      <c r="M66" s="1153"/>
      <c r="N66" s="1153"/>
      <c r="O66" s="1153"/>
      <c r="P66" s="1153"/>
      <c r="Q66" s="1153"/>
      <c r="R66" s="1153"/>
      <c r="S66" s="1153"/>
      <c r="T66" s="1153"/>
      <c r="U66" s="1153"/>
      <c r="V66" s="1153"/>
      <c r="W66" s="1153"/>
      <c r="X66" s="1153"/>
      <c r="Y66" s="1153"/>
      <c r="Z66" s="1153"/>
      <c r="AA66" s="1153"/>
      <c r="AB66" s="1153"/>
      <c r="AC66" s="1153"/>
      <c r="AD66" s="1153"/>
      <c r="AE66" s="1153"/>
      <c r="AF66" s="1153"/>
      <c r="AG66" s="1153"/>
      <c r="AH66" s="1153"/>
      <c r="AI66" s="1153"/>
      <c r="AJ66" s="1153"/>
      <c r="AK66" s="1153"/>
      <c r="AL66" s="1153"/>
      <c r="AM66" s="1153"/>
      <c r="AN66" s="1153"/>
      <c r="AO66" s="1153"/>
    </row>
    <row r="67" spans="1:41" ht="15" customHeight="1">
      <c r="A67" s="1133"/>
      <c r="B67" s="1133"/>
      <c r="C67" s="1133"/>
      <c r="D67" s="1133"/>
      <c r="E67" s="1133"/>
      <c r="F67" s="1133"/>
      <c r="G67" s="1133"/>
      <c r="H67" s="1133"/>
      <c r="I67" s="1133"/>
      <c r="J67" s="1133"/>
      <c r="K67" s="807"/>
      <c r="L67" s="1154"/>
      <c r="M67" s="1154"/>
      <c r="N67" s="1154"/>
      <c r="O67" s="1154"/>
      <c r="P67" s="1154"/>
      <c r="Q67" s="1154"/>
      <c r="R67" s="1154"/>
      <c r="S67" s="1154"/>
      <c r="T67" s="1154"/>
      <c r="U67" s="1154"/>
      <c r="V67" s="1154"/>
      <c r="W67" s="1154"/>
      <c r="X67" s="1154"/>
      <c r="Y67" s="1154"/>
      <c r="Z67" s="1154"/>
      <c r="AA67" s="1154"/>
      <c r="AB67" s="1154"/>
      <c r="AC67" s="1154"/>
      <c r="AD67" s="1154"/>
      <c r="AE67" s="1154"/>
      <c r="AF67" s="1154"/>
      <c r="AG67" s="1154"/>
      <c r="AH67" s="1154"/>
      <c r="AI67" s="1154"/>
      <c r="AJ67" s="1154"/>
      <c r="AK67" s="1154"/>
      <c r="AL67" s="1154"/>
      <c r="AM67" s="1154"/>
      <c r="AN67" s="1154"/>
      <c r="AO67" s="1154"/>
    </row>
    <row r="68" spans="1:41">
      <c r="A68" s="1133"/>
      <c r="B68" s="1133"/>
      <c r="C68" s="1133"/>
      <c r="D68" s="1133"/>
      <c r="E68" s="1133"/>
      <c r="F68" s="1133"/>
      <c r="G68" s="1133"/>
      <c r="H68" s="1133"/>
      <c r="I68" s="1133"/>
      <c r="J68" s="1133"/>
      <c r="K68" s="1133"/>
      <c r="L68" s="1133"/>
      <c r="M68" s="1133"/>
      <c r="N68" s="1133"/>
      <c r="O68" s="1133"/>
      <c r="P68" s="1133"/>
      <c r="Q68" s="1133"/>
      <c r="R68" s="1133"/>
      <c r="S68" s="1133"/>
      <c r="T68" s="1133"/>
      <c r="U68" s="1133"/>
      <c r="V68" s="1133"/>
      <c r="W68" s="1133"/>
      <c r="X68" s="1133"/>
      <c r="Y68" s="1133"/>
      <c r="Z68" s="1133"/>
      <c r="AA68" s="1133"/>
      <c r="AB68" s="1133"/>
      <c r="AC68" s="1133"/>
      <c r="AD68" s="1133"/>
      <c r="AE68" s="1133"/>
      <c r="AF68" s="1155"/>
      <c r="AG68" s="1155"/>
      <c r="AH68" s="1155"/>
      <c r="AI68" s="1155"/>
      <c r="AJ68" s="1155"/>
      <c r="AK68" s="1155"/>
      <c r="AL68" s="1155"/>
      <c r="AM68" s="1155"/>
      <c r="AN68" s="1155"/>
      <c r="AO68" s="1133"/>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101" hidden="1" customWidth="1"/>
    <col min="11" max="11" width="3.7109375" style="101" hidden="1" customWidth="1"/>
    <col min="12" max="12" width="6.7109375" style="101" customWidth="1"/>
    <col min="13" max="13" width="50.7109375" style="101" customWidth="1"/>
    <col min="14" max="14" width="10.7109375" style="101" customWidth="1"/>
    <col min="15" max="19" width="13.28515625" style="101" customWidth="1"/>
    <col min="20" max="24" width="13.28515625" style="101" hidden="1" customWidth="1"/>
    <col min="25" max="29" width="13.28515625" style="101" customWidth="1"/>
    <col min="30" max="34" width="13.28515625" style="101" hidden="1" customWidth="1"/>
    <col min="35" max="35" width="20.7109375" style="101" customWidth="1"/>
    <col min="36" max="16384" width="9.140625" style="101"/>
  </cols>
  <sheetData>
    <row r="1" spans="1:35" hidden="1">
      <c r="A1" s="1133"/>
      <c r="B1" s="1133"/>
      <c r="C1" s="1133"/>
      <c r="D1" s="1133"/>
      <c r="E1" s="1133"/>
      <c r="F1" s="1133"/>
      <c r="G1" s="1133"/>
      <c r="H1" s="1133"/>
      <c r="I1" s="1133"/>
      <c r="J1" s="1133"/>
      <c r="K1" s="1133"/>
      <c r="L1" s="1133"/>
      <c r="M1" s="1133"/>
      <c r="N1" s="1133"/>
      <c r="O1" s="934">
        <v>2024</v>
      </c>
      <c r="P1" s="934">
        <v>2025</v>
      </c>
      <c r="Q1" s="934">
        <v>2026</v>
      </c>
      <c r="R1" s="934">
        <v>2027</v>
      </c>
      <c r="S1" s="934">
        <v>2028</v>
      </c>
      <c r="T1" s="934">
        <v>2029</v>
      </c>
      <c r="U1" s="934">
        <v>2030</v>
      </c>
      <c r="V1" s="934">
        <v>2031</v>
      </c>
      <c r="W1" s="934">
        <v>2032</v>
      </c>
      <c r="X1" s="934">
        <v>2033</v>
      </c>
      <c r="Y1" s="934">
        <v>2024</v>
      </c>
      <c r="Z1" s="934">
        <v>2025</v>
      </c>
      <c r="AA1" s="934">
        <v>2026</v>
      </c>
      <c r="AB1" s="934">
        <v>2027</v>
      </c>
      <c r="AC1" s="934">
        <v>2028</v>
      </c>
      <c r="AD1" s="934">
        <v>2029</v>
      </c>
      <c r="AE1" s="934">
        <v>2030</v>
      </c>
      <c r="AF1" s="934">
        <v>2031</v>
      </c>
      <c r="AG1" s="934">
        <v>2032</v>
      </c>
      <c r="AH1" s="934">
        <v>2033</v>
      </c>
      <c r="AI1" s="1133"/>
    </row>
    <row r="2" spans="1:35" hidden="1">
      <c r="A2" s="1133"/>
      <c r="B2" s="1133"/>
      <c r="C2" s="1133"/>
      <c r="D2" s="1133"/>
      <c r="E2" s="1133"/>
      <c r="F2" s="1133"/>
      <c r="G2" s="1133"/>
      <c r="H2" s="1133"/>
      <c r="I2" s="1133"/>
      <c r="J2" s="1133"/>
      <c r="K2" s="1133"/>
      <c r="L2" s="1133"/>
      <c r="M2" s="1133"/>
      <c r="N2" s="1133"/>
      <c r="O2" s="934" t="s">
        <v>438</v>
      </c>
      <c r="P2" s="934" t="s">
        <v>438</v>
      </c>
      <c r="Q2" s="934" t="s">
        <v>438</v>
      </c>
      <c r="R2" s="934" t="s">
        <v>438</v>
      </c>
      <c r="S2" s="934" t="s">
        <v>438</v>
      </c>
      <c r="T2" s="934" t="s">
        <v>438</v>
      </c>
      <c r="U2" s="934" t="s">
        <v>438</v>
      </c>
      <c r="V2" s="934" t="s">
        <v>438</v>
      </c>
      <c r="W2" s="934" t="s">
        <v>438</v>
      </c>
      <c r="X2" s="934" t="s">
        <v>438</v>
      </c>
      <c r="Y2" s="934" t="s">
        <v>267</v>
      </c>
      <c r="Z2" s="934" t="s">
        <v>267</v>
      </c>
      <c r="AA2" s="934" t="s">
        <v>267</v>
      </c>
      <c r="AB2" s="934" t="s">
        <v>267</v>
      </c>
      <c r="AC2" s="934" t="s">
        <v>267</v>
      </c>
      <c r="AD2" s="934" t="s">
        <v>267</v>
      </c>
      <c r="AE2" s="934" t="s">
        <v>267</v>
      </c>
      <c r="AF2" s="934" t="s">
        <v>267</v>
      </c>
      <c r="AG2" s="934" t="s">
        <v>267</v>
      </c>
      <c r="AH2" s="934" t="s">
        <v>267</v>
      </c>
      <c r="AI2" s="1133"/>
    </row>
    <row r="3" spans="1:35" hidden="1">
      <c r="A3" s="1133"/>
      <c r="B3" s="1133"/>
      <c r="C3" s="1133"/>
      <c r="D3" s="1133"/>
      <c r="E3" s="1133"/>
      <c r="F3" s="1133"/>
      <c r="G3" s="1133"/>
      <c r="H3" s="1133"/>
      <c r="I3" s="1133"/>
      <c r="J3" s="1133"/>
      <c r="K3" s="1133"/>
      <c r="L3" s="1133"/>
      <c r="M3" s="1133"/>
      <c r="N3" s="1133"/>
      <c r="O3" s="934"/>
      <c r="P3" s="934"/>
      <c r="Q3" s="934"/>
      <c r="R3" s="934"/>
      <c r="S3" s="934"/>
      <c r="T3" s="934"/>
      <c r="U3" s="934"/>
      <c r="V3" s="934"/>
      <c r="W3" s="934"/>
      <c r="X3" s="934"/>
      <c r="Y3" s="934"/>
      <c r="Z3" s="934"/>
      <c r="AA3" s="934"/>
      <c r="AB3" s="934"/>
      <c r="AC3" s="934"/>
      <c r="AD3" s="934"/>
      <c r="AE3" s="934"/>
      <c r="AF3" s="934"/>
      <c r="AG3" s="934"/>
      <c r="AH3" s="934"/>
      <c r="AI3" s="1133"/>
    </row>
    <row r="4" spans="1:35" hidden="1">
      <c r="A4" s="1133"/>
      <c r="B4" s="1133"/>
      <c r="C4" s="1133"/>
      <c r="D4" s="1133"/>
      <c r="E4" s="1133"/>
      <c r="F4" s="1133"/>
      <c r="G4" s="1133"/>
      <c r="H4" s="1133"/>
      <c r="I4" s="1133"/>
      <c r="J4" s="1133"/>
      <c r="K4" s="1133"/>
      <c r="L4" s="1133"/>
      <c r="M4" s="1133"/>
      <c r="N4" s="1133"/>
      <c r="O4" s="934"/>
      <c r="P4" s="934"/>
      <c r="Q4" s="934"/>
      <c r="R4" s="934"/>
      <c r="S4" s="934"/>
      <c r="T4" s="934"/>
      <c r="U4" s="934"/>
      <c r="V4" s="934"/>
      <c r="W4" s="934"/>
      <c r="X4" s="934"/>
      <c r="Y4" s="934"/>
      <c r="Z4" s="934"/>
      <c r="AA4" s="934"/>
      <c r="AB4" s="934"/>
      <c r="AC4" s="934"/>
      <c r="AD4" s="934"/>
      <c r="AE4" s="934"/>
      <c r="AF4" s="934"/>
      <c r="AG4" s="934"/>
      <c r="AH4" s="934"/>
      <c r="AI4" s="1133"/>
    </row>
    <row r="5" spans="1:35" hidden="1">
      <c r="A5" s="1133"/>
      <c r="B5" s="1133"/>
      <c r="C5" s="1133"/>
      <c r="D5" s="1133"/>
      <c r="E5" s="1133"/>
      <c r="F5" s="1133"/>
      <c r="G5" s="1133"/>
      <c r="H5" s="1133"/>
      <c r="I5" s="1133"/>
      <c r="J5" s="1133"/>
      <c r="K5" s="1133"/>
      <c r="L5" s="1133"/>
      <c r="M5" s="1133"/>
      <c r="N5" s="1133"/>
      <c r="O5" s="934"/>
      <c r="P5" s="934"/>
      <c r="Q5" s="934"/>
      <c r="R5" s="934"/>
      <c r="S5" s="934"/>
      <c r="T5" s="934"/>
      <c r="U5" s="934"/>
      <c r="V5" s="934"/>
      <c r="W5" s="934"/>
      <c r="X5" s="934"/>
      <c r="Y5" s="934"/>
      <c r="Z5" s="934"/>
      <c r="AA5" s="934"/>
      <c r="AB5" s="934"/>
      <c r="AC5" s="934"/>
      <c r="AD5" s="934"/>
      <c r="AE5" s="934"/>
      <c r="AF5" s="934"/>
      <c r="AG5" s="934"/>
      <c r="AH5" s="934"/>
      <c r="AI5" s="1133"/>
    </row>
    <row r="6" spans="1:35" hidden="1">
      <c r="A6" s="1133"/>
      <c r="B6" s="1133"/>
      <c r="C6" s="1133"/>
      <c r="D6" s="1133"/>
      <c r="E6" s="1133"/>
      <c r="F6" s="1133"/>
      <c r="G6" s="1133"/>
      <c r="H6" s="1133"/>
      <c r="I6" s="1133"/>
      <c r="J6" s="1133"/>
      <c r="K6" s="1133"/>
      <c r="L6" s="1133"/>
      <c r="M6" s="1133"/>
      <c r="N6" s="1133"/>
      <c r="O6" s="934"/>
      <c r="P6" s="934"/>
      <c r="Q6" s="934"/>
      <c r="R6" s="934"/>
      <c r="S6" s="934"/>
      <c r="T6" s="934"/>
      <c r="U6" s="934"/>
      <c r="V6" s="934"/>
      <c r="W6" s="934"/>
      <c r="X6" s="934"/>
      <c r="Y6" s="934"/>
      <c r="Z6" s="934"/>
      <c r="AA6" s="934"/>
      <c r="AB6" s="934"/>
      <c r="AC6" s="934"/>
      <c r="AD6" s="934"/>
      <c r="AE6" s="934"/>
      <c r="AF6" s="934"/>
      <c r="AG6" s="934"/>
      <c r="AH6" s="934"/>
      <c r="AI6" s="1133"/>
    </row>
    <row r="7" spans="1:35" hidden="1">
      <c r="A7" s="1133"/>
      <c r="B7" s="1133"/>
      <c r="C7" s="1133"/>
      <c r="D7" s="1133"/>
      <c r="E7" s="1133"/>
      <c r="F7" s="1133"/>
      <c r="G7" s="1133"/>
      <c r="H7" s="1133"/>
      <c r="I7" s="1133"/>
      <c r="J7" s="1133"/>
      <c r="K7" s="1133"/>
      <c r="L7" s="1133"/>
      <c r="M7" s="1133"/>
      <c r="N7" s="1133"/>
      <c r="O7" s="886" t="b">
        <v>1</v>
      </c>
      <c r="P7" s="886" t="b">
        <v>1</v>
      </c>
      <c r="Q7" s="886" t="b">
        <v>1</v>
      </c>
      <c r="R7" s="886" t="b">
        <v>1</v>
      </c>
      <c r="S7" s="886" t="b">
        <v>1</v>
      </c>
      <c r="T7" s="886" t="b">
        <v>0</v>
      </c>
      <c r="U7" s="886" t="b">
        <v>0</v>
      </c>
      <c r="V7" s="886" t="b">
        <v>0</v>
      </c>
      <c r="W7" s="886" t="b">
        <v>0</v>
      </c>
      <c r="X7" s="886" t="b">
        <v>0</v>
      </c>
      <c r="Y7" s="886" t="b">
        <v>1</v>
      </c>
      <c r="Z7" s="886" t="b">
        <v>1</v>
      </c>
      <c r="AA7" s="886" t="b">
        <v>1</v>
      </c>
      <c r="AB7" s="886" t="b">
        <v>1</v>
      </c>
      <c r="AC7" s="886" t="b">
        <v>1</v>
      </c>
      <c r="AD7" s="886" t="b">
        <v>0</v>
      </c>
      <c r="AE7" s="886" t="b">
        <v>0</v>
      </c>
      <c r="AF7" s="886" t="b">
        <v>0</v>
      </c>
      <c r="AG7" s="886" t="b">
        <v>0</v>
      </c>
      <c r="AH7" s="886" t="b">
        <v>0</v>
      </c>
      <c r="AI7" s="1133"/>
    </row>
    <row r="8" spans="1:35" hidden="1">
      <c r="A8" s="1133"/>
      <c r="B8" s="1133"/>
      <c r="C8" s="1133"/>
      <c r="D8" s="1133"/>
      <c r="E8" s="1133"/>
      <c r="F8" s="1133"/>
      <c r="G8" s="1133"/>
      <c r="H8" s="1133"/>
      <c r="I8" s="1133"/>
      <c r="J8" s="1133"/>
      <c r="K8" s="1133"/>
      <c r="L8" s="1133"/>
      <c r="M8" s="1133"/>
      <c r="N8" s="1133"/>
      <c r="O8" s="1133"/>
      <c r="P8" s="1133"/>
      <c r="Q8" s="1133"/>
      <c r="R8" s="1133"/>
      <c r="S8" s="1133"/>
      <c r="T8" s="1133"/>
      <c r="U8" s="1133"/>
      <c r="V8" s="1133"/>
      <c r="W8" s="1133"/>
      <c r="X8" s="1133"/>
      <c r="Y8" s="1133"/>
      <c r="Z8" s="1133"/>
      <c r="AA8" s="1133"/>
      <c r="AB8" s="1133"/>
      <c r="AC8" s="1133"/>
      <c r="AD8" s="1133"/>
      <c r="AE8" s="1133"/>
      <c r="AF8" s="1133"/>
      <c r="AG8" s="1133"/>
      <c r="AH8" s="1133"/>
      <c r="AI8" s="1133"/>
    </row>
    <row r="9" spans="1:35" hidden="1">
      <c r="A9" s="1133"/>
      <c r="B9" s="1133"/>
      <c r="C9" s="1133"/>
      <c r="D9" s="1133"/>
      <c r="E9" s="1133"/>
      <c r="F9" s="1133"/>
      <c r="G9" s="1133"/>
      <c r="H9" s="1133"/>
      <c r="I9" s="1133"/>
      <c r="J9" s="1133"/>
      <c r="K9" s="1133"/>
      <c r="L9" s="1133"/>
      <c r="M9" s="1133"/>
      <c r="N9" s="1133"/>
      <c r="O9" s="1133"/>
      <c r="P9" s="1133"/>
      <c r="Q9" s="1133"/>
      <c r="R9" s="1133"/>
      <c r="S9" s="1133"/>
      <c r="T9" s="1133"/>
      <c r="U9" s="1133"/>
      <c r="V9" s="1133"/>
      <c r="W9" s="1133"/>
      <c r="X9" s="1133"/>
      <c r="Y9" s="1133"/>
      <c r="Z9" s="1133"/>
      <c r="AA9" s="1133"/>
      <c r="AB9" s="1133"/>
      <c r="AC9" s="1133"/>
      <c r="AD9" s="1133"/>
      <c r="AE9" s="1133"/>
      <c r="AF9" s="1133"/>
      <c r="AG9" s="1133"/>
      <c r="AH9" s="1133"/>
      <c r="AI9" s="1133"/>
    </row>
    <row r="10" spans="1:35" hidden="1">
      <c r="A10" s="1133"/>
      <c r="B10" s="1133"/>
      <c r="C10" s="1133"/>
      <c r="D10" s="1133"/>
      <c r="E10" s="1133"/>
      <c r="F10" s="1133"/>
      <c r="G10" s="1133"/>
      <c r="H10" s="1133"/>
      <c r="I10" s="1133"/>
      <c r="J10" s="1133"/>
      <c r="K10" s="1133"/>
      <c r="L10" s="1133"/>
      <c r="M10" s="1133"/>
      <c r="N10" s="1133"/>
      <c r="O10" s="1133"/>
      <c r="P10" s="1133"/>
      <c r="Q10" s="1133"/>
      <c r="R10" s="1133"/>
      <c r="S10" s="1133"/>
      <c r="T10" s="1133"/>
      <c r="U10" s="1133"/>
      <c r="V10" s="1133"/>
      <c r="W10" s="1133"/>
      <c r="X10" s="1133"/>
      <c r="Y10" s="1133"/>
      <c r="Z10" s="1133"/>
      <c r="AA10" s="1133"/>
      <c r="AB10" s="1133"/>
      <c r="AC10" s="1133"/>
      <c r="AD10" s="1133"/>
      <c r="AE10" s="1133"/>
      <c r="AF10" s="1133"/>
      <c r="AG10" s="1133"/>
      <c r="AH10" s="1133"/>
      <c r="AI10" s="1133"/>
    </row>
    <row r="11" spans="1:35" ht="15" hidden="1" customHeight="1">
      <c r="A11" s="1133"/>
      <c r="B11" s="1133"/>
      <c r="C11" s="1133"/>
      <c r="D11" s="1133"/>
      <c r="E11" s="1133"/>
      <c r="F11" s="1133"/>
      <c r="G11" s="1133"/>
      <c r="H11" s="1133"/>
      <c r="I11" s="1133"/>
      <c r="J11" s="1133"/>
      <c r="K11" s="1133"/>
      <c r="L11" s="1156"/>
      <c r="M11" s="1157"/>
      <c r="N11" s="1156"/>
      <c r="O11" s="1156"/>
      <c r="P11" s="1156"/>
      <c r="Q11" s="1156"/>
      <c r="R11" s="1156"/>
      <c r="S11" s="1156"/>
      <c r="T11" s="1156"/>
      <c r="U11" s="1156"/>
      <c r="V11" s="1156"/>
      <c r="W11" s="1156"/>
      <c r="X11" s="1156"/>
      <c r="Y11" s="1156"/>
      <c r="Z11" s="1156"/>
      <c r="AA11" s="1156"/>
      <c r="AB11" s="1156"/>
      <c r="AC11" s="1156"/>
      <c r="AD11" s="1156"/>
      <c r="AE11" s="1156"/>
      <c r="AF11" s="1156"/>
      <c r="AG11" s="1156"/>
      <c r="AH11" s="1156"/>
      <c r="AI11" s="1133"/>
    </row>
    <row r="12" spans="1:35" ht="20.100000000000001" customHeight="1">
      <c r="A12" s="1133"/>
      <c r="B12" s="1133"/>
      <c r="C12" s="1133"/>
      <c r="D12" s="1133"/>
      <c r="E12" s="1133"/>
      <c r="F12" s="1133"/>
      <c r="G12" s="1133"/>
      <c r="H12" s="1133"/>
      <c r="I12" s="1133"/>
      <c r="J12" s="1133"/>
      <c r="K12" s="1133"/>
      <c r="L12" s="436" t="s">
        <v>1336</v>
      </c>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row>
    <row r="13" spans="1:35" ht="11.25" customHeight="1">
      <c r="A13" s="1133"/>
      <c r="B13" s="1133"/>
      <c r="C13" s="1133"/>
      <c r="D13" s="1133"/>
      <c r="E13" s="1133"/>
      <c r="F13" s="1133"/>
      <c r="G13" s="1133"/>
      <c r="H13" s="1133"/>
      <c r="I13" s="1133"/>
      <c r="J13" s="1133"/>
      <c r="K13" s="1133"/>
      <c r="L13" s="1156"/>
      <c r="M13" s="1156"/>
      <c r="N13" s="1156"/>
      <c r="O13" s="1156"/>
      <c r="P13" s="1156"/>
      <c r="Q13" s="1156"/>
      <c r="R13" s="1156"/>
      <c r="S13" s="1156"/>
      <c r="T13" s="1156"/>
      <c r="U13" s="1156"/>
      <c r="V13" s="1156"/>
      <c r="W13" s="1156"/>
      <c r="X13" s="1156"/>
      <c r="Y13" s="1156"/>
      <c r="Z13" s="1156"/>
      <c r="AA13" s="1156"/>
      <c r="AB13" s="1156"/>
      <c r="AC13" s="1156"/>
      <c r="AD13" s="1156"/>
      <c r="AE13" s="1156"/>
      <c r="AF13" s="1156"/>
      <c r="AG13" s="1156"/>
      <c r="AH13" s="1156"/>
      <c r="AI13" s="1133"/>
    </row>
    <row r="14" spans="1:35" ht="21.6" customHeight="1">
      <c r="A14" s="1133"/>
      <c r="B14" s="1133"/>
      <c r="C14" s="1133"/>
      <c r="D14" s="1133"/>
      <c r="E14" s="1133"/>
      <c r="F14" s="1133"/>
      <c r="G14" s="1133"/>
      <c r="H14" s="1133"/>
      <c r="I14" s="1133"/>
      <c r="J14" s="1133"/>
      <c r="K14" s="1133"/>
      <c r="L14" s="901" t="s">
        <v>16</v>
      </c>
      <c r="M14" s="1158" t="s">
        <v>134</v>
      </c>
      <c r="N14" s="1158" t="s">
        <v>135</v>
      </c>
      <c r="O14" s="940" t="s">
        <v>3022</v>
      </c>
      <c r="P14" s="940" t="s">
        <v>3060</v>
      </c>
      <c r="Q14" s="940" t="s">
        <v>3061</v>
      </c>
      <c r="R14" s="940" t="s">
        <v>3062</v>
      </c>
      <c r="S14" s="940" t="s">
        <v>3063</v>
      </c>
      <c r="T14" s="940" t="s">
        <v>3064</v>
      </c>
      <c r="U14" s="940" t="s">
        <v>3065</v>
      </c>
      <c r="V14" s="940" t="s">
        <v>3066</v>
      </c>
      <c r="W14" s="940" t="s">
        <v>3067</v>
      </c>
      <c r="X14" s="940" t="s">
        <v>3068</v>
      </c>
      <c r="Y14" s="940" t="s">
        <v>3022</v>
      </c>
      <c r="Z14" s="940" t="s">
        <v>3060</v>
      </c>
      <c r="AA14" s="940" t="s">
        <v>3061</v>
      </c>
      <c r="AB14" s="940" t="s">
        <v>3062</v>
      </c>
      <c r="AC14" s="940" t="s">
        <v>3063</v>
      </c>
      <c r="AD14" s="940" t="s">
        <v>3064</v>
      </c>
      <c r="AE14" s="940" t="s">
        <v>3065</v>
      </c>
      <c r="AF14" s="940" t="s">
        <v>3066</v>
      </c>
      <c r="AG14" s="940" t="s">
        <v>3067</v>
      </c>
      <c r="AH14" s="940" t="s">
        <v>3068</v>
      </c>
      <c r="AI14" s="1141" t="s">
        <v>304</v>
      </c>
    </row>
    <row r="15" spans="1:35" ht="57.75" customHeight="1">
      <c r="A15" s="1133"/>
      <c r="B15" s="1133"/>
      <c r="C15" s="1133"/>
      <c r="D15" s="1133"/>
      <c r="E15" s="1133"/>
      <c r="F15" s="1133"/>
      <c r="G15" s="1133"/>
      <c r="H15" s="1133"/>
      <c r="I15" s="1133"/>
      <c r="J15" s="1133"/>
      <c r="K15" s="1133"/>
      <c r="L15" s="901"/>
      <c r="M15" s="1158"/>
      <c r="N15" s="1158"/>
      <c r="O15" s="1139" t="s">
        <v>438</v>
      </c>
      <c r="P15" s="1139" t="s">
        <v>438</v>
      </c>
      <c r="Q15" s="1139" t="s">
        <v>438</v>
      </c>
      <c r="R15" s="1139" t="s">
        <v>438</v>
      </c>
      <c r="S15" s="1139" t="s">
        <v>438</v>
      </c>
      <c r="T15" s="1139" t="s">
        <v>438</v>
      </c>
      <c r="U15" s="1139" t="s">
        <v>438</v>
      </c>
      <c r="V15" s="1139" t="s">
        <v>438</v>
      </c>
      <c r="W15" s="1139" t="s">
        <v>438</v>
      </c>
      <c r="X15" s="1139" t="s">
        <v>438</v>
      </c>
      <c r="Y15" s="1139" t="s">
        <v>267</v>
      </c>
      <c r="Z15" s="1139" t="s">
        <v>267</v>
      </c>
      <c r="AA15" s="1139" t="s">
        <v>267</v>
      </c>
      <c r="AB15" s="1139" t="s">
        <v>267</v>
      </c>
      <c r="AC15" s="1139" t="s">
        <v>267</v>
      </c>
      <c r="AD15" s="1139" t="s">
        <v>267</v>
      </c>
      <c r="AE15" s="1139" t="s">
        <v>267</v>
      </c>
      <c r="AF15" s="1139" t="s">
        <v>267</v>
      </c>
      <c r="AG15" s="1139" t="s">
        <v>267</v>
      </c>
      <c r="AH15" s="1139" t="s">
        <v>267</v>
      </c>
      <c r="AI15" s="1141"/>
    </row>
    <row r="16" spans="1:35" s="80" customFormat="1">
      <c r="A16" s="944" t="s">
        <v>18</v>
      </c>
      <c r="B16" s="927"/>
      <c r="C16" s="927"/>
      <c r="D16" s="927"/>
      <c r="E16" s="927"/>
      <c r="F16" s="927"/>
      <c r="G16" s="927"/>
      <c r="H16" s="927"/>
      <c r="I16" s="927"/>
      <c r="J16" s="927"/>
      <c r="K16" s="927"/>
      <c r="L16" s="1061" t="s">
        <v>3018</v>
      </c>
      <c r="M16" s="1150"/>
      <c r="N16" s="1150"/>
      <c r="O16" s="1150"/>
      <c r="P16" s="1150"/>
      <c r="Q16" s="1150"/>
      <c r="R16" s="1150"/>
      <c r="S16" s="1150"/>
      <c r="T16" s="1150"/>
      <c r="U16" s="1150"/>
      <c r="V16" s="1150"/>
      <c r="W16" s="1150"/>
      <c r="X16" s="1150"/>
      <c r="Y16" s="1150"/>
      <c r="Z16" s="1150"/>
      <c r="AA16" s="1150"/>
      <c r="AB16" s="1150"/>
      <c r="AC16" s="1150"/>
      <c r="AD16" s="1150"/>
      <c r="AE16" s="1150"/>
      <c r="AF16" s="1150"/>
      <c r="AG16" s="1150"/>
      <c r="AH16" s="1150"/>
      <c r="AI16" s="1150"/>
    </row>
    <row r="17" spans="1:35" s="267" customFormat="1">
      <c r="A17" s="982">
        <v>1</v>
      </c>
      <c r="B17" s="1133" t="s">
        <v>1480</v>
      </c>
      <c r="C17" s="1146"/>
      <c r="D17" s="1146"/>
      <c r="E17" s="1146"/>
      <c r="F17" s="1146"/>
      <c r="G17" s="1146"/>
      <c r="H17" s="1146"/>
      <c r="I17" s="1146"/>
      <c r="J17" s="1146"/>
      <c r="K17" s="1146"/>
      <c r="L17" s="1159" t="s">
        <v>18</v>
      </c>
      <c r="M17" s="274" t="s">
        <v>439</v>
      </c>
      <c r="N17" s="275" t="s">
        <v>351</v>
      </c>
      <c r="O17" s="1160">
        <v>0</v>
      </c>
      <c r="P17" s="1161">
        <v>0</v>
      </c>
      <c r="Q17" s="1161">
        <v>0</v>
      </c>
      <c r="R17" s="1161">
        <v>0</v>
      </c>
      <c r="S17" s="1161">
        <v>0</v>
      </c>
      <c r="T17" s="1161">
        <v>0</v>
      </c>
      <c r="U17" s="1161">
        <v>0</v>
      </c>
      <c r="V17" s="1161">
        <v>0</v>
      </c>
      <c r="W17" s="1161">
        <v>0</v>
      </c>
      <c r="X17" s="1161">
        <v>0</v>
      </c>
      <c r="Y17" s="1160">
        <v>0</v>
      </c>
      <c r="Z17" s="1161">
        <v>0</v>
      </c>
      <c r="AA17" s="1161">
        <v>0</v>
      </c>
      <c r="AB17" s="1161">
        <v>0</v>
      </c>
      <c r="AC17" s="1161">
        <v>0</v>
      </c>
      <c r="AD17" s="1161">
        <v>0</v>
      </c>
      <c r="AE17" s="1161">
        <v>0</v>
      </c>
      <c r="AF17" s="1161">
        <v>0</v>
      </c>
      <c r="AG17" s="1161">
        <v>0</v>
      </c>
      <c r="AH17" s="1161">
        <v>0</v>
      </c>
      <c r="AI17" s="951"/>
    </row>
    <row r="18" spans="1:35">
      <c r="A18" s="982">
        <v>1</v>
      </c>
      <c r="B18" s="1133" t="s">
        <v>1491</v>
      </c>
      <c r="C18" s="1133"/>
      <c r="D18" s="1133"/>
      <c r="E18" s="1133"/>
      <c r="F18" s="1133"/>
      <c r="G18" s="1133"/>
      <c r="H18" s="1133"/>
      <c r="I18" s="1133"/>
      <c r="J18" s="1133"/>
      <c r="K18" s="1133"/>
      <c r="L18" s="1162" t="s">
        <v>149</v>
      </c>
      <c r="M18" s="278" t="s">
        <v>440</v>
      </c>
      <c r="N18" s="277" t="s">
        <v>351</v>
      </c>
      <c r="O18" s="1163"/>
      <c r="P18" s="1164"/>
      <c r="Q18" s="1164"/>
      <c r="R18" s="1164"/>
      <c r="S18" s="1164"/>
      <c r="T18" s="1164"/>
      <c r="U18" s="1164"/>
      <c r="V18" s="1164"/>
      <c r="W18" s="1164"/>
      <c r="X18" s="1164"/>
      <c r="Y18" s="1163"/>
      <c r="Z18" s="1164"/>
      <c r="AA18" s="1164"/>
      <c r="AB18" s="1164"/>
      <c r="AC18" s="1164"/>
      <c r="AD18" s="1164"/>
      <c r="AE18" s="1164"/>
      <c r="AF18" s="1164"/>
      <c r="AG18" s="1164"/>
      <c r="AH18" s="1164"/>
      <c r="AI18" s="951"/>
    </row>
    <row r="19" spans="1:35" ht="22.5">
      <c r="A19" s="982">
        <v>1</v>
      </c>
      <c r="B19" s="1133" t="s">
        <v>1489</v>
      </c>
      <c r="C19" s="1133"/>
      <c r="D19" s="1133"/>
      <c r="E19" s="1133"/>
      <c r="F19" s="1133"/>
      <c r="G19" s="1133"/>
      <c r="H19" s="1133"/>
      <c r="I19" s="1133"/>
      <c r="J19" s="1133"/>
      <c r="K19" s="1133"/>
      <c r="L19" s="1162" t="s">
        <v>150</v>
      </c>
      <c r="M19" s="278" t="s">
        <v>441</v>
      </c>
      <c r="N19" s="277" t="s">
        <v>351</v>
      </c>
      <c r="O19" s="1163"/>
      <c r="P19" s="1164"/>
      <c r="Q19" s="1164"/>
      <c r="R19" s="1164"/>
      <c r="S19" s="1164"/>
      <c r="T19" s="1164"/>
      <c r="U19" s="1164"/>
      <c r="V19" s="1164"/>
      <c r="W19" s="1164"/>
      <c r="X19" s="1164"/>
      <c r="Y19" s="1163"/>
      <c r="Z19" s="1164"/>
      <c r="AA19" s="1164"/>
      <c r="AB19" s="1164"/>
      <c r="AC19" s="1164"/>
      <c r="AD19" s="1164"/>
      <c r="AE19" s="1164"/>
      <c r="AF19" s="1164"/>
      <c r="AG19" s="1164"/>
      <c r="AH19" s="1164"/>
      <c r="AI19" s="951"/>
    </row>
    <row r="20" spans="1:35" ht="33.75">
      <c r="A20" s="982">
        <v>1</v>
      </c>
      <c r="B20" s="1133" t="s">
        <v>1490</v>
      </c>
      <c r="C20" s="1133"/>
      <c r="D20" s="1133"/>
      <c r="E20" s="1133"/>
      <c r="F20" s="1133"/>
      <c r="G20" s="1133"/>
      <c r="H20" s="1133"/>
      <c r="I20" s="1133"/>
      <c r="J20" s="1133"/>
      <c r="K20" s="1133"/>
      <c r="L20" s="1162" t="s">
        <v>359</v>
      </c>
      <c r="M20" s="278" t="s">
        <v>442</v>
      </c>
      <c r="N20" s="277" t="s">
        <v>351</v>
      </c>
      <c r="O20" s="1163"/>
      <c r="P20" s="1164"/>
      <c r="Q20" s="1164"/>
      <c r="R20" s="1164"/>
      <c r="S20" s="1164"/>
      <c r="T20" s="1164"/>
      <c r="U20" s="1164"/>
      <c r="V20" s="1164"/>
      <c r="W20" s="1164"/>
      <c r="X20" s="1164"/>
      <c r="Y20" s="1163"/>
      <c r="Z20" s="1164"/>
      <c r="AA20" s="1164"/>
      <c r="AB20" s="1164"/>
      <c r="AC20" s="1164"/>
      <c r="AD20" s="1164"/>
      <c r="AE20" s="1164"/>
      <c r="AF20" s="1164"/>
      <c r="AG20" s="1164"/>
      <c r="AH20" s="1164"/>
      <c r="AI20" s="951"/>
    </row>
    <row r="21" spans="1:35">
      <c r="A21" s="982">
        <v>1</v>
      </c>
      <c r="B21" s="1133" t="s">
        <v>1481</v>
      </c>
      <c r="C21" s="1133"/>
      <c r="D21" s="1133"/>
      <c r="E21" s="1133"/>
      <c r="F21" s="1133"/>
      <c r="G21" s="1133"/>
      <c r="H21" s="1133"/>
      <c r="I21" s="1133"/>
      <c r="J21" s="1133"/>
      <c r="K21" s="1133"/>
      <c r="L21" s="1162" t="s">
        <v>102</v>
      </c>
      <c r="M21" s="276" t="s">
        <v>443</v>
      </c>
      <c r="N21" s="277" t="s">
        <v>137</v>
      </c>
      <c r="O21" s="1165">
        <v>107.2</v>
      </c>
      <c r="P21" s="1165">
        <v>0</v>
      </c>
      <c r="Q21" s="1165">
        <v>0</v>
      </c>
      <c r="R21" s="1165">
        <v>0</v>
      </c>
      <c r="S21" s="1165">
        <v>0</v>
      </c>
      <c r="T21" s="1165">
        <v>0</v>
      </c>
      <c r="U21" s="1165">
        <v>0</v>
      </c>
      <c r="V21" s="1165">
        <v>0</v>
      </c>
      <c r="W21" s="1165">
        <v>0</v>
      </c>
      <c r="X21" s="1165">
        <v>0</v>
      </c>
      <c r="Y21" s="1165">
        <v>107.2</v>
      </c>
      <c r="Z21" s="1165">
        <v>0</v>
      </c>
      <c r="AA21" s="1165">
        <v>0</v>
      </c>
      <c r="AB21" s="1165">
        <v>0</v>
      </c>
      <c r="AC21" s="1165">
        <v>0</v>
      </c>
      <c r="AD21" s="1165">
        <v>0</v>
      </c>
      <c r="AE21" s="1165">
        <v>0</v>
      </c>
      <c r="AF21" s="1165">
        <v>0</v>
      </c>
      <c r="AG21" s="1165">
        <v>0</v>
      </c>
      <c r="AH21" s="1165">
        <v>0</v>
      </c>
      <c r="AI21" s="951"/>
    </row>
    <row r="22" spans="1:35">
      <c r="A22" s="982">
        <v>1</v>
      </c>
      <c r="B22" s="1133" t="s">
        <v>1483</v>
      </c>
      <c r="C22" s="1133"/>
      <c r="D22" s="1133"/>
      <c r="E22" s="1133"/>
      <c r="F22" s="1133"/>
      <c r="G22" s="1133"/>
      <c r="H22" s="1133"/>
      <c r="I22" s="1133"/>
      <c r="J22" s="1133"/>
      <c r="K22" s="1133"/>
      <c r="L22" s="1166">
        <v>3</v>
      </c>
      <c r="M22" s="276" t="s">
        <v>444</v>
      </c>
      <c r="N22" s="277" t="s">
        <v>137</v>
      </c>
      <c r="O22" s="1167">
        <v>107.2</v>
      </c>
      <c r="P22" s="1168">
        <v>0</v>
      </c>
      <c r="Q22" s="1168">
        <v>0</v>
      </c>
      <c r="R22" s="1168">
        <v>0</v>
      </c>
      <c r="S22" s="1168">
        <v>0</v>
      </c>
      <c r="T22" s="1168">
        <v>0</v>
      </c>
      <c r="U22" s="1168">
        <v>0</v>
      </c>
      <c r="V22" s="1168">
        <v>0</v>
      </c>
      <c r="W22" s="1168">
        <v>0</v>
      </c>
      <c r="X22" s="1168">
        <v>0</v>
      </c>
      <c r="Y22" s="1168">
        <v>0</v>
      </c>
      <c r="Z22" s="1168">
        <v>0</v>
      </c>
      <c r="AA22" s="1168">
        <v>0</v>
      </c>
      <c r="AB22" s="1168">
        <v>0</v>
      </c>
      <c r="AC22" s="1168">
        <v>0</v>
      </c>
      <c r="AD22" s="1168">
        <v>0</v>
      </c>
      <c r="AE22" s="1168">
        <v>0</v>
      </c>
      <c r="AF22" s="1168">
        <v>0</v>
      </c>
      <c r="AG22" s="1168">
        <v>0</v>
      </c>
      <c r="AH22" s="1168">
        <v>0</v>
      </c>
      <c r="AI22" s="951"/>
    </row>
    <row r="23" spans="1:35" s="267" customFormat="1">
      <c r="A23" s="982">
        <v>1</v>
      </c>
      <c r="B23" s="1133" t="s">
        <v>1484</v>
      </c>
      <c r="C23" s="1146"/>
      <c r="D23" s="1146"/>
      <c r="E23" s="1146"/>
      <c r="F23" s="1146"/>
      <c r="G23" s="1146"/>
      <c r="H23" s="1146"/>
      <c r="I23" s="1146"/>
      <c r="J23" s="1146"/>
      <c r="K23" s="1146"/>
      <c r="L23" s="1159" t="s">
        <v>104</v>
      </c>
      <c r="M23" s="274" t="s">
        <v>445</v>
      </c>
      <c r="N23" s="275" t="s">
        <v>351</v>
      </c>
      <c r="O23" s="1160">
        <v>0</v>
      </c>
      <c r="P23" s="1160">
        <v>0</v>
      </c>
      <c r="Q23" s="1160">
        <v>0</v>
      </c>
      <c r="R23" s="1160">
        <v>0</v>
      </c>
      <c r="S23" s="1160">
        <v>0</v>
      </c>
      <c r="T23" s="1160">
        <v>0</v>
      </c>
      <c r="U23" s="1160">
        <v>0</v>
      </c>
      <c r="V23" s="1160">
        <v>0</v>
      </c>
      <c r="W23" s="1160">
        <v>0</v>
      </c>
      <c r="X23" s="1160">
        <v>0</v>
      </c>
      <c r="Y23" s="1160">
        <v>0</v>
      </c>
      <c r="Z23" s="1160">
        <v>0</v>
      </c>
      <c r="AA23" s="1160">
        <v>0</v>
      </c>
      <c r="AB23" s="1160">
        <v>0</v>
      </c>
      <c r="AC23" s="1160">
        <v>0</v>
      </c>
      <c r="AD23" s="1160">
        <v>0</v>
      </c>
      <c r="AE23" s="1160">
        <v>0</v>
      </c>
      <c r="AF23" s="1160">
        <v>0</v>
      </c>
      <c r="AG23" s="1160">
        <v>0</v>
      </c>
      <c r="AH23" s="1160">
        <v>0</v>
      </c>
      <c r="AI23" s="951"/>
    </row>
    <row r="24" spans="1:35">
      <c r="A24" s="1133"/>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row>
    <row r="25" spans="1:35" ht="15" customHeight="1">
      <c r="A25" s="1133"/>
      <c r="B25" s="1133"/>
      <c r="C25" s="1133"/>
      <c r="D25" s="1133"/>
      <c r="E25" s="1133"/>
      <c r="F25" s="1133"/>
      <c r="G25" s="1133"/>
      <c r="H25" s="1133"/>
      <c r="I25" s="1133"/>
      <c r="J25" s="1133"/>
      <c r="K25" s="1133"/>
      <c r="L25" s="1152" t="s">
        <v>1425</v>
      </c>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69"/>
      <c r="AI25" s="1169"/>
    </row>
    <row r="26" spans="1:35" ht="15" customHeight="1">
      <c r="A26" s="1133"/>
      <c r="B26" s="1133"/>
      <c r="C26" s="1133"/>
      <c r="D26" s="1133"/>
      <c r="E26" s="1133"/>
      <c r="F26" s="1133"/>
      <c r="G26" s="1133"/>
      <c r="H26" s="1133"/>
      <c r="I26" s="1133"/>
      <c r="J26" s="1133"/>
      <c r="K26" s="807"/>
      <c r="L26" s="1154"/>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1"/>
      <c r="AI26" s="1171"/>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1:23" hidden="1">
      <c r="K1" s="1133"/>
      <c r="L1" s="1133"/>
      <c r="M1" s="1133"/>
      <c r="N1" s="1133"/>
      <c r="O1" s="1133"/>
      <c r="P1" s="1133"/>
      <c r="Q1" s="1133"/>
      <c r="R1" s="1133"/>
      <c r="S1" s="1133"/>
      <c r="T1" s="1133"/>
      <c r="U1" s="1133"/>
      <c r="V1" s="1133"/>
      <c r="W1" s="1133"/>
    </row>
    <row r="2" spans="11:23" hidden="1">
      <c r="K2" s="1133"/>
      <c r="L2" s="1133"/>
      <c r="M2" s="1133"/>
      <c r="N2" s="1133"/>
      <c r="O2" s="1133"/>
      <c r="P2" s="1133"/>
      <c r="Q2" s="1133"/>
      <c r="R2" s="1133"/>
      <c r="S2" s="1133"/>
      <c r="T2" s="1133"/>
      <c r="U2" s="1133"/>
      <c r="V2" s="1133"/>
      <c r="W2" s="1133"/>
    </row>
    <row r="3" spans="11:23" hidden="1">
      <c r="K3" s="1133"/>
      <c r="L3" s="1133"/>
      <c r="M3" s="1133"/>
      <c r="N3" s="1133"/>
      <c r="O3" s="1133"/>
      <c r="P3" s="1133"/>
      <c r="Q3" s="1133"/>
      <c r="R3" s="1133"/>
      <c r="S3" s="1133"/>
      <c r="T3" s="1133"/>
      <c r="U3" s="1133"/>
      <c r="V3" s="1133"/>
      <c r="W3" s="1133"/>
    </row>
    <row r="4" spans="11:23" hidden="1">
      <c r="K4" s="1133"/>
      <c r="L4" s="1133"/>
      <c r="M4" s="1133"/>
      <c r="N4" s="1133"/>
      <c r="O4" s="1133"/>
      <c r="P4" s="1133"/>
      <c r="Q4" s="1133"/>
      <c r="R4" s="1133"/>
      <c r="S4" s="1133"/>
      <c r="T4" s="1133"/>
      <c r="U4" s="1133"/>
      <c r="V4" s="1133"/>
      <c r="W4" s="1133"/>
    </row>
    <row r="5" spans="11:23" hidden="1">
      <c r="K5" s="1133"/>
      <c r="L5" s="1133"/>
      <c r="M5" s="1133"/>
      <c r="N5" s="1133"/>
      <c r="O5" s="1133"/>
      <c r="P5" s="1133"/>
      <c r="Q5" s="1133"/>
      <c r="R5" s="1133"/>
      <c r="S5" s="1133"/>
      <c r="T5" s="1133"/>
      <c r="U5" s="1133"/>
      <c r="V5" s="1133"/>
      <c r="W5" s="1133"/>
    </row>
    <row r="6" spans="11:23" hidden="1">
      <c r="K6" s="1133"/>
      <c r="L6" s="1133"/>
      <c r="M6" s="1133"/>
      <c r="N6" s="1133"/>
      <c r="O6" s="1133"/>
      <c r="P6" s="1133"/>
      <c r="Q6" s="1133"/>
      <c r="R6" s="1133"/>
      <c r="S6" s="1133"/>
      <c r="T6" s="1133"/>
      <c r="U6" s="1133"/>
      <c r="V6" s="1133"/>
      <c r="W6" s="1133"/>
    </row>
    <row r="7" spans="11:23" hidden="1">
      <c r="K7" s="1133"/>
      <c r="L7" s="1133"/>
      <c r="M7" s="1133"/>
      <c r="N7" s="1133"/>
      <c r="O7" s="1133"/>
      <c r="P7" s="1133"/>
      <c r="Q7" s="1133"/>
      <c r="R7" s="1133"/>
      <c r="S7" s="1133"/>
      <c r="T7" s="1133"/>
      <c r="U7" s="1133"/>
      <c r="V7" s="1133"/>
      <c r="W7" s="1133"/>
    </row>
    <row r="8" spans="11:23" hidden="1">
      <c r="K8" s="1133"/>
      <c r="L8" s="1133"/>
      <c r="M8" s="1133"/>
      <c r="N8" s="1133"/>
      <c r="O8" s="1133"/>
      <c r="P8" s="1133"/>
      <c r="Q8" s="1133"/>
      <c r="R8" s="1133"/>
      <c r="S8" s="1133"/>
      <c r="T8" s="1133"/>
      <c r="U8" s="1133"/>
      <c r="V8" s="1133"/>
      <c r="W8" s="1133"/>
    </row>
    <row r="9" spans="11:23" hidden="1">
      <c r="K9" s="1133"/>
      <c r="L9" s="1133"/>
      <c r="M9" s="1133"/>
      <c r="N9" s="1133"/>
      <c r="O9" s="1133"/>
      <c r="P9" s="1133"/>
      <c r="Q9" s="1133"/>
      <c r="R9" s="1133"/>
      <c r="S9" s="1133"/>
      <c r="T9" s="1133"/>
      <c r="U9" s="1133"/>
      <c r="V9" s="1133"/>
      <c r="W9" s="1133"/>
    </row>
    <row r="10" spans="11:23" hidden="1">
      <c r="K10" s="1133"/>
      <c r="L10" s="1133"/>
      <c r="M10" s="1133"/>
      <c r="N10" s="1133"/>
      <c r="O10" s="1133"/>
      <c r="P10" s="1133"/>
      <c r="Q10" s="1133"/>
      <c r="R10" s="1133"/>
      <c r="S10" s="1133"/>
      <c r="T10" s="1133"/>
      <c r="U10" s="1133"/>
      <c r="V10" s="1133"/>
      <c r="W10" s="1133"/>
    </row>
    <row r="11" spans="11:23" ht="11.25" hidden="1" customHeight="1">
      <c r="K11" s="1133"/>
      <c r="L11" s="1156"/>
      <c r="M11" s="1156"/>
      <c r="N11" s="1156"/>
      <c r="O11" s="1156"/>
      <c r="P11" s="1156"/>
      <c r="Q11" s="1156"/>
      <c r="R11" s="1156"/>
      <c r="S11" s="1156"/>
      <c r="T11" s="1156"/>
      <c r="U11" s="1156"/>
      <c r="V11" s="1156"/>
      <c r="W11" s="1133"/>
    </row>
    <row r="12" spans="11:23" ht="20.100000000000001" customHeight="1">
      <c r="K12" s="1133"/>
      <c r="L12" s="436" t="s">
        <v>1381</v>
      </c>
      <c r="M12" s="284"/>
      <c r="N12" s="284"/>
      <c r="O12" s="284"/>
      <c r="P12" s="284"/>
      <c r="Q12" s="285"/>
      <c r="R12" s="285"/>
      <c r="S12" s="285"/>
      <c r="T12" s="285"/>
      <c r="U12" s="285"/>
      <c r="V12" s="285"/>
      <c r="W12" s="1172"/>
    </row>
    <row r="13" spans="11:23" ht="11.25" customHeight="1">
      <c r="K13" s="1133"/>
      <c r="L13" s="1156"/>
      <c r="M13" s="1156"/>
      <c r="N13" s="1156"/>
      <c r="O13" s="1156"/>
      <c r="P13" s="1156"/>
      <c r="Q13" s="1156"/>
      <c r="R13" s="1156"/>
      <c r="S13" s="1156"/>
      <c r="T13" s="1156"/>
      <c r="U13" s="1156"/>
      <c r="V13" s="1156"/>
      <c r="W13" s="1133"/>
    </row>
    <row r="14" spans="11:23" ht="111.75" customHeight="1">
      <c r="K14" s="1133"/>
      <c r="L14" s="1166" t="s">
        <v>283</v>
      </c>
      <c r="M14" s="1162" t="s">
        <v>134</v>
      </c>
      <c r="N14" s="1162" t="s">
        <v>135</v>
      </c>
      <c r="O14" s="1139" t="s">
        <v>1277</v>
      </c>
      <c r="P14" s="1139" t="s">
        <v>1763</v>
      </c>
      <c r="Q14" s="1139" t="s">
        <v>446</v>
      </c>
      <c r="R14" s="1139" t="s">
        <v>447</v>
      </c>
      <c r="S14" s="1139" t="s">
        <v>448</v>
      </c>
      <c r="T14" s="1139" t="s">
        <v>1278</v>
      </c>
      <c r="U14" s="1139" t="s">
        <v>132</v>
      </c>
      <c r="V14" s="1139" t="s">
        <v>449</v>
      </c>
      <c r="W14" s="1133"/>
    </row>
    <row r="15" spans="11:23">
      <c r="K15" s="1133"/>
      <c r="L15" s="1133"/>
      <c r="M15" s="1133"/>
      <c r="N15" s="1133"/>
      <c r="O15" s="1133"/>
      <c r="P15" s="1133"/>
      <c r="Q15" s="1133"/>
      <c r="R15" s="1133"/>
      <c r="S15" s="1133"/>
      <c r="T15" s="1133"/>
      <c r="U15" s="1133"/>
      <c r="V15" s="1133"/>
      <c r="W15" s="1133"/>
    </row>
    <row r="16" spans="11:23">
      <c r="K16" s="1133"/>
      <c r="L16" s="1133"/>
      <c r="M16" s="1133"/>
      <c r="N16" s="1133"/>
      <c r="O16" s="1133"/>
      <c r="P16" s="1133"/>
      <c r="Q16" s="1133"/>
      <c r="R16" s="1133"/>
      <c r="S16" s="1133"/>
      <c r="T16" s="1133"/>
      <c r="U16" s="1133"/>
      <c r="V16" s="1133"/>
      <c r="W16" s="1133"/>
    </row>
    <row r="17" spans="11:23" ht="24" customHeight="1">
      <c r="K17" s="1133"/>
      <c r="L17" s="1152" t="s">
        <v>1425</v>
      </c>
      <c r="M17" s="1152"/>
      <c r="N17" s="1152"/>
      <c r="O17" s="1152"/>
      <c r="P17" s="1152"/>
      <c r="Q17" s="1152"/>
      <c r="R17" s="1152"/>
      <c r="S17" s="1152"/>
      <c r="T17" s="1152"/>
      <c r="U17" s="1152"/>
      <c r="V17" s="1169"/>
      <c r="W17" s="1133"/>
    </row>
    <row r="18" spans="11:23" ht="15">
      <c r="K18" s="807"/>
      <c r="L18" s="1154"/>
      <c r="M18" s="1154"/>
      <c r="N18" s="1154"/>
      <c r="O18" s="1154"/>
      <c r="P18" s="1154"/>
      <c r="Q18" s="1154"/>
      <c r="R18" s="1154"/>
      <c r="S18" s="1154"/>
      <c r="T18" s="1154"/>
      <c r="U18" s="1154"/>
      <c r="V18" s="1173"/>
      <c r="W18" s="1133"/>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62"/>
  <sheetViews>
    <sheetView showGridLines="0" view="pageBreakPreview" zoomScale="60" zoomScaleNormal="100" workbookViewId="0">
      <pane xSplit="15" ySplit="15" topLeftCell="P47" activePane="bottomRight" state="frozen"/>
      <selection activeCell="M11" sqref="M11"/>
      <selection pane="topRight" activeCell="M11" sqref="M11"/>
      <selection pane="bottomLeft" activeCell="M11" sqref="M11"/>
      <selection pane="bottomRight" activeCell="L62" sqref="L62:R62"/>
    </sheetView>
  </sheetViews>
  <sheetFormatPr defaultColWidth="9.140625" defaultRowHeight="11.25"/>
  <cols>
    <col min="1" max="1" width="9.140625" style="101" hidden="1" customWidth="1"/>
    <col min="2" max="2" width="5.28515625" style="101" hidden="1" customWidth="1"/>
    <col min="3" max="3" width="9.140625" hidden="1" customWidth="1"/>
    <col min="4" max="4" width="9.140625" style="101" hidden="1" customWidth="1"/>
    <col min="5" max="10" width="3.42578125" style="101" hidden="1" customWidth="1"/>
    <col min="11" max="11" width="3.7109375" style="101" hidden="1" customWidth="1"/>
    <col min="12" max="12" width="8.7109375" style="289" customWidth="1"/>
    <col min="13" max="13" width="73" style="101" customWidth="1"/>
    <col min="14" max="15" width="12.7109375" style="101" customWidth="1"/>
    <col min="16" max="17" width="15.7109375" style="101" customWidth="1"/>
    <col min="18" max="18" width="20.7109375" style="101" customWidth="1"/>
    <col min="19" max="16384" width="9.140625" style="101"/>
  </cols>
  <sheetData>
    <row r="1" spans="1:18" hidden="1">
      <c r="A1" s="1133"/>
      <c r="B1" s="1133"/>
      <c r="C1" s="1174"/>
      <c r="D1" s="1133"/>
      <c r="E1" s="1133"/>
      <c r="F1" s="1133"/>
      <c r="G1" s="1133"/>
      <c r="H1" s="1133"/>
      <c r="I1" s="1133"/>
      <c r="J1" s="1133"/>
      <c r="K1" s="1133"/>
      <c r="L1" s="1151"/>
      <c r="M1" s="1133"/>
      <c r="N1" s="1133"/>
      <c r="O1" s="1133"/>
      <c r="P1" s="1133">
        <v>2022</v>
      </c>
      <c r="Q1" s="1133">
        <v>2022</v>
      </c>
      <c r="R1" s="1133"/>
    </row>
    <row r="2" spans="1:18" hidden="1">
      <c r="A2" s="1133"/>
      <c r="B2" s="1133"/>
      <c r="C2" s="1174"/>
      <c r="D2" s="1133"/>
      <c r="E2" s="1133"/>
      <c r="F2" s="1133"/>
      <c r="G2" s="1133"/>
      <c r="H2" s="1133"/>
      <c r="I2" s="1133"/>
      <c r="J2" s="1133"/>
      <c r="K2" s="1133"/>
      <c r="L2" s="1151"/>
      <c r="M2" s="1133"/>
      <c r="N2" s="1133"/>
      <c r="O2" s="1133"/>
      <c r="P2" s="1133" t="s">
        <v>305</v>
      </c>
      <c r="Q2" s="1133" t="s">
        <v>267</v>
      </c>
      <c r="R2" s="1133"/>
    </row>
    <row r="3" spans="1:18" hidden="1">
      <c r="A3" s="1133"/>
      <c r="B3" s="1133"/>
      <c r="C3" s="1174"/>
      <c r="D3" s="1133"/>
      <c r="E3" s="1133"/>
      <c r="F3" s="1133"/>
      <c r="G3" s="1133"/>
      <c r="H3" s="1133"/>
      <c r="I3" s="1133"/>
      <c r="J3" s="1133"/>
      <c r="K3" s="1133"/>
      <c r="L3" s="1151"/>
      <c r="M3" s="1133"/>
      <c r="N3" s="1133"/>
      <c r="O3" s="1133"/>
      <c r="P3" s="1133"/>
      <c r="Q3" s="1133"/>
      <c r="R3" s="1133"/>
    </row>
    <row r="4" spans="1:18" hidden="1">
      <c r="A4" s="1133"/>
      <c r="B4" s="1133"/>
      <c r="C4" s="1174"/>
      <c r="D4" s="1133"/>
      <c r="E4" s="1133"/>
      <c r="F4" s="1133"/>
      <c r="G4" s="1133"/>
      <c r="H4" s="1133"/>
      <c r="I4" s="1133"/>
      <c r="J4" s="1133"/>
      <c r="K4" s="1133"/>
      <c r="L4" s="1151"/>
      <c r="M4" s="1133"/>
      <c r="N4" s="1133"/>
      <c r="O4" s="1133"/>
      <c r="P4" s="1133"/>
      <c r="Q4" s="1133"/>
      <c r="R4" s="1133"/>
    </row>
    <row r="5" spans="1:18" hidden="1">
      <c r="A5" s="1133"/>
      <c r="B5" s="1133"/>
      <c r="C5" s="1174"/>
      <c r="D5" s="1133"/>
      <c r="E5" s="1133"/>
      <c r="F5" s="1133"/>
      <c r="G5" s="1133"/>
      <c r="H5" s="1133"/>
      <c r="I5" s="1133"/>
      <c r="J5" s="1133"/>
      <c r="K5" s="1133"/>
      <c r="L5" s="1151"/>
      <c r="M5" s="1133"/>
      <c r="N5" s="1133"/>
      <c r="O5" s="1133"/>
      <c r="P5" s="1133"/>
      <c r="Q5" s="1133"/>
      <c r="R5" s="1133"/>
    </row>
    <row r="6" spans="1:18" hidden="1">
      <c r="A6" s="1133"/>
      <c r="B6" s="1133"/>
      <c r="C6" s="1174"/>
      <c r="D6" s="1133"/>
      <c r="E6" s="1133"/>
      <c r="F6" s="1133"/>
      <c r="G6" s="1133"/>
      <c r="H6" s="1133"/>
      <c r="I6" s="1133"/>
      <c r="J6" s="1133"/>
      <c r="K6" s="1133"/>
      <c r="L6" s="1151"/>
      <c r="M6" s="1133"/>
      <c r="N6" s="1133"/>
      <c r="O6" s="1133"/>
      <c r="P6" s="1133"/>
      <c r="Q6" s="1133"/>
      <c r="R6" s="1133"/>
    </row>
    <row r="7" spans="1:18" hidden="1">
      <c r="A7" s="1133"/>
      <c r="B7" s="1133"/>
      <c r="C7" s="1174"/>
      <c r="D7" s="1133"/>
      <c r="E7" s="1133"/>
      <c r="F7" s="1133"/>
      <c r="G7" s="1133"/>
      <c r="H7" s="1133"/>
      <c r="I7" s="1133"/>
      <c r="J7" s="1133"/>
      <c r="K7" s="1133"/>
      <c r="L7" s="1151"/>
      <c r="M7" s="1133"/>
      <c r="N7" s="1133"/>
      <c r="O7" s="1133"/>
      <c r="P7" s="1133"/>
      <c r="Q7" s="1133"/>
      <c r="R7" s="1133"/>
    </row>
    <row r="8" spans="1:18" hidden="1">
      <c r="A8" s="1133"/>
      <c r="B8" s="1133"/>
      <c r="C8" s="1174"/>
      <c r="D8" s="1133"/>
      <c r="E8" s="1133"/>
      <c r="F8" s="1133"/>
      <c r="G8" s="1133"/>
      <c r="H8" s="1133"/>
      <c r="I8" s="1133"/>
      <c r="J8" s="1133"/>
      <c r="K8" s="1133"/>
      <c r="L8" s="1151"/>
      <c r="M8" s="1133"/>
      <c r="N8" s="1133"/>
      <c r="O8" s="1133"/>
      <c r="P8" s="1133"/>
      <c r="Q8" s="1133"/>
      <c r="R8" s="1133"/>
    </row>
    <row r="9" spans="1:18" hidden="1">
      <c r="A9" s="1133"/>
      <c r="B9" s="1133"/>
      <c r="C9" s="1174"/>
      <c r="D9" s="1133"/>
      <c r="E9" s="1133"/>
      <c r="F9" s="1133"/>
      <c r="G9" s="1133"/>
      <c r="H9" s="1133"/>
      <c r="I9" s="1133"/>
      <c r="J9" s="1133"/>
      <c r="K9" s="1133"/>
      <c r="L9" s="1151"/>
      <c r="M9" s="1133"/>
      <c r="N9" s="1133"/>
      <c r="O9" s="1133"/>
      <c r="P9" s="1133"/>
      <c r="Q9" s="1133"/>
      <c r="R9" s="1133"/>
    </row>
    <row r="10" spans="1:18" hidden="1">
      <c r="A10" s="1133"/>
      <c r="B10" s="1133"/>
      <c r="C10" s="1174"/>
      <c r="D10" s="1133"/>
      <c r="E10" s="1133"/>
      <c r="F10" s="1133"/>
      <c r="G10" s="1133"/>
      <c r="H10" s="1133"/>
      <c r="I10" s="1133"/>
      <c r="J10" s="1133"/>
      <c r="K10" s="1133"/>
      <c r="L10" s="1151"/>
      <c r="M10" s="1133"/>
      <c r="N10" s="1133"/>
      <c r="O10" s="1133"/>
      <c r="P10" s="1133"/>
      <c r="Q10" s="1133"/>
      <c r="R10" s="1133"/>
    </row>
    <row r="11" spans="1:18" ht="15" hidden="1" customHeight="1">
      <c r="A11" s="1133"/>
      <c r="B11" s="1133"/>
      <c r="C11" s="1174"/>
      <c r="D11" s="1133"/>
      <c r="E11" s="1133"/>
      <c r="F11" s="1133"/>
      <c r="G11" s="1133"/>
      <c r="H11" s="1133"/>
      <c r="I11" s="1133"/>
      <c r="J11" s="1133"/>
      <c r="K11" s="1133"/>
      <c r="L11" s="1175"/>
      <c r="M11" s="1157"/>
      <c r="N11" s="1156"/>
      <c r="O11" s="1156"/>
      <c r="P11" s="1156"/>
      <c r="Q11" s="1156"/>
      <c r="R11" s="1133"/>
    </row>
    <row r="12" spans="1:18" ht="22.5" customHeight="1">
      <c r="A12" s="1133"/>
      <c r="B12" s="1133"/>
      <c r="C12" s="1174"/>
      <c r="D12" s="1133"/>
      <c r="E12" s="1133"/>
      <c r="F12" s="1133"/>
      <c r="G12" s="1133"/>
      <c r="H12" s="1133"/>
      <c r="I12" s="1133"/>
      <c r="J12" s="1133"/>
      <c r="K12" s="1133"/>
      <c r="L12" s="436" t="s">
        <v>1338</v>
      </c>
      <c r="M12" s="287"/>
      <c r="N12" s="287"/>
      <c r="O12" s="287"/>
      <c r="P12" s="287"/>
      <c r="Q12" s="288"/>
      <c r="R12" s="288"/>
    </row>
    <row r="13" spans="1:18" ht="11.25" customHeight="1">
      <c r="A13" s="1133"/>
      <c r="B13" s="1133"/>
      <c r="C13" s="1174"/>
      <c r="D13" s="1133"/>
      <c r="E13" s="1133"/>
      <c r="F13" s="1133"/>
      <c r="G13" s="1133"/>
      <c r="H13" s="1133"/>
      <c r="I13" s="1133"/>
      <c r="J13" s="1133"/>
      <c r="K13" s="1133"/>
      <c r="L13" s="1175"/>
      <c r="M13" s="1156"/>
      <c r="N13" s="1156"/>
      <c r="O13" s="1156"/>
      <c r="P13" s="1156"/>
      <c r="Q13" s="1156"/>
      <c r="R13" s="1133"/>
    </row>
    <row r="14" spans="1:18" ht="19.5" customHeight="1">
      <c r="A14" s="1133"/>
      <c r="B14" s="1133"/>
      <c r="C14" s="1174"/>
      <c r="D14" s="1133"/>
      <c r="E14" s="1133"/>
      <c r="F14" s="1133"/>
      <c r="G14" s="1133"/>
      <c r="H14" s="1133"/>
      <c r="I14" s="1133"/>
      <c r="J14" s="1133"/>
      <c r="K14" s="1133"/>
      <c r="L14" s="1176" t="s">
        <v>16</v>
      </c>
      <c r="M14" s="1138" t="s">
        <v>121</v>
      </c>
      <c r="N14" s="1177" t="s">
        <v>1115</v>
      </c>
      <c r="O14" s="1138" t="s">
        <v>266</v>
      </c>
      <c r="P14" s="1178" t="s">
        <v>3020</v>
      </c>
      <c r="Q14" s="1178" t="s">
        <v>3020</v>
      </c>
      <c r="R14" s="1138" t="s">
        <v>109</v>
      </c>
    </row>
    <row r="15" spans="1:18" ht="32.25" customHeight="1">
      <c r="A15" s="1133"/>
      <c r="B15" s="1133"/>
      <c r="C15" s="1174"/>
      <c r="D15" s="1133"/>
      <c r="E15" s="1133"/>
      <c r="F15" s="1133"/>
      <c r="G15" s="1133"/>
      <c r="H15" s="1133"/>
      <c r="I15" s="1133"/>
      <c r="J15" s="1133"/>
      <c r="K15" s="1133"/>
      <c r="L15" s="1176"/>
      <c r="M15" s="1138"/>
      <c r="N15" s="1177"/>
      <c r="O15" s="1138"/>
      <c r="P15" s="1178" t="s">
        <v>305</v>
      </c>
      <c r="Q15" s="1179" t="s">
        <v>267</v>
      </c>
      <c r="R15" s="1138"/>
    </row>
    <row r="16" spans="1:18">
      <c r="A16" s="944" t="s">
        <v>18</v>
      </c>
      <c r="B16" s="1180" t="s">
        <v>992</v>
      </c>
      <c r="C16" s="1174"/>
      <c r="D16" s="1133"/>
      <c r="E16" s="1133"/>
      <c r="F16" s="1133"/>
      <c r="G16" s="1133"/>
      <c r="H16" s="1133"/>
      <c r="I16" s="1133"/>
      <c r="J16" s="1133"/>
      <c r="K16" s="1133"/>
      <c r="L16" s="1181" t="s">
        <v>3018</v>
      </c>
      <c r="M16" s="1181"/>
      <c r="N16" s="1181"/>
      <c r="O16" s="1181"/>
      <c r="P16" s="1181"/>
      <c r="Q16" s="1181"/>
      <c r="R16" s="1181"/>
    </row>
    <row r="17" spans="1:18" s="267" customFormat="1" ht="45">
      <c r="A17" s="982">
        <v>1</v>
      </c>
      <c r="B17" s="1146"/>
      <c r="C17" s="1146"/>
      <c r="D17" s="1133" t="s">
        <v>1480</v>
      </c>
      <c r="E17" s="1146"/>
      <c r="F17" s="1146"/>
      <c r="G17" s="1146"/>
      <c r="H17" s="1146"/>
      <c r="I17" s="1146"/>
      <c r="J17" s="1146"/>
      <c r="K17" s="1146"/>
      <c r="L17" s="1182" t="s">
        <v>451</v>
      </c>
      <c r="M17" s="1183" t="s">
        <v>452</v>
      </c>
      <c r="N17" s="1182" t="s">
        <v>3071</v>
      </c>
      <c r="O17" s="1184" t="s">
        <v>351</v>
      </c>
      <c r="P17" s="1161">
        <v>0</v>
      </c>
      <c r="Q17" s="1161">
        <v>115.93000000000006</v>
      </c>
      <c r="R17" s="1185"/>
    </row>
    <row r="18" spans="1:18" s="267" customFormat="1">
      <c r="A18" s="982">
        <v>1</v>
      </c>
      <c r="B18" s="1146"/>
      <c r="C18" s="1146"/>
      <c r="D18" s="1133" t="s">
        <v>1491</v>
      </c>
      <c r="E18" s="1146"/>
      <c r="F18" s="1146"/>
      <c r="G18" s="1146"/>
      <c r="H18" s="1146"/>
      <c r="I18" s="1146"/>
      <c r="J18" s="1146"/>
      <c r="K18" s="1146"/>
      <c r="L18" s="1186" t="s">
        <v>18</v>
      </c>
      <c r="M18" s="1183" t="s">
        <v>453</v>
      </c>
      <c r="N18" s="1182" t="s">
        <v>3072</v>
      </c>
      <c r="O18" s="1184" t="s">
        <v>351</v>
      </c>
      <c r="P18" s="1187"/>
      <c r="Q18" s="1187">
        <v>1411.6</v>
      </c>
      <c r="R18" s="1185"/>
    </row>
    <row r="19" spans="1:18" s="267" customFormat="1">
      <c r="A19" s="982">
        <v>1</v>
      </c>
      <c r="B19" s="1146"/>
      <c r="C19" s="1146"/>
      <c r="D19" s="1133" t="s">
        <v>1489</v>
      </c>
      <c r="E19" s="1146"/>
      <c r="F19" s="1146"/>
      <c r="G19" s="1146"/>
      <c r="H19" s="1146"/>
      <c r="I19" s="1146"/>
      <c r="J19" s="1146"/>
      <c r="K19" s="1146"/>
      <c r="L19" s="1186" t="s">
        <v>102</v>
      </c>
      <c r="M19" s="1188" t="s">
        <v>454</v>
      </c>
      <c r="N19" s="1182" t="s">
        <v>3073</v>
      </c>
      <c r="O19" s="1184" t="s">
        <v>351</v>
      </c>
      <c r="P19" s="1161">
        <v>0</v>
      </c>
      <c r="Q19" s="1161">
        <v>1527.53</v>
      </c>
      <c r="R19" s="1185"/>
    </row>
    <row r="20" spans="1:18" ht="22.5">
      <c r="A20" s="982">
        <v>1</v>
      </c>
      <c r="B20" s="1133"/>
      <c r="C20" s="1174"/>
      <c r="D20" s="1133" t="s">
        <v>1573</v>
      </c>
      <c r="E20" s="1133"/>
      <c r="F20" s="1133"/>
      <c r="G20" s="1133"/>
      <c r="H20" s="1133"/>
      <c r="I20" s="1133"/>
      <c r="J20" s="1133"/>
      <c r="K20" s="1133"/>
      <c r="L20" s="1189" t="s">
        <v>17</v>
      </c>
      <c r="M20" s="1190" t="s">
        <v>455</v>
      </c>
      <c r="N20" s="1191" t="s">
        <v>3074</v>
      </c>
      <c r="O20" s="1139" t="s">
        <v>351</v>
      </c>
      <c r="P20" s="1163"/>
      <c r="Q20" s="1163">
        <v>864.1</v>
      </c>
      <c r="R20" s="1192"/>
    </row>
    <row r="21" spans="1:18" ht="22.5">
      <c r="A21" s="982">
        <v>1</v>
      </c>
      <c r="B21" s="1133"/>
      <c r="C21" s="1174"/>
      <c r="D21" s="1133" t="s">
        <v>1574</v>
      </c>
      <c r="E21" s="1133"/>
      <c r="F21" s="1133"/>
      <c r="G21" s="1133"/>
      <c r="H21" s="1133"/>
      <c r="I21" s="1133"/>
      <c r="J21" s="1133"/>
      <c r="K21" s="1133"/>
      <c r="L21" s="1189" t="s">
        <v>138</v>
      </c>
      <c r="M21" s="1190" t="s">
        <v>457</v>
      </c>
      <c r="N21" s="1191" t="s">
        <v>3075</v>
      </c>
      <c r="O21" s="1139" t="s">
        <v>351</v>
      </c>
      <c r="P21" s="1193">
        <v>0</v>
      </c>
      <c r="Q21" s="1193">
        <v>8.734</v>
      </c>
      <c r="R21" s="1192"/>
    </row>
    <row r="22" spans="1:18" ht="22.5">
      <c r="A22" s="982">
        <v>1</v>
      </c>
      <c r="B22" s="1133"/>
      <c r="C22" s="1174"/>
      <c r="D22" s="1133" t="s">
        <v>1583</v>
      </c>
      <c r="E22" s="1133"/>
      <c r="F22" s="1133"/>
      <c r="G22" s="1133"/>
      <c r="H22" s="1133"/>
      <c r="I22" s="1133"/>
      <c r="J22" s="1133"/>
      <c r="K22" s="1133"/>
      <c r="L22" s="1189" t="s">
        <v>139</v>
      </c>
      <c r="M22" s="1194" t="s">
        <v>459</v>
      </c>
      <c r="N22" s="1139"/>
      <c r="O22" s="1139" t="s">
        <v>351</v>
      </c>
      <c r="P22" s="1163">
        <v>0</v>
      </c>
      <c r="Q22" s="1163">
        <v>0</v>
      </c>
      <c r="R22" s="1192"/>
    </row>
    <row r="23" spans="1:18">
      <c r="A23" s="982">
        <v>1</v>
      </c>
      <c r="B23" s="1133"/>
      <c r="C23" s="1174"/>
      <c r="D23" s="1133" t="s">
        <v>1584</v>
      </c>
      <c r="E23" s="1133"/>
      <c r="F23" s="1133"/>
      <c r="G23" s="1133"/>
      <c r="H23" s="1133"/>
      <c r="I23" s="1133"/>
      <c r="J23" s="1133"/>
      <c r="K23" s="1133"/>
      <c r="L23" s="1189" t="s">
        <v>460</v>
      </c>
      <c r="M23" s="1194" t="s">
        <v>461</v>
      </c>
      <c r="N23" s="1139"/>
      <c r="O23" s="1139" t="s">
        <v>351</v>
      </c>
      <c r="P23" s="1163"/>
      <c r="Q23" s="1163">
        <v>0</v>
      </c>
      <c r="R23" s="1192"/>
    </row>
    <row r="24" spans="1:18">
      <c r="A24" s="982">
        <v>1</v>
      </c>
      <c r="B24" s="1133"/>
      <c r="C24" s="1174"/>
      <c r="D24" s="1133" t="s">
        <v>1585</v>
      </c>
      <c r="E24" s="1133"/>
      <c r="F24" s="1133"/>
      <c r="G24" s="1133"/>
      <c r="H24" s="1133"/>
      <c r="I24" s="1133"/>
      <c r="J24" s="1133"/>
      <c r="K24" s="1133"/>
      <c r="L24" s="1189" t="s">
        <v>462</v>
      </c>
      <c r="M24" s="1194" t="s">
        <v>463</v>
      </c>
      <c r="N24" s="1139"/>
      <c r="O24" s="1139" t="s">
        <v>351</v>
      </c>
      <c r="P24" s="1163"/>
      <c r="Q24" s="1163">
        <v>8.734</v>
      </c>
      <c r="R24" s="1192"/>
    </row>
    <row r="25" spans="1:18" ht="67.5">
      <c r="A25" s="982">
        <v>1</v>
      </c>
      <c r="B25" s="1098" t="s">
        <v>1422</v>
      </c>
      <c r="C25" s="1174"/>
      <c r="D25" s="1180" t="s">
        <v>1586</v>
      </c>
      <c r="E25" s="1133"/>
      <c r="F25" s="1133"/>
      <c r="G25" s="1133"/>
      <c r="H25" s="1133"/>
      <c r="I25" s="1133"/>
      <c r="J25" s="1133"/>
      <c r="K25" s="1133"/>
      <c r="L25" s="1189" t="s">
        <v>464</v>
      </c>
      <c r="M25" s="1194" t="s">
        <v>465</v>
      </c>
      <c r="N25" s="1139"/>
      <c r="O25" s="1139" t="s">
        <v>351</v>
      </c>
      <c r="P25" s="1163"/>
      <c r="Q25" s="1163">
        <v>0</v>
      </c>
      <c r="R25" s="1192"/>
    </row>
    <row r="26" spans="1:18">
      <c r="A26" s="982">
        <v>1</v>
      </c>
      <c r="B26" s="1098" t="s">
        <v>617</v>
      </c>
      <c r="C26" s="1174"/>
      <c r="D26" s="1180" t="s">
        <v>1587</v>
      </c>
      <c r="E26" s="1133"/>
      <c r="F26" s="1133"/>
      <c r="G26" s="1133"/>
      <c r="H26" s="1133"/>
      <c r="I26" s="1133"/>
      <c r="J26" s="1133"/>
      <c r="K26" s="1133"/>
      <c r="L26" s="1189" t="s">
        <v>466</v>
      </c>
      <c r="M26" s="1194" t="s">
        <v>467</v>
      </c>
      <c r="N26" s="1139"/>
      <c r="O26" s="1139" t="s">
        <v>351</v>
      </c>
      <c r="P26" s="1163"/>
      <c r="Q26" s="1163">
        <v>0</v>
      </c>
      <c r="R26" s="1192"/>
    </row>
    <row r="27" spans="1:18">
      <c r="A27" s="982">
        <v>1</v>
      </c>
      <c r="B27" s="1098" t="s">
        <v>620</v>
      </c>
      <c r="C27" s="1174"/>
      <c r="D27" s="1180" t="s">
        <v>1588</v>
      </c>
      <c r="E27" s="1133"/>
      <c r="F27" s="1133"/>
      <c r="G27" s="1133"/>
      <c r="H27" s="1133"/>
      <c r="I27" s="1133"/>
      <c r="J27" s="1133"/>
      <c r="K27" s="1133"/>
      <c r="L27" s="1189" t="s">
        <v>468</v>
      </c>
      <c r="M27" s="1194" t="s">
        <v>1155</v>
      </c>
      <c r="N27" s="1139"/>
      <c r="O27" s="1139" t="s">
        <v>351</v>
      </c>
      <c r="P27" s="1163"/>
      <c r="Q27" s="1163">
        <v>0</v>
      </c>
      <c r="R27" s="1192"/>
    </row>
    <row r="28" spans="1:18" ht="22.5">
      <c r="A28" s="982">
        <v>1</v>
      </c>
      <c r="B28" s="1098" t="s">
        <v>621</v>
      </c>
      <c r="C28" s="1174"/>
      <c r="D28" s="1180" t="s">
        <v>1589</v>
      </c>
      <c r="E28" s="1133"/>
      <c r="F28" s="1133"/>
      <c r="G28" s="1133"/>
      <c r="H28" s="1133"/>
      <c r="I28" s="1133"/>
      <c r="J28" s="1133"/>
      <c r="K28" s="1133"/>
      <c r="L28" s="1189" t="s">
        <v>469</v>
      </c>
      <c r="M28" s="1194" t="s">
        <v>1156</v>
      </c>
      <c r="N28" s="1139"/>
      <c r="O28" s="1139" t="s">
        <v>351</v>
      </c>
      <c r="P28" s="1163"/>
      <c r="Q28" s="1163">
        <v>0</v>
      </c>
      <c r="R28" s="1192"/>
    </row>
    <row r="29" spans="1:18" ht="22.5">
      <c r="A29" s="982">
        <v>1</v>
      </c>
      <c r="B29" s="1098" t="s">
        <v>622</v>
      </c>
      <c r="C29" s="1174"/>
      <c r="D29" s="1180" t="s">
        <v>1590</v>
      </c>
      <c r="E29" s="1133"/>
      <c r="F29" s="1133"/>
      <c r="G29" s="1133"/>
      <c r="H29" s="1133"/>
      <c r="I29" s="1133"/>
      <c r="J29" s="1133"/>
      <c r="K29" s="1133"/>
      <c r="L29" s="1189" t="s">
        <v>470</v>
      </c>
      <c r="M29" s="1194" t="s">
        <v>471</v>
      </c>
      <c r="N29" s="1195"/>
      <c r="O29" s="1139" t="s">
        <v>351</v>
      </c>
      <c r="P29" s="1163"/>
      <c r="Q29" s="1163">
        <v>0</v>
      </c>
      <c r="R29" s="1192"/>
    </row>
    <row r="30" spans="1:18" ht="22.5">
      <c r="A30" s="982">
        <v>1</v>
      </c>
      <c r="B30" s="1098" t="s">
        <v>623</v>
      </c>
      <c r="C30" s="1174"/>
      <c r="D30" s="1180" t="s">
        <v>1591</v>
      </c>
      <c r="E30" s="1133"/>
      <c r="F30" s="1133"/>
      <c r="G30" s="1133"/>
      <c r="H30" s="1133"/>
      <c r="I30" s="1133"/>
      <c r="J30" s="1133"/>
      <c r="K30" s="1133"/>
      <c r="L30" s="1189" t="s">
        <v>472</v>
      </c>
      <c r="M30" s="1194" t="s">
        <v>473</v>
      </c>
      <c r="N30" s="1195"/>
      <c r="O30" s="1139" t="s">
        <v>351</v>
      </c>
      <c r="P30" s="1163"/>
      <c r="Q30" s="1163">
        <v>0</v>
      </c>
      <c r="R30" s="1192"/>
    </row>
    <row r="31" spans="1:18">
      <c r="A31" s="982">
        <v>1</v>
      </c>
      <c r="B31" s="1098" t="s">
        <v>625</v>
      </c>
      <c r="C31" s="1174"/>
      <c r="D31" s="1180" t="s">
        <v>1592</v>
      </c>
      <c r="E31" s="1133"/>
      <c r="F31" s="1133"/>
      <c r="G31" s="1133"/>
      <c r="H31" s="1133"/>
      <c r="I31" s="1133"/>
      <c r="J31" s="1133"/>
      <c r="K31" s="1133"/>
      <c r="L31" s="1189" t="s">
        <v>474</v>
      </c>
      <c r="M31" s="1194" t="s">
        <v>475</v>
      </c>
      <c r="N31" s="1195"/>
      <c r="O31" s="1139" t="s">
        <v>351</v>
      </c>
      <c r="P31" s="1163"/>
      <c r="Q31" s="1163">
        <v>0</v>
      </c>
      <c r="R31" s="1192"/>
    </row>
    <row r="32" spans="1:18" ht="22.5">
      <c r="A32" s="982">
        <v>1</v>
      </c>
      <c r="B32" s="1098" t="s">
        <v>1423</v>
      </c>
      <c r="C32" s="1174"/>
      <c r="D32" s="1180" t="s">
        <v>1593</v>
      </c>
      <c r="E32" s="1133"/>
      <c r="F32" s="1133"/>
      <c r="G32" s="1133"/>
      <c r="H32" s="1133"/>
      <c r="I32" s="1133"/>
      <c r="J32" s="1133"/>
      <c r="K32" s="1133"/>
      <c r="L32" s="1189" t="s">
        <v>476</v>
      </c>
      <c r="M32" s="1194" t="s">
        <v>477</v>
      </c>
      <c r="N32" s="1195"/>
      <c r="O32" s="1139" t="s">
        <v>351</v>
      </c>
      <c r="P32" s="1163"/>
      <c r="Q32" s="1163">
        <v>0</v>
      </c>
      <c r="R32" s="1192"/>
    </row>
    <row r="33" spans="1:18">
      <c r="A33" s="982">
        <v>1</v>
      </c>
      <c r="B33" s="1133"/>
      <c r="C33" s="1174"/>
      <c r="D33" s="1133" t="s">
        <v>1575</v>
      </c>
      <c r="E33" s="1133"/>
      <c r="F33" s="1133"/>
      <c r="G33" s="1133"/>
      <c r="H33" s="1133"/>
      <c r="I33" s="1133"/>
      <c r="J33" s="1133"/>
      <c r="K33" s="1133"/>
      <c r="L33" s="1189" t="s">
        <v>151</v>
      </c>
      <c r="M33" s="1196" t="s">
        <v>478</v>
      </c>
      <c r="N33" s="1191" t="s">
        <v>3076</v>
      </c>
      <c r="O33" s="1139" t="s">
        <v>351</v>
      </c>
      <c r="P33" s="1164">
        <v>0</v>
      </c>
      <c r="Q33" s="1164">
        <v>654.69599999999991</v>
      </c>
      <c r="R33" s="1192"/>
    </row>
    <row r="34" spans="1:18" ht="22.5">
      <c r="A34" s="982">
        <v>1</v>
      </c>
      <c r="B34" s="1133"/>
      <c r="C34" s="1174"/>
      <c r="D34" s="1133" t="s">
        <v>1594</v>
      </c>
      <c r="E34" s="1133"/>
      <c r="F34" s="1133"/>
      <c r="G34" s="1133"/>
      <c r="H34" s="1133"/>
      <c r="I34" s="1133"/>
      <c r="J34" s="1133"/>
      <c r="K34" s="1133"/>
      <c r="L34" s="1189" t="s">
        <v>152</v>
      </c>
      <c r="M34" s="1194" t="s">
        <v>480</v>
      </c>
      <c r="N34" s="1191" t="s">
        <v>481</v>
      </c>
      <c r="O34" s="1139" t="s">
        <v>482</v>
      </c>
      <c r="P34" s="1163"/>
      <c r="Q34" s="1163">
        <v>1.89</v>
      </c>
      <c r="R34" s="1192"/>
    </row>
    <row r="35" spans="1:18">
      <c r="A35" s="982">
        <v>1</v>
      </c>
      <c r="B35" s="1133"/>
      <c r="C35" s="1174"/>
      <c r="D35" s="1133" t="s">
        <v>1595</v>
      </c>
      <c r="E35" s="1133"/>
      <c r="F35" s="1133"/>
      <c r="G35" s="1133"/>
      <c r="H35" s="1133"/>
      <c r="I35" s="1133"/>
      <c r="J35" s="1133"/>
      <c r="K35" s="1133"/>
      <c r="L35" s="1189" t="s">
        <v>602</v>
      </c>
      <c r="M35" s="1194" t="s">
        <v>1145</v>
      </c>
      <c r="N35" s="1191" t="s">
        <v>483</v>
      </c>
      <c r="O35" s="1139" t="s">
        <v>484</v>
      </c>
      <c r="P35" s="1163"/>
      <c r="Q35" s="1163">
        <v>40</v>
      </c>
      <c r="R35" s="1192"/>
    </row>
    <row r="36" spans="1:18" ht="22.5">
      <c r="A36" s="982">
        <v>1</v>
      </c>
      <c r="B36" s="1133"/>
      <c r="C36" s="1174"/>
      <c r="D36" s="1133" t="s">
        <v>1596</v>
      </c>
      <c r="E36" s="1133"/>
      <c r="F36" s="1133"/>
      <c r="G36" s="1133"/>
      <c r="H36" s="1133"/>
      <c r="I36" s="1133"/>
      <c r="J36" s="1133"/>
      <c r="K36" s="1133"/>
      <c r="L36" s="1189" t="s">
        <v>604</v>
      </c>
      <c r="M36" s="1194" t="s">
        <v>1089</v>
      </c>
      <c r="N36" s="1191" t="s">
        <v>485</v>
      </c>
      <c r="O36" s="1139" t="s">
        <v>486</v>
      </c>
      <c r="P36" s="1163"/>
      <c r="Q36" s="1163">
        <v>8.66</v>
      </c>
      <c r="R36" s="1192"/>
    </row>
    <row r="37" spans="1:18" ht="22.5">
      <c r="A37" s="982">
        <v>1</v>
      </c>
      <c r="B37" s="1133" t="s">
        <v>1074</v>
      </c>
      <c r="C37" s="1174"/>
      <c r="D37" s="1133" t="s">
        <v>1597</v>
      </c>
      <c r="E37" s="1133"/>
      <c r="F37" s="1133"/>
      <c r="G37" s="1133"/>
      <c r="H37" s="1133"/>
      <c r="I37" s="1133"/>
      <c r="J37" s="1133"/>
      <c r="K37" s="1133"/>
      <c r="L37" s="1189" t="s">
        <v>153</v>
      </c>
      <c r="M37" s="1190" t="s">
        <v>487</v>
      </c>
      <c r="N37" s="1191" t="s">
        <v>3077</v>
      </c>
      <c r="O37" s="1139" t="s">
        <v>351</v>
      </c>
      <c r="P37" s="1163"/>
      <c r="Q37" s="1163">
        <v>0</v>
      </c>
      <c r="R37" s="1192"/>
    </row>
    <row r="38" spans="1:18">
      <c r="A38" s="982">
        <v>1</v>
      </c>
      <c r="B38" s="1133"/>
      <c r="C38" s="1174"/>
      <c r="D38" s="1133" t="s">
        <v>1598</v>
      </c>
      <c r="E38" s="1133"/>
      <c r="F38" s="1133"/>
      <c r="G38" s="1133"/>
      <c r="H38" s="1133"/>
      <c r="I38" s="1133"/>
      <c r="J38" s="1133"/>
      <c r="K38" s="1133"/>
      <c r="L38" s="1189" t="s">
        <v>366</v>
      </c>
      <c r="M38" s="1197" t="s">
        <v>489</v>
      </c>
      <c r="N38" s="1191" t="s">
        <v>3078</v>
      </c>
      <c r="O38" s="1139" t="s">
        <v>351</v>
      </c>
      <c r="P38" s="1163"/>
      <c r="Q38" s="1163">
        <v>0</v>
      </c>
      <c r="R38" s="1192"/>
    </row>
    <row r="39" spans="1:18">
      <c r="A39" s="982">
        <v>1</v>
      </c>
      <c r="B39" s="1098" t="s">
        <v>639</v>
      </c>
      <c r="C39" s="1174"/>
      <c r="D39" s="1180" t="s">
        <v>1599</v>
      </c>
      <c r="E39" s="1133"/>
      <c r="F39" s="1133"/>
      <c r="G39" s="1133"/>
      <c r="H39" s="1133"/>
      <c r="I39" s="1133"/>
      <c r="J39" s="1133"/>
      <c r="K39" s="1133"/>
      <c r="L39" s="1189" t="s">
        <v>491</v>
      </c>
      <c r="M39" s="1190" t="s">
        <v>1157</v>
      </c>
      <c r="N39" s="1191" t="s">
        <v>3079</v>
      </c>
      <c r="O39" s="1139" t="s">
        <v>351</v>
      </c>
      <c r="P39" s="1163"/>
      <c r="Q39" s="1163">
        <v>0</v>
      </c>
      <c r="R39" s="1192"/>
    </row>
    <row r="40" spans="1:18" ht="22.5">
      <c r="A40" s="982">
        <v>1</v>
      </c>
      <c r="B40" s="1098"/>
      <c r="C40" s="1174"/>
      <c r="D40" s="1133" t="s">
        <v>1622</v>
      </c>
      <c r="E40" s="1133"/>
      <c r="F40" s="1133"/>
      <c r="G40" s="1133"/>
      <c r="H40" s="1133"/>
      <c r="I40" s="1133"/>
      <c r="J40" s="1133"/>
      <c r="K40" s="1133"/>
      <c r="L40" s="1189" t="s">
        <v>493</v>
      </c>
      <c r="M40" s="1190" t="s">
        <v>1606</v>
      </c>
      <c r="N40" s="1191"/>
      <c r="O40" s="1139" t="s">
        <v>351</v>
      </c>
      <c r="P40" s="1163"/>
      <c r="Q40" s="1163"/>
      <c r="R40" s="1192"/>
    </row>
    <row r="41" spans="1:18" ht="22.5">
      <c r="A41" s="982">
        <v>1</v>
      </c>
      <c r="B41" s="1133"/>
      <c r="C41" s="1174"/>
      <c r="D41" s="1133" t="s">
        <v>1600</v>
      </c>
      <c r="E41" s="1133"/>
      <c r="F41" s="1133"/>
      <c r="G41" s="1133"/>
      <c r="H41" s="1133"/>
      <c r="I41" s="1133"/>
      <c r="J41" s="1133"/>
      <c r="K41" s="1133"/>
      <c r="L41" s="1189" t="s">
        <v>1607</v>
      </c>
      <c r="M41" s="1194" t="s">
        <v>494</v>
      </c>
      <c r="N41" s="1191" t="s">
        <v>3080</v>
      </c>
      <c r="O41" s="1139" t="s">
        <v>351</v>
      </c>
      <c r="P41" s="1163"/>
      <c r="Q41" s="1163"/>
      <c r="R41" s="1192"/>
    </row>
    <row r="42" spans="1:18">
      <c r="A42" s="982">
        <v>1</v>
      </c>
      <c r="B42" s="1133"/>
      <c r="C42" s="1174"/>
      <c r="D42" s="1133" t="s">
        <v>1601</v>
      </c>
      <c r="E42" s="1133"/>
      <c r="F42" s="1133"/>
      <c r="G42" s="1133"/>
      <c r="H42" s="1133"/>
      <c r="I42" s="1133"/>
      <c r="J42" s="1133"/>
      <c r="K42" s="1133"/>
      <c r="L42" s="1189" t="s">
        <v>1608</v>
      </c>
      <c r="M42" s="1194" t="s">
        <v>497</v>
      </c>
      <c r="N42" s="1191" t="s">
        <v>3081</v>
      </c>
      <c r="O42" s="1139" t="s">
        <v>351</v>
      </c>
      <c r="P42" s="1163"/>
      <c r="Q42" s="1163"/>
      <c r="R42" s="1192"/>
    </row>
    <row r="43" spans="1:18" ht="45">
      <c r="A43" s="982">
        <v>1</v>
      </c>
      <c r="B43" s="1133"/>
      <c r="C43" s="1174"/>
      <c r="D43" s="1133" t="s">
        <v>1603</v>
      </c>
      <c r="E43" s="1133"/>
      <c r="F43" s="1133"/>
      <c r="G43" s="1133"/>
      <c r="H43" s="1133"/>
      <c r="I43" s="1133"/>
      <c r="J43" s="1133"/>
      <c r="K43" s="1133"/>
      <c r="L43" s="1189" t="s">
        <v>1609</v>
      </c>
      <c r="M43" s="1194" t="s">
        <v>1207</v>
      </c>
      <c r="N43" s="1139" t="s">
        <v>1206</v>
      </c>
      <c r="O43" s="1139" t="s">
        <v>351</v>
      </c>
      <c r="P43" s="1163"/>
      <c r="Q43" s="1163"/>
      <c r="R43" s="1192"/>
    </row>
    <row r="44" spans="1:18" ht="22.5">
      <c r="A44" s="982">
        <v>1</v>
      </c>
      <c r="B44" s="1133"/>
      <c r="C44" s="1174"/>
      <c r="D44" s="1133" t="s">
        <v>1602</v>
      </c>
      <c r="E44" s="1133"/>
      <c r="F44" s="1133"/>
      <c r="G44" s="1133"/>
      <c r="H44" s="1133"/>
      <c r="I44" s="1133"/>
      <c r="J44" s="1133"/>
      <c r="K44" s="1133"/>
      <c r="L44" s="1189" t="s">
        <v>499</v>
      </c>
      <c r="M44" s="1196" t="s">
        <v>1204</v>
      </c>
      <c r="N44" s="1139" t="s">
        <v>1205</v>
      </c>
      <c r="O44" s="1139" t="s">
        <v>351</v>
      </c>
      <c r="P44" s="1163"/>
      <c r="Q44" s="1163"/>
      <c r="R44" s="1192"/>
    </row>
    <row r="45" spans="1:18" s="267" customFormat="1" ht="22.5">
      <c r="A45" s="982">
        <v>1</v>
      </c>
      <c r="B45" s="1146"/>
      <c r="C45" s="1146"/>
      <c r="D45" s="1133" t="s">
        <v>1481</v>
      </c>
      <c r="E45" s="1146"/>
      <c r="F45" s="1146"/>
      <c r="G45" s="1146"/>
      <c r="H45" s="1146"/>
      <c r="I45" s="1146"/>
      <c r="J45" s="1146"/>
      <c r="K45" s="1146"/>
      <c r="L45" s="1182" t="s">
        <v>500</v>
      </c>
      <c r="M45" s="1188" t="s">
        <v>501</v>
      </c>
      <c r="N45" s="1182" t="s">
        <v>3071</v>
      </c>
      <c r="O45" s="1184" t="s">
        <v>351</v>
      </c>
      <c r="P45" s="1161">
        <v>0</v>
      </c>
      <c r="Q45" s="1161">
        <v>0</v>
      </c>
      <c r="R45" s="1185"/>
    </row>
    <row r="46" spans="1:18" ht="33.75">
      <c r="A46" s="982">
        <v>1</v>
      </c>
      <c r="B46" s="1133"/>
      <c r="C46" s="1174"/>
      <c r="D46" s="1133" t="s">
        <v>1492</v>
      </c>
      <c r="E46" s="1133"/>
      <c r="F46" s="1133"/>
      <c r="G46" s="1133"/>
      <c r="H46" s="1133"/>
      <c r="I46" s="1133"/>
      <c r="J46" s="1133"/>
      <c r="K46" s="1133"/>
      <c r="L46" s="1189" t="s">
        <v>18</v>
      </c>
      <c r="M46" s="1198" t="s">
        <v>502</v>
      </c>
      <c r="N46" s="1191" t="s">
        <v>3082</v>
      </c>
      <c r="O46" s="1139" t="s">
        <v>351</v>
      </c>
      <c r="P46" s="1193">
        <v>0</v>
      </c>
      <c r="Q46" s="1193">
        <v>0</v>
      </c>
      <c r="R46" s="1192"/>
    </row>
    <row r="47" spans="1:18" ht="45">
      <c r="A47" s="982">
        <v>1</v>
      </c>
      <c r="B47" s="1133"/>
      <c r="C47" s="1174"/>
      <c r="D47" s="1133" t="s">
        <v>1604</v>
      </c>
      <c r="E47" s="1133"/>
      <c r="F47" s="1133"/>
      <c r="G47" s="1133"/>
      <c r="H47" s="1133"/>
      <c r="I47" s="1133"/>
      <c r="J47" s="1133"/>
      <c r="K47" s="1133"/>
      <c r="L47" s="1189" t="s">
        <v>149</v>
      </c>
      <c r="M47" s="1196" t="s">
        <v>504</v>
      </c>
      <c r="N47" s="1191" t="s">
        <v>3083</v>
      </c>
      <c r="O47" s="1139" t="s">
        <v>351</v>
      </c>
      <c r="P47" s="1163"/>
      <c r="Q47" s="1163"/>
      <c r="R47" s="1192"/>
    </row>
    <row r="48" spans="1:18" ht="33.75">
      <c r="A48" s="982">
        <v>1</v>
      </c>
      <c r="B48" s="1133"/>
      <c r="C48" s="1174"/>
      <c r="D48" s="1133" t="s">
        <v>1605</v>
      </c>
      <c r="E48" s="1133"/>
      <c r="F48" s="1133"/>
      <c r="G48" s="1133"/>
      <c r="H48" s="1133"/>
      <c r="I48" s="1133"/>
      <c r="J48" s="1133"/>
      <c r="K48" s="1133"/>
      <c r="L48" s="1189" t="s">
        <v>150</v>
      </c>
      <c r="M48" s="1196" t="s">
        <v>506</v>
      </c>
      <c r="N48" s="1191" t="s">
        <v>3084</v>
      </c>
      <c r="O48" s="1139" t="s">
        <v>351</v>
      </c>
      <c r="P48" s="1163"/>
      <c r="Q48" s="1163"/>
      <c r="R48" s="1192"/>
    </row>
    <row r="49" spans="1:18" ht="22.5">
      <c r="A49" s="982">
        <v>1</v>
      </c>
      <c r="B49" s="1133"/>
      <c r="C49" s="1174"/>
      <c r="D49" s="1133" t="s">
        <v>1483</v>
      </c>
      <c r="E49" s="1133"/>
      <c r="F49" s="1133"/>
      <c r="G49" s="1133"/>
      <c r="H49" s="1133"/>
      <c r="I49" s="1133"/>
      <c r="J49" s="1133"/>
      <c r="K49" s="1133"/>
      <c r="L49" s="1139" t="s">
        <v>1125</v>
      </c>
      <c r="M49" s="1199" t="s">
        <v>1186</v>
      </c>
      <c r="N49" s="1191" t="s">
        <v>3085</v>
      </c>
      <c r="O49" s="1139" t="s">
        <v>351</v>
      </c>
      <c r="P49" s="1116"/>
      <c r="Q49" s="1116"/>
      <c r="R49" s="1192"/>
    </row>
    <row r="50" spans="1:18" ht="101.25">
      <c r="A50" s="982">
        <v>1</v>
      </c>
      <c r="B50" s="1133"/>
      <c r="C50" s="1174"/>
      <c r="D50" s="1133" t="s">
        <v>1484</v>
      </c>
      <c r="E50" s="1133"/>
      <c r="F50" s="1133"/>
      <c r="G50" s="1133"/>
      <c r="H50" s="1133"/>
      <c r="I50" s="1133"/>
      <c r="J50" s="1133"/>
      <c r="K50" s="1133"/>
      <c r="L50" s="1139" t="s">
        <v>1126</v>
      </c>
      <c r="M50" s="1199" t="s">
        <v>508</v>
      </c>
      <c r="N50" s="1191" t="s">
        <v>3086</v>
      </c>
      <c r="O50" s="1139" t="s">
        <v>351</v>
      </c>
      <c r="P50" s="1116"/>
      <c r="Q50" s="1116"/>
      <c r="R50" s="1192"/>
    </row>
    <row r="51" spans="1:18" ht="78.75">
      <c r="A51" s="982">
        <v>1</v>
      </c>
      <c r="B51" s="1133"/>
      <c r="C51" s="1200" t="b">
        <v>0</v>
      </c>
      <c r="D51" s="1133" t="s">
        <v>1485</v>
      </c>
      <c r="E51" s="1133"/>
      <c r="F51" s="1133"/>
      <c r="G51" s="1133"/>
      <c r="H51" s="1133"/>
      <c r="I51" s="1133"/>
      <c r="J51" s="1133"/>
      <c r="K51" s="1133"/>
      <c r="L51" s="1139" t="s">
        <v>1613</v>
      </c>
      <c r="M51" s="1199" t="s">
        <v>1610</v>
      </c>
      <c r="N51" s="1191"/>
      <c r="O51" s="1139" t="s">
        <v>351</v>
      </c>
      <c r="P51" s="1116"/>
      <c r="Q51" s="984">
        <v>0</v>
      </c>
      <c r="R51" s="1192"/>
    </row>
    <row r="52" spans="1:18" ht="56.25">
      <c r="A52" s="982">
        <v>1</v>
      </c>
      <c r="B52" s="1133"/>
      <c r="C52" s="1200" t="b">
        <v>0</v>
      </c>
      <c r="D52" s="1133" t="s">
        <v>1486</v>
      </c>
      <c r="E52" s="1133"/>
      <c r="F52" s="1133"/>
      <c r="G52" s="1133"/>
      <c r="H52" s="1133"/>
      <c r="I52" s="1133"/>
      <c r="J52" s="1133"/>
      <c r="K52" s="1133"/>
      <c r="L52" s="1139" t="s">
        <v>1614</v>
      </c>
      <c r="M52" s="1199" t="s">
        <v>1611</v>
      </c>
      <c r="N52" s="1191"/>
      <c r="O52" s="1139" t="s">
        <v>351</v>
      </c>
      <c r="P52" s="1116"/>
      <c r="Q52" s="984">
        <v>0</v>
      </c>
      <c r="R52" s="1192"/>
    </row>
    <row r="53" spans="1:18">
      <c r="A53" s="982">
        <v>1</v>
      </c>
      <c r="B53" s="1133"/>
      <c r="C53" s="1174"/>
      <c r="D53" s="1133" t="s">
        <v>1487</v>
      </c>
      <c r="E53" s="1133"/>
      <c r="F53" s="1133"/>
      <c r="G53" s="1133"/>
      <c r="H53" s="1133"/>
      <c r="I53" s="1133"/>
      <c r="J53" s="1133"/>
      <c r="K53" s="1133"/>
      <c r="L53" s="1139" t="s">
        <v>1615</v>
      </c>
      <c r="M53" s="1199" t="s">
        <v>644</v>
      </c>
      <c r="N53" s="1191"/>
      <c r="O53" s="1139" t="s">
        <v>351</v>
      </c>
      <c r="P53" s="1116"/>
      <c r="Q53" s="1116"/>
      <c r="R53" s="1192"/>
    </row>
    <row r="54" spans="1:18" s="267" customFormat="1">
      <c r="A54" s="982">
        <v>1</v>
      </c>
      <c r="B54" s="1146"/>
      <c r="C54" s="1146"/>
      <c r="D54" s="1146" t="s">
        <v>1494</v>
      </c>
      <c r="E54" s="1146"/>
      <c r="F54" s="1146"/>
      <c r="G54" s="1146"/>
      <c r="H54" s="1146"/>
      <c r="I54" s="1146"/>
      <c r="J54" s="1146"/>
      <c r="K54" s="1146"/>
      <c r="L54" s="1184" t="s">
        <v>1616</v>
      </c>
      <c r="M54" s="1188" t="s">
        <v>645</v>
      </c>
      <c r="N54" s="1182"/>
      <c r="O54" s="1184" t="s">
        <v>351</v>
      </c>
      <c r="P54" s="1201">
        <v>0</v>
      </c>
      <c r="Q54" s="1201">
        <v>0</v>
      </c>
      <c r="R54" s="1185"/>
    </row>
    <row r="55" spans="1:18" ht="22.5">
      <c r="A55" s="982">
        <v>1</v>
      </c>
      <c r="B55" s="1133"/>
      <c r="C55" s="1174"/>
      <c r="D55" s="1133" t="s">
        <v>1504</v>
      </c>
      <c r="E55" s="1133"/>
      <c r="F55" s="1133"/>
      <c r="G55" s="1133"/>
      <c r="H55" s="1133"/>
      <c r="I55" s="1133"/>
      <c r="J55" s="1133"/>
      <c r="K55" s="1133"/>
      <c r="L55" s="1139">
        <v>1</v>
      </c>
      <c r="M55" s="1196" t="s">
        <v>646</v>
      </c>
      <c r="N55" s="1191"/>
      <c r="O55" s="1139" t="s">
        <v>351</v>
      </c>
      <c r="P55" s="1116"/>
      <c r="Q55" s="1116"/>
      <c r="R55" s="1192"/>
    </row>
    <row r="56" spans="1:18" ht="22.5">
      <c r="A56" s="982">
        <v>1</v>
      </c>
      <c r="B56" s="1133"/>
      <c r="C56" s="1174"/>
      <c r="D56" s="1133" t="s">
        <v>1505</v>
      </c>
      <c r="E56" s="1133"/>
      <c r="F56" s="1133"/>
      <c r="G56" s="1133"/>
      <c r="H56" s="1133"/>
      <c r="I56" s="1133"/>
      <c r="J56" s="1133"/>
      <c r="K56" s="1133"/>
      <c r="L56" s="1139">
        <v>2</v>
      </c>
      <c r="M56" s="1196" t="s">
        <v>647</v>
      </c>
      <c r="N56" s="1191"/>
      <c r="O56" s="1139" t="s">
        <v>351</v>
      </c>
      <c r="P56" s="1116"/>
      <c r="Q56" s="1116"/>
      <c r="R56" s="1192"/>
    </row>
    <row r="57" spans="1:18">
      <c r="A57" s="982">
        <v>1</v>
      </c>
      <c r="B57" s="1133"/>
      <c r="C57" s="1174"/>
      <c r="D57" s="1133" t="s">
        <v>1495</v>
      </c>
      <c r="E57" s="1133"/>
      <c r="F57" s="1133"/>
      <c r="G57" s="1133"/>
      <c r="H57" s="1133"/>
      <c r="I57" s="1133"/>
      <c r="J57" s="1133"/>
      <c r="K57" s="1133"/>
      <c r="L57" s="1139" t="s">
        <v>1617</v>
      </c>
      <c r="M57" s="1199" t="s">
        <v>648</v>
      </c>
      <c r="N57" s="1191"/>
      <c r="O57" s="1139" t="s">
        <v>351</v>
      </c>
      <c r="P57" s="1116"/>
      <c r="Q57" s="1116"/>
      <c r="R57" s="1192"/>
    </row>
    <row r="58" spans="1:18">
      <c r="A58" s="982">
        <v>1</v>
      </c>
      <c r="B58" s="1133"/>
      <c r="C58" s="1174"/>
      <c r="D58" s="1133" t="s">
        <v>1496</v>
      </c>
      <c r="E58" s="1133"/>
      <c r="F58" s="1133"/>
      <c r="G58" s="1133"/>
      <c r="H58" s="1133"/>
      <c r="I58" s="1133"/>
      <c r="J58" s="1133"/>
      <c r="K58" s="1133"/>
      <c r="L58" s="1139" t="s">
        <v>1618</v>
      </c>
      <c r="M58" s="1199" t="s">
        <v>649</v>
      </c>
      <c r="N58" s="1191"/>
      <c r="O58" s="1139" t="s">
        <v>351</v>
      </c>
      <c r="P58" s="1116"/>
      <c r="Q58" s="1116"/>
      <c r="R58" s="1192"/>
    </row>
    <row r="59" spans="1:18" s="267" customFormat="1">
      <c r="A59" s="982">
        <v>1</v>
      </c>
      <c r="B59" s="1146"/>
      <c r="C59" s="1146"/>
      <c r="D59" s="1146" t="s">
        <v>1497</v>
      </c>
      <c r="E59" s="1146"/>
      <c r="F59" s="1146"/>
      <c r="G59" s="1146"/>
      <c r="H59" s="1146"/>
      <c r="I59" s="1146"/>
      <c r="J59" s="1146"/>
      <c r="K59" s="1146"/>
      <c r="L59" s="1184" t="s">
        <v>1619</v>
      </c>
      <c r="M59" s="1188" t="s">
        <v>1612</v>
      </c>
      <c r="N59" s="1182"/>
      <c r="O59" s="1184" t="s">
        <v>351</v>
      </c>
      <c r="P59" s="1202">
        <v>0</v>
      </c>
      <c r="Q59" s="1202">
        <v>115.93000000000006</v>
      </c>
      <c r="R59" s="1185"/>
    </row>
    <row r="60" spans="1:18">
      <c r="A60" s="1133"/>
      <c r="B60" s="1133"/>
      <c r="C60" s="1174"/>
      <c r="D60" s="1133"/>
      <c r="E60" s="1133"/>
      <c r="F60" s="1133"/>
      <c r="G60" s="1133"/>
      <c r="H60" s="1133"/>
      <c r="I60" s="1133"/>
      <c r="J60" s="1133"/>
      <c r="K60" s="1133"/>
      <c r="L60" s="1151"/>
      <c r="M60" s="1133"/>
      <c r="N60" s="1133"/>
      <c r="O60" s="1133"/>
      <c r="P60" s="1133"/>
      <c r="Q60" s="1133"/>
      <c r="R60" s="1133"/>
    </row>
    <row r="61" spans="1:18" ht="15" customHeight="1">
      <c r="A61" s="1133"/>
      <c r="B61" s="1133"/>
      <c r="C61" s="1174"/>
      <c r="D61" s="1133"/>
      <c r="E61" s="1133"/>
      <c r="F61" s="1133"/>
      <c r="G61" s="1133"/>
      <c r="H61" s="1133"/>
      <c r="I61" s="1133"/>
      <c r="J61" s="1133"/>
      <c r="K61" s="1133"/>
      <c r="L61" s="1152" t="s">
        <v>1425</v>
      </c>
      <c r="M61" s="1152"/>
      <c r="N61" s="1152"/>
      <c r="O61" s="1152"/>
      <c r="P61" s="1152"/>
      <c r="Q61" s="1152"/>
      <c r="R61" s="1152"/>
    </row>
    <row r="62" spans="1:18" ht="15" customHeight="1">
      <c r="A62" s="1133"/>
      <c r="B62" s="1133"/>
      <c r="C62" s="1174"/>
      <c r="D62" s="1133"/>
      <c r="E62" s="1133"/>
      <c r="F62" s="1133"/>
      <c r="G62" s="1133"/>
      <c r="H62" s="1133"/>
      <c r="I62" s="1133"/>
      <c r="J62" s="1133"/>
      <c r="K62" s="807"/>
      <c r="L62" s="1203" t="s">
        <v>2998</v>
      </c>
      <c r="M62" s="1154"/>
      <c r="N62" s="1154"/>
      <c r="O62" s="1154"/>
      <c r="P62" s="1154"/>
      <c r="Q62" s="1154"/>
      <c r="R62" s="1154"/>
    </row>
  </sheetData>
  <sheetProtection formatColumns="0" formatRows="0" autoFilter="0"/>
  <mergeCells count="7">
    <mergeCell ref="R14:R15"/>
    <mergeCell ref="L14:L15"/>
    <mergeCell ref="M14:M15"/>
    <mergeCell ref="N14:N15"/>
    <mergeCell ref="O14:O15"/>
    <mergeCell ref="L61:R61"/>
    <mergeCell ref="L62:R62"/>
  </mergeCells>
  <phoneticPr fontId="13" type="noConversion"/>
  <dataValidations count="1">
    <dataValidation type="decimal" allowBlank="1" showErrorMessage="1" errorTitle="Ошибка" error="Допускается ввод только действительных чисел!" sqref="P23:Q32 P47:Q59 P34:Q44 P20:Q20 P18:Q1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5"/>
  <sheetViews>
    <sheetView showGridLines="0" view="pageBreakPreview" zoomScale="90" zoomScaleNormal="100" zoomScaleSheetLayoutView="90" workbookViewId="0">
      <pane xSplit="14" ySplit="15" topLeftCell="AH120" activePane="bottomRight" state="frozen"/>
      <selection activeCell="M11" sqref="M11"/>
      <selection pane="topRight" activeCell="M11" sqref="M11"/>
      <selection pane="bottomLeft" activeCell="M11" sqref="M11"/>
      <selection pane="bottomRight" activeCell="M149" sqref="M149"/>
    </sheetView>
  </sheetViews>
  <sheetFormatPr defaultColWidth="9.140625" defaultRowHeight="10.5"/>
  <cols>
    <col min="1" max="1" width="2.7109375" style="104" hidden="1" customWidth="1"/>
    <col min="2" max="2" width="19.5703125" style="104" hidden="1" customWidth="1"/>
    <col min="3" max="4" width="12" style="104" hidden="1" customWidth="1"/>
    <col min="5"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4" width="13.28515625" style="104" customWidth="1"/>
    <col min="25" max="29" width="13.28515625" style="104" hidden="1" customWidth="1"/>
    <col min="30" max="34" width="13.28515625" style="104" customWidth="1"/>
    <col min="35" max="39" width="13.28515625" style="104" hidden="1" customWidth="1"/>
    <col min="40" max="44" width="13.28515625" style="104" customWidth="1"/>
    <col min="45" max="49" width="13.28515625" style="104" hidden="1" customWidth="1"/>
    <col min="50" max="50" width="19.5703125" style="104" customWidth="1"/>
    <col min="51" max="51" width="17.85546875" style="104" customWidth="1"/>
    <col min="52" max="52" width="31.85546875" style="104" customWidth="1"/>
    <col min="53" max="53" width="17.85546875" style="104" customWidth="1"/>
    <col min="54" max="16384" width="9.140625" style="104"/>
  </cols>
  <sheetData>
    <row r="1" spans="1:53" ht="11.25" hidden="1">
      <c r="A1" s="1098"/>
      <c r="B1" s="1098"/>
      <c r="C1" s="1098"/>
      <c r="D1" s="1098"/>
      <c r="E1" s="1098"/>
      <c r="F1" s="1098"/>
      <c r="G1" s="1098"/>
      <c r="H1" s="1098"/>
      <c r="I1" s="1098"/>
      <c r="J1" s="1098"/>
      <c r="K1" s="1098"/>
      <c r="L1" s="1204"/>
      <c r="M1" s="1205"/>
      <c r="N1" s="1204"/>
      <c r="O1" s="1098">
        <v>2022</v>
      </c>
      <c r="P1" s="1098">
        <v>2022</v>
      </c>
      <c r="Q1" s="1098">
        <v>2022</v>
      </c>
      <c r="R1" s="1098">
        <v>2022</v>
      </c>
      <c r="S1" s="934">
        <v>2023</v>
      </c>
      <c r="T1" s="934">
        <v>2024</v>
      </c>
      <c r="U1" s="934">
        <v>2025</v>
      </c>
      <c r="V1" s="934">
        <v>2026</v>
      </c>
      <c r="W1" s="934">
        <v>2027</v>
      </c>
      <c r="X1" s="934">
        <v>2028</v>
      </c>
      <c r="Y1" s="934">
        <v>2029</v>
      </c>
      <c r="Z1" s="934">
        <v>2030</v>
      </c>
      <c r="AA1" s="934">
        <v>2031</v>
      </c>
      <c r="AB1" s="934">
        <v>2032</v>
      </c>
      <c r="AC1" s="934">
        <v>2033</v>
      </c>
      <c r="AD1" s="934">
        <v>2024</v>
      </c>
      <c r="AE1" s="934">
        <v>2025</v>
      </c>
      <c r="AF1" s="934">
        <v>2026</v>
      </c>
      <c r="AG1" s="934">
        <v>2027</v>
      </c>
      <c r="AH1" s="934">
        <v>2028</v>
      </c>
      <c r="AI1" s="934">
        <v>2029</v>
      </c>
      <c r="AJ1" s="934">
        <v>2030</v>
      </c>
      <c r="AK1" s="934">
        <v>2031</v>
      </c>
      <c r="AL1" s="934">
        <v>2032</v>
      </c>
      <c r="AM1" s="934">
        <v>2033</v>
      </c>
      <c r="AN1" s="934">
        <v>2024</v>
      </c>
      <c r="AO1" s="934">
        <v>2025</v>
      </c>
      <c r="AP1" s="934">
        <v>2026</v>
      </c>
      <c r="AQ1" s="934">
        <v>2027</v>
      </c>
      <c r="AR1" s="934">
        <v>2028</v>
      </c>
      <c r="AS1" s="934">
        <v>2029</v>
      </c>
      <c r="AT1" s="934">
        <v>2030</v>
      </c>
      <c r="AU1" s="934">
        <v>2031</v>
      </c>
      <c r="AV1" s="934">
        <v>2032</v>
      </c>
      <c r="AW1" s="934">
        <v>2033</v>
      </c>
      <c r="AX1" s="1098"/>
      <c r="AY1" s="1098"/>
      <c r="AZ1" s="1098"/>
      <c r="BA1" s="1098"/>
    </row>
    <row r="2" spans="1:53" ht="11.25" hidden="1">
      <c r="A2" s="1098"/>
      <c r="B2" s="1098"/>
      <c r="C2" s="1098"/>
      <c r="D2" s="1098"/>
      <c r="E2" s="1098"/>
      <c r="F2" s="1098"/>
      <c r="G2" s="1098"/>
      <c r="H2" s="1098"/>
      <c r="I2" s="1098"/>
      <c r="J2" s="1098"/>
      <c r="K2" s="1098"/>
      <c r="L2" s="1204"/>
      <c r="M2" s="1205"/>
      <c r="N2" s="1204"/>
      <c r="O2" s="934" t="s">
        <v>267</v>
      </c>
      <c r="P2" s="934" t="s">
        <v>305</v>
      </c>
      <c r="Q2" s="934" t="s">
        <v>285</v>
      </c>
      <c r="R2" s="934" t="s">
        <v>1159</v>
      </c>
      <c r="S2" s="934" t="s">
        <v>267</v>
      </c>
      <c r="T2" s="934" t="s">
        <v>268</v>
      </c>
      <c r="U2" s="934" t="s">
        <v>268</v>
      </c>
      <c r="V2" s="934" t="s">
        <v>268</v>
      </c>
      <c r="W2" s="934" t="s">
        <v>268</v>
      </c>
      <c r="X2" s="934" t="s">
        <v>268</v>
      </c>
      <c r="Y2" s="934" t="s">
        <v>268</v>
      </c>
      <c r="Z2" s="934" t="s">
        <v>268</v>
      </c>
      <c r="AA2" s="934" t="s">
        <v>268</v>
      </c>
      <c r="AB2" s="934" t="s">
        <v>268</v>
      </c>
      <c r="AC2" s="934" t="s">
        <v>268</v>
      </c>
      <c r="AD2" s="934" t="s">
        <v>267</v>
      </c>
      <c r="AE2" s="934" t="s">
        <v>267</v>
      </c>
      <c r="AF2" s="934" t="s">
        <v>267</v>
      </c>
      <c r="AG2" s="934" t="s">
        <v>267</v>
      </c>
      <c r="AH2" s="934" t="s">
        <v>267</v>
      </c>
      <c r="AI2" s="934" t="s">
        <v>267</v>
      </c>
      <c r="AJ2" s="934" t="s">
        <v>267</v>
      </c>
      <c r="AK2" s="934" t="s">
        <v>267</v>
      </c>
      <c r="AL2" s="934" t="s">
        <v>267</v>
      </c>
      <c r="AM2" s="934" t="s">
        <v>267</v>
      </c>
      <c r="AN2" s="934"/>
      <c r="AO2" s="934"/>
      <c r="AP2" s="934"/>
      <c r="AQ2" s="934"/>
      <c r="AR2" s="934"/>
      <c r="AS2" s="934"/>
      <c r="AT2" s="934"/>
      <c r="AU2" s="934"/>
      <c r="AV2" s="934"/>
      <c r="AW2" s="934"/>
      <c r="AX2" s="1098"/>
      <c r="AY2" s="1098"/>
      <c r="AZ2" s="1098"/>
      <c r="BA2" s="1098"/>
    </row>
    <row r="3" spans="1:53" ht="11.25" hidden="1">
      <c r="A3" s="1098"/>
      <c r="B3" s="1098"/>
      <c r="C3" s="1098"/>
      <c r="D3" s="1098"/>
      <c r="E3" s="1098"/>
      <c r="F3" s="1098"/>
      <c r="G3" s="1098"/>
      <c r="H3" s="1098"/>
      <c r="I3" s="1098"/>
      <c r="J3" s="1098"/>
      <c r="K3" s="1098"/>
      <c r="L3" s="1204"/>
      <c r="M3" s="1205"/>
      <c r="N3" s="1204"/>
      <c r="O3" s="934" t="s">
        <v>3032</v>
      </c>
      <c r="P3" s="934" t="s">
        <v>3033</v>
      </c>
      <c r="Q3" s="934" t="s">
        <v>3034</v>
      </c>
      <c r="R3" s="934" t="s">
        <v>3088</v>
      </c>
      <c r="S3" s="934" t="s">
        <v>3036</v>
      </c>
      <c r="T3" s="934" t="s">
        <v>3037</v>
      </c>
      <c r="U3" s="934" t="s">
        <v>3042</v>
      </c>
      <c r="V3" s="934" t="s">
        <v>3044</v>
      </c>
      <c r="W3" s="934" t="s">
        <v>3046</v>
      </c>
      <c r="X3" s="934" t="s">
        <v>3048</v>
      </c>
      <c r="Y3" s="934" t="s">
        <v>3050</v>
      </c>
      <c r="Z3" s="934" t="s">
        <v>3052</v>
      </c>
      <c r="AA3" s="934" t="s">
        <v>3054</v>
      </c>
      <c r="AB3" s="934" t="s">
        <v>3056</v>
      </c>
      <c r="AC3" s="934" t="s">
        <v>3058</v>
      </c>
      <c r="AD3" s="934" t="s">
        <v>3038</v>
      </c>
      <c r="AE3" s="934" t="s">
        <v>3043</v>
      </c>
      <c r="AF3" s="934" t="s">
        <v>3045</v>
      </c>
      <c r="AG3" s="934" t="s">
        <v>3047</v>
      </c>
      <c r="AH3" s="934" t="s">
        <v>3049</v>
      </c>
      <c r="AI3" s="934" t="s">
        <v>3051</v>
      </c>
      <c r="AJ3" s="934" t="s">
        <v>3053</v>
      </c>
      <c r="AK3" s="934" t="s">
        <v>3055</v>
      </c>
      <c r="AL3" s="934" t="s">
        <v>3057</v>
      </c>
      <c r="AM3" s="934" t="s">
        <v>3059</v>
      </c>
      <c r="AN3" s="934"/>
      <c r="AO3" s="934"/>
      <c r="AP3" s="934"/>
      <c r="AQ3" s="934"/>
      <c r="AR3" s="934"/>
      <c r="AS3" s="934"/>
      <c r="AT3" s="934"/>
      <c r="AU3" s="934"/>
      <c r="AV3" s="934"/>
      <c r="AW3" s="934"/>
      <c r="AX3" s="1098"/>
      <c r="AY3" s="1098"/>
      <c r="AZ3" s="1098"/>
      <c r="BA3" s="1098"/>
    </row>
    <row r="4" spans="1:53" ht="11.25" hidden="1">
      <c r="A4" s="1098"/>
      <c r="B4" s="1098"/>
      <c r="C4" s="1098"/>
      <c r="D4" s="1098"/>
      <c r="E4" s="1098"/>
      <c r="F4" s="1098"/>
      <c r="G4" s="1098"/>
      <c r="H4" s="1098"/>
      <c r="I4" s="1098"/>
      <c r="J4" s="1098"/>
      <c r="K4" s="1098"/>
      <c r="L4" s="1204"/>
      <c r="M4" s="1205"/>
      <c r="N4" s="1204"/>
      <c r="O4" s="1098"/>
      <c r="P4" s="1098"/>
      <c r="Q4" s="1098"/>
      <c r="R4" s="1098"/>
      <c r="S4" s="1098"/>
      <c r="T4" s="934"/>
      <c r="U4" s="934"/>
      <c r="V4" s="934"/>
      <c r="W4" s="934"/>
      <c r="X4" s="934"/>
      <c r="Y4" s="934"/>
      <c r="Z4" s="934"/>
      <c r="AA4" s="934"/>
      <c r="AB4" s="934"/>
      <c r="AC4" s="934"/>
      <c r="AD4" s="934"/>
      <c r="AE4" s="934"/>
      <c r="AF4" s="934"/>
      <c r="AG4" s="934"/>
      <c r="AH4" s="934"/>
      <c r="AI4" s="934"/>
      <c r="AJ4" s="934"/>
      <c r="AK4" s="934"/>
      <c r="AL4" s="934"/>
      <c r="AM4" s="934"/>
      <c r="AN4" s="934"/>
      <c r="AO4" s="934"/>
      <c r="AP4" s="934"/>
      <c r="AQ4" s="934"/>
      <c r="AR4" s="934"/>
      <c r="AS4" s="934"/>
      <c r="AT4" s="934"/>
      <c r="AU4" s="934"/>
      <c r="AV4" s="934"/>
      <c r="AW4" s="934"/>
      <c r="AX4" s="1098"/>
      <c r="AY4" s="1098"/>
      <c r="AZ4" s="1098"/>
      <c r="BA4" s="1098"/>
    </row>
    <row r="5" spans="1:53" ht="11.25" hidden="1">
      <c r="A5" s="1098"/>
      <c r="B5" s="1098"/>
      <c r="C5" s="1098"/>
      <c r="D5" s="1098"/>
      <c r="E5" s="1098"/>
      <c r="F5" s="1098"/>
      <c r="G5" s="1098"/>
      <c r="H5" s="1098"/>
      <c r="I5" s="1098"/>
      <c r="J5" s="1098"/>
      <c r="K5" s="1098"/>
      <c r="L5" s="1204"/>
      <c r="M5" s="1205"/>
      <c r="N5" s="1204"/>
      <c r="O5" s="1098"/>
      <c r="P5" s="1098"/>
      <c r="Q5" s="1098"/>
      <c r="R5" s="1098"/>
      <c r="S5" s="1098"/>
      <c r="T5" s="934"/>
      <c r="U5" s="934"/>
      <c r="V5" s="934"/>
      <c r="W5" s="934"/>
      <c r="X5" s="934"/>
      <c r="Y5" s="934"/>
      <c r="Z5" s="934"/>
      <c r="AA5" s="934"/>
      <c r="AB5" s="934"/>
      <c r="AC5" s="934"/>
      <c r="AD5" s="934"/>
      <c r="AE5" s="934"/>
      <c r="AF5" s="934"/>
      <c r="AG5" s="934"/>
      <c r="AH5" s="934"/>
      <c r="AI5" s="934"/>
      <c r="AJ5" s="934"/>
      <c r="AK5" s="934"/>
      <c r="AL5" s="934"/>
      <c r="AM5" s="934"/>
      <c r="AN5" s="934"/>
      <c r="AO5" s="934"/>
      <c r="AP5" s="934"/>
      <c r="AQ5" s="934"/>
      <c r="AR5" s="934"/>
      <c r="AS5" s="934"/>
      <c r="AT5" s="934"/>
      <c r="AU5" s="934"/>
      <c r="AV5" s="934"/>
      <c r="AW5" s="934"/>
      <c r="AX5" s="1098"/>
      <c r="AY5" s="1098"/>
      <c r="AZ5" s="1098"/>
      <c r="BA5" s="1098"/>
    </row>
    <row r="6" spans="1:53" ht="11.25" hidden="1">
      <c r="A6" s="1098"/>
      <c r="B6" s="1098"/>
      <c r="C6" s="1098"/>
      <c r="D6" s="1098"/>
      <c r="E6" s="1098"/>
      <c r="F6" s="1098"/>
      <c r="G6" s="1098"/>
      <c r="H6" s="1098"/>
      <c r="I6" s="1098"/>
      <c r="J6" s="1098"/>
      <c r="K6" s="1098"/>
      <c r="L6" s="1204"/>
      <c r="M6" s="1205"/>
      <c r="N6" s="1204"/>
      <c r="O6" s="1098"/>
      <c r="P6" s="1098"/>
      <c r="Q6" s="1098"/>
      <c r="R6" s="1098"/>
      <c r="S6" s="1098"/>
      <c r="T6" s="934"/>
      <c r="U6" s="934"/>
      <c r="V6" s="934"/>
      <c r="W6" s="934"/>
      <c r="X6" s="934"/>
      <c r="Y6" s="934"/>
      <c r="Z6" s="934"/>
      <c r="AA6" s="934"/>
      <c r="AB6" s="934"/>
      <c r="AC6" s="934"/>
      <c r="AD6" s="934"/>
      <c r="AE6" s="934"/>
      <c r="AF6" s="934"/>
      <c r="AG6" s="934"/>
      <c r="AH6" s="934"/>
      <c r="AI6" s="934"/>
      <c r="AJ6" s="934"/>
      <c r="AK6" s="934"/>
      <c r="AL6" s="934"/>
      <c r="AM6" s="934"/>
      <c r="AN6" s="934"/>
      <c r="AO6" s="934"/>
      <c r="AP6" s="934"/>
      <c r="AQ6" s="934"/>
      <c r="AR6" s="934"/>
      <c r="AS6" s="934"/>
      <c r="AT6" s="934"/>
      <c r="AU6" s="934"/>
      <c r="AV6" s="934"/>
      <c r="AW6" s="934"/>
      <c r="AX6" s="1098"/>
      <c r="AY6" s="1098"/>
      <c r="AZ6" s="1098"/>
      <c r="BA6" s="1098"/>
    </row>
    <row r="7" spans="1:53" ht="11.25" hidden="1">
      <c r="A7" s="1098"/>
      <c r="B7" s="1098"/>
      <c r="C7" s="1098"/>
      <c r="D7" s="1098"/>
      <c r="E7" s="1098"/>
      <c r="F7" s="1098"/>
      <c r="G7" s="1098"/>
      <c r="H7" s="1098"/>
      <c r="I7" s="1098"/>
      <c r="J7" s="1098"/>
      <c r="K7" s="1098"/>
      <c r="L7" s="1204"/>
      <c r="M7" s="1205"/>
      <c r="N7" s="1204"/>
      <c r="O7" s="1098"/>
      <c r="P7" s="1098"/>
      <c r="Q7" s="1098"/>
      <c r="R7" s="1098"/>
      <c r="S7" s="1098"/>
      <c r="T7" s="886" t="b">
        <v>1</v>
      </c>
      <c r="U7" s="886" t="b">
        <v>1</v>
      </c>
      <c r="V7" s="886" t="b">
        <v>1</v>
      </c>
      <c r="W7" s="886" t="b">
        <v>1</v>
      </c>
      <c r="X7" s="886" t="b">
        <v>1</v>
      </c>
      <c r="Y7" s="886" t="b">
        <v>0</v>
      </c>
      <c r="Z7" s="886" t="b">
        <v>0</v>
      </c>
      <c r="AA7" s="886" t="b">
        <v>0</v>
      </c>
      <c r="AB7" s="886" t="b">
        <v>0</v>
      </c>
      <c r="AC7" s="886" t="b">
        <v>0</v>
      </c>
      <c r="AD7" s="886" t="b">
        <v>1</v>
      </c>
      <c r="AE7" s="886" t="b">
        <v>1</v>
      </c>
      <c r="AF7" s="886" t="b">
        <v>1</v>
      </c>
      <c r="AG7" s="886" t="b">
        <v>1</v>
      </c>
      <c r="AH7" s="886" t="b">
        <v>1</v>
      </c>
      <c r="AI7" s="886" t="b">
        <v>0</v>
      </c>
      <c r="AJ7" s="886" t="b">
        <v>0</v>
      </c>
      <c r="AK7" s="886" t="b">
        <v>0</v>
      </c>
      <c r="AL7" s="886" t="b">
        <v>0</v>
      </c>
      <c r="AM7" s="886" t="b">
        <v>0</v>
      </c>
      <c r="AN7" s="886" t="b">
        <v>1</v>
      </c>
      <c r="AO7" s="886" t="b">
        <v>1</v>
      </c>
      <c r="AP7" s="886" t="b">
        <v>1</v>
      </c>
      <c r="AQ7" s="886" t="b">
        <v>1</v>
      </c>
      <c r="AR7" s="886" t="b">
        <v>1</v>
      </c>
      <c r="AS7" s="886" t="b">
        <v>0</v>
      </c>
      <c r="AT7" s="886" t="b">
        <v>0</v>
      </c>
      <c r="AU7" s="886" t="b">
        <v>0</v>
      </c>
      <c r="AV7" s="886" t="b">
        <v>0</v>
      </c>
      <c r="AW7" s="886" t="b">
        <v>0</v>
      </c>
      <c r="AX7" s="1098"/>
      <c r="AY7" s="1098"/>
      <c r="AZ7" s="1098"/>
      <c r="BA7" s="1098"/>
    </row>
    <row r="8" spans="1:53" hidden="1">
      <c r="A8" s="1098"/>
      <c r="B8" s="1098"/>
      <c r="C8" s="1098"/>
      <c r="D8" s="1098"/>
      <c r="E8" s="1098"/>
      <c r="F8" s="1098"/>
      <c r="G8" s="1098"/>
      <c r="H8" s="1098"/>
      <c r="I8" s="1098"/>
      <c r="J8" s="1098"/>
      <c r="K8" s="1098"/>
      <c r="L8" s="1204"/>
      <c r="M8" s="1205"/>
      <c r="N8" s="1204"/>
      <c r="O8" s="1098"/>
      <c r="P8" s="1098"/>
      <c r="Q8" s="1098"/>
      <c r="R8" s="1098"/>
      <c r="S8" s="1098"/>
      <c r="T8" s="1098"/>
      <c r="U8" s="1098"/>
      <c r="V8" s="1098"/>
      <c r="W8" s="1098"/>
      <c r="X8" s="1098"/>
      <c r="Y8" s="1098"/>
      <c r="Z8" s="1098"/>
      <c r="AA8" s="1098"/>
      <c r="AB8" s="1098"/>
      <c r="AC8" s="1098"/>
      <c r="AD8" s="1098"/>
      <c r="AE8" s="1098"/>
      <c r="AF8" s="1098"/>
      <c r="AG8" s="1098"/>
      <c r="AH8" s="1098"/>
      <c r="AI8" s="1098"/>
      <c r="AJ8" s="1098"/>
      <c r="AK8" s="1098"/>
      <c r="AL8" s="1098"/>
      <c r="AM8" s="1098"/>
      <c r="AN8" s="1098"/>
      <c r="AO8" s="1098"/>
      <c r="AP8" s="1098"/>
      <c r="AQ8" s="1098"/>
      <c r="AR8" s="1098"/>
      <c r="AS8" s="1098"/>
      <c r="AT8" s="1098"/>
      <c r="AU8" s="1098"/>
      <c r="AV8" s="1098"/>
      <c r="AW8" s="1098"/>
      <c r="AX8" s="1098"/>
      <c r="AY8" s="1098"/>
      <c r="AZ8" s="1098"/>
      <c r="BA8" s="1098"/>
    </row>
    <row r="9" spans="1:53" hidden="1">
      <c r="A9" s="1098"/>
      <c r="B9" s="1098"/>
      <c r="C9" s="1098"/>
      <c r="D9" s="1098"/>
      <c r="E9" s="1098"/>
      <c r="F9" s="1098"/>
      <c r="G9" s="1098"/>
      <c r="H9" s="1098"/>
      <c r="I9" s="1098"/>
      <c r="J9" s="1098"/>
      <c r="K9" s="1098"/>
      <c r="L9" s="1204"/>
      <c r="M9" s="1205"/>
      <c r="N9" s="1204"/>
      <c r="O9" s="1098"/>
      <c r="P9" s="1098"/>
      <c r="Q9" s="1098"/>
      <c r="R9" s="1098"/>
      <c r="S9" s="1098"/>
      <c r="T9" s="1098"/>
      <c r="U9" s="1098"/>
      <c r="V9" s="1098"/>
      <c r="W9" s="1098"/>
      <c r="X9" s="1098"/>
      <c r="Y9" s="1098"/>
      <c r="Z9" s="1098"/>
      <c r="AA9" s="1098"/>
      <c r="AB9" s="1098"/>
      <c r="AC9" s="1098"/>
      <c r="AD9" s="1098"/>
      <c r="AE9" s="1098"/>
      <c r="AF9" s="1098"/>
      <c r="AG9" s="1098"/>
      <c r="AH9" s="1098"/>
      <c r="AI9" s="1098"/>
      <c r="AJ9" s="1098"/>
      <c r="AK9" s="1098"/>
      <c r="AL9" s="1098"/>
      <c r="AM9" s="1098"/>
      <c r="AN9" s="1098"/>
      <c r="AO9" s="1098"/>
      <c r="AP9" s="1098"/>
      <c r="AQ9" s="1098"/>
      <c r="AR9" s="1098"/>
      <c r="AS9" s="1098"/>
      <c r="AT9" s="1098"/>
      <c r="AU9" s="1098"/>
      <c r="AV9" s="1098"/>
      <c r="AW9" s="1098"/>
      <c r="AX9" s="1098"/>
      <c r="AY9" s="1098"/>
      <c r="AZ9" s="1098"/>
      <c r="BA9" s="1098"/>
    </row>
    <row r="10" spans="1:53" hidden="1">
      <c r="A10" s="1098"/>
      <c r="B10" s="1098"/>
      <c r="C10" s="1098"/>
      <c r="D10" s="1098"/>
      <c r="E10" s="1098"/>
      <c r="F10" s="1098"/>
      <c r="G10" s="1098"/>
      <c r="H10" s="1098"/>
      <c r="I10" s="1098"/>
      <c r="J10" s="1098"/>
      <c r="K10" s="1098"/>
      <c r="L10" s="1204"/>
      <c r="M10" s="1205"/>
      <c r="N10" s="1204"/>
      <c r="O10" s="1098"/>
      <c r="P10" s="1098"/>
      <c r="Q10" s="1098"/>
      <c r="R10" s="1098"/>
      <c r="S10" s="1098"/>
      <c r="T10" s="1098"/>
      <c r="U10" s="1098"/>
      <c r="V10" s="1098"/>
      <c r="W10" s="1098"/>
      <c r="X10" s="1098"/>
      <c r="Y10" s="1098"/>
      <c r="Z10" s="1098"/>
      <c r="AA10" s="1098"/>
      <c r="AB10" s="1098"/>
      <c r="AC10" s="1098"/>
      <c r="AD10" s="1098"/>
      <c r="AE10" s="1098"/>
      <c r="AF10" s="1098"/>
      <c r="AG10" s="1098"/>
      <c r="AH10" s="1098"/>
      <c r="AI10" s="1098"/>
      <c r="AJ10" s="1098"/>
      <c r="AK10" s="1098"/>
      <c r="AL10" s="1098"/>
      <c r="AM10" s="1098"/>
      <c r="AN10" s="1098"/>
      <c r="AO10" s="1098"/>
      <c r="AP10" s="1098"/>
      <c r="AQ10" s="1098"/>
      <c r="AR10" s="1098"/>
      <c r="AS10" s="1098"/>
      <c r="AT10" s="1098"/>
      <c r="AU10" s="1098"/>
      <c r="AV10" s="1098"/>
      <c r="AW10" s="1098"/>
      <c r="AX10" s="1098"/>
      <c r="AY10" s="1098"/>
      <c r="AZ10" s="1098"/>
      <c r="BA10" s="1098"/>
    </row>
    <row r="11" spans="1:53" ht="15" hidden="1" customHeight="1">
      <c r="A11" s="1098"/>
      <c r="B11" s="1098"/>
      <c r="C11" s="1098"/>
      <c r="D11" s="1098"/>
      <c r="E11" s="1098"/>
      <c r="F11" s="1098"/>
      <c r="G11" s="1098"/>
      <c r="H11" s="1098"/>
      <c r="I11" s="1098"/>
      <c r="J11" s="1098"/>
      <c r="K11" s="1098"/>
      <c r="L11" s="1098"/>
      <c r="M11" s="1135"/>
      <c r="N11" s="1098"/>
      <c r="O11" s="1098"/>
      <c r="P11" s="1098"/>
      <c r="Q11" s="1098"/>
      <c r="R11" s="1098"/>
      <c r="S11" s="1098"/>
      <c r="T11" s="1098"/>
      <c r="U11" s="1098"/>
      <c r="V11" s="1098"/>
      <c r="W11" s="1098"/>
      <c r="X11" s="1098"/>
      <c r="Y11" s="1098"/>
      <c r="Z11" s="1098"/>
      <c r="AA11" s="1098"/>
      <c r="AB11" s="1098"/>
      <c r="AC11" s="1098"/>
      <c r="AD11" s="1098"/>
      <c r="AE11" s="1098"/>
      <c r="AF11" s="1098"/>
      <c r="AG11" s="1098"/>
      <c r="AH11" s="1098"/>
      <c r="AI11" s="1098"/>
      <c r="AJ11" s="1098"/>
      <c r="AK11" s="1098"/>
      <c r="AL11" s="1098"/>
      <c r="AM11" s="1098"/>
      <c r="AN11" s="1098"/>
      <c r="AO11" s="1098"/>
      <c r="AP11" s="1098"/>
      <c r="AQ11" s="1098"/>
      <c r="AR11" s="1098"/>
      <c r="AS11" s="1098"/>
      <c r="AT11" s="1098"/>
      <c r="AU11" s="1098"/>
      <c r="AV11" s="1098"/>
      <c r="AW11" s="1098"/>
      <c r="AX11" s="1098"/>
      <c r="AY11" s="1098"/>
      <c r="AZ11" s="1098"/>
      <c r="BA11" s="1098"/>
    </row>
    <row r="12" spans="1:53" s="105" customFormat="1" ht="20.100000000000001" customHeight="1">
      <c r="A12" s="1206"/>
      <c r="B12" s="1206"/>
      <c r="C12" s="1206"/>
      <c r="D12" s="1206"/>
      <c r="E12" s="1206"/>
      <c r="F12" s="1206"/>
      <c r="G12" s="1206"/>
      <c r="H12" s="1206"/>
      <c r="I12" s="1206"/>
      <c r="J12" s="1206"/>
      <c r="K12" s="1206"/>
      <c r="L12" s="436" t="s">
        <v>1339</v>
      </c>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1206"/>
    </row>
    <row r="13" spans="1:53" s="105" customFormat="1">
      <c r="A13" s="1206"/>
      <c r="B13" s="1206"/>
      <c r="C13" s="1206"/>
      <c r="D13" s="1206"/>
      <c r="E13" s="1206"/>
      <c r="F13" s="1206"/>
      <c r="G13" s="1206"/>
      <c r="H13" s="1206"/>
      <c r="I13" s="1206"/>
      <c r="J13" s="1206"/>
      <c r="K13" s="1206"/>
      <c r="L13" s="1207"/>
      <c r="M13" s="1207"/>
      <c r="N13" s="1207"/>
      <c r="O13" s="1207"/>
      <c r="P13" s="1207"/>
      <c r="Q13" s="1207"/>
      <c r="R13" s="1207"/>
      <c r="S13" s="1207"/>
      <c r="T13" s="1207"/>
      <c r="U13" s="1207"/>
      <c r="V13" s="1207"/>
      <c r="W13" s="1207"/>
      <c r="X13" s="1207"/>
      <c r="Y13" s="1207"/>
      <c r="Z13" s="1207"/>
      <c r="AA13" s="1207"/>
      <c r="AB13" s="1207"/>
      <c r="AC13" s="1207"/>
      <c r="AD13" s="1207"/>
      <c r="AE13" s="1207"/>
      <c r="AF13" s="1207"/>
      <c r="AG13" s="1207"/>
      <c r="AH13" s="1207"/>
      <c r="AI13" s="1207"/>
      <c r="AJ13" s="1207"/>
      <c r="AK13" s="1207"/>
      <c r="AL13" s="1207"/>
      <c r="AM13" s="1207"/>
      <c r="AN13" s="1207"/>
      <c r="AO13" s="1207"/>
      <c r="AP13" s="1207"/>
      <c r="AQ13" s="1207"/>
      <c r="AR13" s="1207"/>
      <c r="AS13" s="1207"/>
      <c r="AT13" s="1207"/>
      <c r="AU13" s="1207"/>
      <c r="AV13" s="1207"/>
      <c r="AW13" s="1207"/>
      <c r="AX13" s="1207"/>
      <c r="AY13" s="1207"/>
      <c r="AZ13" s="1207"/>
      <c r="BA13" s="1206"/>
    </row>
    <row r="14" spans="1:53" s="103" customFormat="1" ht="24.75" customHeight="1">
      <c r="A14" s="1205"/>
      <c r="B14" s="1205"/>
      <c r="C14" s="1205"/>
      <c r="D14" s="1205"/>
      <c r="E14" s="1205"/>
      <c r="F14" s="1205"/>
      <c r="G14" s="1205"/>
      <c r="H14" s="1205"/>
      <c r="I14" s="1205"/>
      <c r="J14" s="1205"/>
      <c r="K14" s="1205"/>
      <c r="L14" s="1208" t="s">
        <v>16</v>
      </c>
      <c r="M14" s="1208" t="s">
        <v>121</v>
      </c>
      <c r="N14" s="1208" t="s">
        <v>135</v>
      </c>
      <c r="O14" s="1209" t="s">
        <v>3020</v>
      </c>
      <c r="P14" s="1209" t="s">
        <v>3020</v>
      </c>
      <c r="Q14" s="1209" t="s">
        <v>3020</v>
      </c>
      <c r="R14" s="1209" t="s">
        <v>3020</v>
      </c>
      <c r="S14" s="903" t="s">
        <v>3021</v>
      </c>
      <c r="T14" s="940" t="s">
        <v>3022</v>
      </c>
      <c r="U14" s="940" t="s">
        <v>3060</v>
      </c>
      <c r="V14" s="940" t="s">
        <v>3061</v>
      </c>
      <c r="W14" s="940" t="s">
        <v>3062</v>
      </c>
      <c r="X14" s="940" t="s">
        <v>3063</v>
      </c>
      <c r="Y14" s="940" t="s">
        <v>3064</v>
      </c>
      <c r="Z14" s="940" t="s">
        <v>3065</v>
      </c>
      <c r="AA14" s="940" t="s">
        <v>3066</v>
      </c>
      <c r="AB14" s="940" t="s">
        <v>3067</v>
      </c>
      <c r="AC14" s="940" t="s">
        <v>3068</v>
      </c>
      <c r="AD14" s="940" t="s">
        <v>3022</v>
      </c>
      <c r="AE14" s="940" t="s">
        <v>3060</v>
      </c>
      <c r="AF14" s="940" t="s">
        <v>3061</v>
      </c>
      <c r="AG14" s="940" t="s">
        <v>3062</v>
      </c>
      <c r="AH14" s="940" t="s">
        <v>3063</v>
      </c>
      <c r="AI14" s="940" t="s">
        <v>3064</v>
      </c>
      <c r="AJ14" s="940" t="s">
        <v>3065</v>
      </c>
      <c r="AK14" s="940" t="s">
        <v>3066</v>
      </c>
      <c r="AL14" s="940" t="s">
        <v>3067</v>
      </c>
      <c r="AM14" s="940" t="s">
        <v>3068</v>
      </c>
      <c r="AN14" s="940" t="s">
        <v>3022</v>
      </c>
      <c r="AO14" s="940" t="s">
        <v>3060</v>
      </c>
      <c r="AP14" s="940" t="s">
        <v>3061</v>
      </c>
      <c r="AQ14" s="940" t="s">
        <v>3062</v>
      </c>
      <c r="AR14" s="940" t="s">
        <v>3063</v>
      </c>
      <c r="AS14" s="940" t="s">
        <v>3064</v>
      </c>
      <c r="AT14" s="940" t="s">
        <v>3065</v>
      </c>
      <c r="AU14" s="940" t="s">
        <v>3066</v>
      </c>
      <c r="AV14" s="940" t="s">
        <v>3067</v>
      </c>
      <c r="AW14" s="940" t="s">
        <v>3068</v>
      </c>
      <c r="AX14" s="1210" t="s">
        <v>1088</v>
      </c>
      <c r="AY14" s="1210" t="s">
        <v>304</v>
      </c>
      <c r="AZ14" s="1210" t="s">
        <v>1095</v>
      </c>
      <c r="BA14" s="1211"/>
    </row>
    <row r="15" spans="1:53" s="103" customFormat="1" ht="45.75" customHeight="1">
      <c r="A15" s="1205"/>
      <c r="B15" s="1205"/>
      <c r="C15" s="1205"/>
      <c r="D15" s="1205"/>
      <c r="E15" s="1205"/>
      <c r="F15" s="1205"/>
      <c r="G15" s="1205"/>
      <c r="H15" s="1205"/>
      <c r="I15" s="1205"/>
      <c r="J15" s="1205"/>
      <c r="K15" s="1205"/>
      <c r="L15" s="1208"/>
      <c r="M15" s="1208"/>
      <c r="N15" s="1208"/>
      <c r="O15" s="903" t="s">
        <v>267</v>
      </c>
      <c r="P15" s="903" t="s">
        <v>305</v>
      </c>
      <c r="Q15" s="903" t="s">
        <v>285</v>
      </c>
      <c r="R15" s="1209" t="s">
        <v>1159</v>
      </c>
      <c r="S15" s="903" t="s">
        <v>267</v>
      </c>
      <c r="T15" s="943" t="s">
        <v>268</v>
      </c>
      <c r="U15" s="943" t="s">
        <v>268</v>
      </c>
      <c r="V15" s="943" t="s">
        <v>268</v>
      </c>
      <c r="W15" s="943" t="s">
        <v>268</v>
      </c>
      <c r="X15" s="943" t="s">
        <v>268</v>
      </c>
      <c r="Y15" s="943" t="s">
        <v>268</v>
      </c>
      <c r="Z15" s="943" t="s">
        <v>268</v>
      </c>
      <c r="AA15" s="943" t="s">
        <v>268</v>
      </c>
      <c r="AB15" s="943" t="s">
        <v>268</v>
      </c>
      <c r="AC15" s="943" t="s">
        <v>268</v>
      </c>
      <c r="AD15" s="943" t="s">
        <v>267</v>
      </c>
      <c r="AE15" s="943" t="s">
        <v>267</v>
      </c>
      <c r="AF15" s="943" t="s">
        <v>267</v>
      </c>
      <c r="AG15" s="943" t="s">
        <v>267</v>
      </c>
      <c r="AH15" s="943" t="s">
        <v>267</v>
      </c>
      <c r="AI15" s="943" t="s">
        <v>267</v>
      </c>
      <c r="AJ15" s="943" t="s">
        <v>267</v>
      </c>
      <c r="AK15" s="943" t="s">
        <v>267</v>
      </c>
      <c r="AL15" s="943" t="s">
        <v>267</v>
      </c>
      <c r="AM15" s="943" t="s">
        <v>267</v>
      </c>
      <c r="AN15" s="1210" t="s">
        <v>1358</v>
      </c>
      <c r="AO15" s="1210"/>
      <c r="AP15" s="1210"/>
      <c r="AQ15" s="1210"/>
      <c r="AR15" s="1210"/>
      <c r="AS15" s="1210"/>
      <c r="AT15" s="1210"/>
      <c r="AU15" s="1210"/>
      <c r="AV15" s="1210"/>
      <c r="AW15" s="1210"/>
      <c r="AX15" s="1210"/>
      <c r="AY15" s="1210"/>
      <c r="AZ15" s="1210"/>
      <c r="BA15" s="1211"/>
    </row>
    <row r="16" spans="1:53" s="80" customFormat="1" ht="11.25">
      <c r="A16" s="944" t="s">
        <v>18</v>
      </c>
      <c r="B16" s="1180" t="s">
        <v>995</v>
      </c>
      <c r="C16" s="927"/>
      <c r="D16" s="1180" t="s">
        <v>992</v>
      </c>
      <c r="E16" s="927"/>
      <c r="F16" s="927"/>
      <c r="G16" s="927"/>
      <c r="H16" s="927"/>
      <c r="I16" s="927"/>
      <c r="J16" s="927"/>
      <c r="K16" s="927"/>
      <c r="L16" s="1212" t="s">
        <v>3018</v>
      </c>
      <c r="M16" s="1213"/>
      <c r="N16" s="1213"/>
      <c r="O16" s="1213"/>
      <c r="P16" s="1213"/>
      <c r="Q16" s="1213"/>
      <c r="R16" s="1213"/>
      <c r="S16" s="1213"/>
      <c r="T16" s="1213"/>
      <c r="U16" s="1213"/>
      <c r="V16" s="1213"/>
      <c r="W16" s="1213"/>
      <c r="X16" s="1213"/>
      <c r="Y16" s="1213"/>
      <c r="Z16" s="1213"/>
      <c r="AA16" s="1213"/>
      <c r="AB16" s="1213"/>
      <c r="AC16" s="1213"/>
      <c r="AD16" s="1213"/>
      <c r="AE16" s="1213"/>
      <c r="AF16" s="1213"/>
      <c r="AG16" s="1213"/>
      <c r="AH16" s="1213"/>
      <c r="AI16" s="1213"/>
      <c r="AJ16" s="1213"/>
      <c r="AK16" s="1213"/>
      <c r="AL16" s="1213"/>
      <c r="AM16" s="1213"/>
      <c r="AN16" s="1213"/>
      <c r="AO16" s="1213"/>
      <c r="AP16" s="1213"/>
      <c r="AQ16" s="1213"/>
      <c r="AR16" s="1213"/>
      <c r="AS16" s="1213"/>
      <c r="AT16" s="1213"/>
      <c r="AU16" s="1213"/>
      <c r="AV16" s="1213"/>
      <c r="AW16" s="1213"/>
      <c r="AX16" s="1213"/>
      <c r="AY16" s="1213"/>
      <c r="AZ16" s="1213"/>
      <c r="BA16" s="927"/>
    </row>
    <row r="17" spans="1:53" s="107" customFormat="1" ht="11.25">
      <c r="A17" s="982">
        <v>1</v>
      </c>
      <c r="B17" s="1214"/>
      <c r="C17" s="1215"/>
      <c r="D17" s="1215" t="s">
        <v>1480</v>
      </c>
      <c r="E17" s="1214"/>
      <c r="F17" s="1214"/>
      <c r="G17" s="1214"/>
      <c r="H17" s="1214"/>
      <c r="I17" s="1214"/>
      <c r="J17" s="1214"/>
      <c r="K17" s="1214"/>
      <c r="L17" s="1216" t="s">
        <v>18</v>
      </c>
      <c r="M17" s="1217" t="s">
        <v>511</v>
      </c>
      <c r="N17" s="1218" t="s">
        <v>351</v>
      </c>
      <c r="O17" s="1219">
        <v>749.31</v>
      </c>
      <c r="P17" s="1219">
        <v>789.29</v>
      </c>
      <c r="Q17" s="1219">
        <v>864.1</v>
      </c>
      <c r="R17" s="1219">
        <v>74.810000000000059</v>
      </c>
      <c r="S17" s="1219">
        <v>789.29</v>
      </c>
      <c r="T17" s="1219">
        <v>1146.828</v>
      </c>
      <c r="U17" s="1220">
        <v>1146.828</v>
      </c>
      <c r="V17" s="1220">
        <v>1146.828</v>
      </c>
      <c r="W17" s="1220">
        <v>1146.828</v>
      </c>
      <c r="X17" s="1220">
        <v>1146.828</v>
      </c>
      <c r="Y17" s="1220">
        <v>1146.828</v>
      </c>
      <c r="Z17" s="1220">
        <v>1146.828</v>
      </c>
      <c r="AA17" s="1220">
        <v>1146.828</v>
      </c>
      <c r="AB17" s="1220">
        <v>1146.828</v>
      </c>
      <c r="AC17" s="1220">
        <v>1146.828</v>
      </c>
      <c r="AD17" s="1219">
        <v>931.37840000000006</v>
      </c>
      <c r="AE17" s="1220">
        <v>960.79</v>
      </c>
      <c r="AF17" s="1220">
        <v>989.23</v>
      </c>
      <c r="AG17" s="1220">
        <v>1018.51</v>
      </c>
      <c r="AH17" s="1220">
        <v>1048.6600000000001</v>
      </c>
      <c r="AI17" s="1220">
        <v>1048.6600000000001</v>
      </c>
      <c r="AJ17" s="1220">
        <v>1048.6600000000001</v>
      </c>
      <c r="AK17" s="1220">
        <v>1048.6600000000001</v>
      </c>
      <c r="AL17" s="1220">
        <v>1048.6600000000001</v>
      </c>
      <c r="AM17" s="1220">
        <v>1048.6600000000001</v>
      </c>
      <c r="AN17" s="1219">
        <v>18.002052477543121</v>
      </c>
      <c r="AO17" s="1219">
        <v>3.1578572146401402</v>
      </c>
      <c r="AP17" s="1219">
        <v>2.9600641139062702</v>
      </c>
      <c r="AQ17" s="1219">
        <v>2.9598778848195035</v>
      </c>
      <c r="AR17" s="1219">
        <v>2.9602065762731922</v>
      </c>
      <c r="AS17" s="1219">
        <v>0</v>
      </c>
      <c r="AT17" s="1219">
        <v>0</v>
      </c>
      <c r="AU17" s="1219">
        <v>0</v>
      </c>
      <c r="AV17" s="1219">
        <v>0</v>
      </c>
      <c r="AW17" s="1219">
        <v>0</v>
      </c>
      <c r="AX17" s="951"/>
      <c r="AY17" s="951"/>
      <c r="AZ17" s="951"/>
      <c r="BA17" s="1221"/>
    </row>
    <row r="18" spans="1:53" ht="11.25">
      <c r="A18" s="982">
        <v>1</v>
      </c>
      <c r="B18" s="1098"/>
      <c r="C18" s="1222"/>
      <c r="D18" s="1222" t="s">
        <v>1491</v>
      </c>
      <c r="E18" s="1098"/>
      <c r="F18" s="1098"/>
      <c r="G18" s="1098"/>
      <c r="H18" s="1098"/>
      <c r="I18" s="1098"/>
      <c r="J18" s="1098"/>
      <c r="K18" s="1098"/>
      <c r="L18" s="1223" t="s">
        <v>149</v>
      </c>
      <c r="M18" s="1224" t="s">
        <v>512</v>
      </c>
      <c r="N18" s="1225"/>
      <c r="O18" s="1226"/>
      <c r="P18" s="1226"/>
      <c r="Q18" s="1226"/>
      <c r="R18" s="1227">
        <v>0</v>
      </c>
      <c r="S18" s="1226"/>
      <c r="T18" s="1226"/>
      <c r="U18" s="1226">
        <v>1</v>
      </c>
      <c r="V18" s="1226">
        <v>1</v>
      </c>
      <c r="W18" s="1226">
        <v>1</v>
      </c>
      <c r="X18" s="1226">
        <v>1</v>
      </c>
      <c r="Y18" s="1226">
        <v>1</v>
      </c>
      <c r="Z18" s="1226">
        <v>1</v>
      </c>
      <c r="AA18" s="1226">
        <v>1</v>
      </c>
      <c r="AB18" s="1226">
        <v>1</v>
      </c>
      <c r="AC18" s="1226">
        <v>1</v>
      </c>
      <c r="AD18" s="1226"/>
      <c r="AE18" s="1226">
        <v>1</v>
      </c>
      <c r="AF18" s="1226">
        <v>1</v>
      </c>
      <c r="AG18" s="1226">
        <v>1</v>
      </c>
      <c r="AH18" s="1226">
        <v>1.04</v>
      </c>
      <c r="AI18" s="1226">
        <v>1</v>
      </c>
      <c r="AJ18" s="1226">
        <v>1</v>
      </c>
      <c r="AK18" s="1226">
        <v>1</v>
      </c>
      <c r="AL18" s="1226">
        <v>1</v>
      </c>
      <c r="AM18" s="1226">
        <v>1</v>
      </c>
      <c r="AN18" s="1228">
        <v>0</v>
      </c>
      <c r="AO18" s="403"/>
      <c r="AP18" s="403"/>
      <c r="AQ18" s="403"/>
      <c r="AR18" s="403"/>
      <c r="AS18" s="403"/>
      <c r="AT18" s="403"/>
      <c r="AU18" s="403"/>
      <c r="AV18" s="403"/>
      <c r="AW18" s="403"/>
      <c r="AX18" s="951"/>
      <c r="AY18" s="951"/>
      <c r="AZ18" s="951"/>
      <c r="BA18" s="1098"/>
    </row>
    <row r="19" spans="1:53" s="106" customFormat="1" ht="11.25">
      <c r="A19" s="982">
        <v>1</v>
      </c>
      <c r="B19" s="1221"/>
      <c r="C19" s="1215"/>
      <c r="D19" s="1215" t="s">
        <v>1489</v>
      </c>
      <c r="E19" s="1221"/>
      <c r="F19" s="1221"/>
      <c r="G19" s="1221"/>
      <c r="H19" s="1221"/>
      <c r="I19" s="1221"/>
      <c r="J19" s="1221"/>
      <c r="K19" s="1221"/>
      <c r="L19" s="1216" t="s">
        <v>150</v>
      </c>
      <c r="M19" s="1229" t="s">
        <v>513</v>
      </c>
      <c r="N19" s="1218" t="s">
        <v>351</v>
      </c>
      <c r="O19" s="1219">
        <v>749.31</v>
      </c>
      <c r="P19" s="1219">
        <v>789.29</v>
      </c>
      <c r="Q19" s="1219">
        <v>864.1</v>
      </c>
      <c r="R19" s="1219">
        <v>74.810000000000059</v>
      </c>
      <c r="S19" s="1219">
        <v>789.29</v>
      </c>
      <c r="T19" s="1219">
        <v>820.8</v>
      </c>
      <c r="U19" s="548"/>
      <c r="V19" s="548"/>
      <c r="W19" s="548"/>
      <c r="X19" s="548"/>
      <c r="Y19" s="548"/>
      <c r="Z19" s="548"/>
      <c r="AA19" s="548"/>
      <c r="AB19" s="548"/>
      <c r="AC19" s="548"/>
      <c r="AD19" s="1219">
        <v>617.35040000000004</v>
      </c>
      <c r="AE19" s="548"/>
      <c r="AF19" s="548"/>
      <c r="AG19" s="548"/>
      <c r="AH19" s="548"/>
      <c r="AI19" s="548"/>
      <c r="AJ19" s="548"/>
      <c r="AK19" s="548"/>
      <c r="AL19" s="548"/>
      <c r="AM19" s="548"/>
      <c r="AN19" s="1219">
        <v>-21.784084430310777</v>
      </c>
      <c r="AO19" s="548"/>
      <c r="AP19" s="548"/>
      <c r="AQ19" s="548"/>
      <c r="AR19" s="548"/>
      <c r="AS19" s="548"/>
      <c r="AT19" s="548"/>
      <c r="AU19" s="548"/>
      <c r="AV19" s="548"/>
      <c r="AW19" s="548"/>
      <c r="AX19" s="1230"/>
      <c r="AY19" s="1230"/>
      <c r="AZ19" s="1230"/>
      <c r="BA19" s="1221"/>
    </row>
    <row r="20" spans="1:53" ht="11.25">
      <c r="A20" s="982">
        <v>1</v>
      </c>
      <c r="B20" s="1098"/>
      <c r="C20" s="1222"/>
      <c r="D20" s="1222" t="s">
        <v>1573</v>
      </c>
      <c r="E20" s="1098"/>
      <c r="F20" s="1098"/>
      <c r="G20" s="1098"/>
      <c r="H20" s="1098"/>
      <c r="I20" s="1098"/>
      <c r="J20" s="1098"/>
      <c r="K20" s="1098"/>
      <c r="L20" s="1223" t="s">
        <v>514</v>
      </c>
      <c r="M20" s="1231" t="s">
        <v>515</v>
      </c>
      <c r="N20" s="1143" t="s">
        <v>351</v>
      </c>
      <c r="O20" s="1228">
        <v>749.31</v>
      </c>
      <c r="P20" s="1228">
        <v>789.29</v>
      </c>
      <c r="Q20" s="1228">
        <v>864.1</v>
      </c>
      <c r="R20" s="1228">
        <v>74.810000000000059</v>
      </c>
      <c r="S20" s="1228">
        <v>789.29</v>
      </c>
      <c r="T20" s="1228">
        <v>21</v>
      </c>
      <c r="U20" s="403"/>
      <c r="V20" s="403"/>
      <c r="W20" s="403"/>
      <c r="X20" s="403"/>
      <c r="Y20" s="403"/>
      <c r="Z20" s="403"/>
      <c r="AA20" s="403"/>
      <c r="AB20" s="403"/>
      <c r="AC20" s="403"/>
      <c r="AD20" s="1228">
        <v>0</v>
      </c>
      <c r="AE20" s="403"/>
      <c r="AF20" s="403"/>
      <c r="AG20" s="403"/>
      <c r="AH20" s="403"/>
      <c r="AI20" s="403"/>
      <c r="AJ20" s="403"/>
      <c r="AK20" s="403"/>
      <c r="AL20" s="403"/>
      <c r="AM20" s="403"/>
      <c r="AN20" s="1228">
        <v>-100</v>
      </c>
      <c r="AO20" s="403"/>
      <c r="AP20" s="403"/>
      <c r="AQ20" s="403"/>
      <c r="AR20" s="403"/>
      <c r="AS20" s="403"/>
      <c r="AT20" s="403"/>
      <c r="AU20" s="403"/>
      <c r="AV20" s="403"/>
      <c r="AW20" s="403"/>
      <c r="AX20" s="951"/>
      <c r="AY20" s="951"/>
      <c r="AZ20" s="951"/>
      <c r="BA20" s="1232"/>
    </row>
    <row r="21" spans="1:53" ht="11.25">
      <c r="A21" s="982">
        <v>1</v>
      </c>
      <c r="B21" s="1098"/>
      <c r="C21" s="1222"/>
      <c r="D21" s="1222" t="s">
        <v>1632</v>
      </c>
      <c r="E21" s="1098"/>
      <c r="F21" s="1098"/>
      <c r="G21" s="1098"/>
      <c r="H21" s="1098"/>
      <c r="I21" s="1098"/>
      <c r="J21" s="1098"/>
      <c r="K21" s="1098"/>
      <c r="L21" s="1223" t="s">
        <v>516</v>
      </c>
      <c r="M21" s="1233" t="s">
        <v>517</v>
      </c>
      <c r="N21" s="1234" t="s">
        <v>351</v>
      </c>
      <c r="O21" s="984">
        <v>749.31</v>
      </c>
      <c r="P21" s="984">
        <v>789.29</v>
      </c>
      <c r="Q21" s="984">
        <v>864.1</v>
      </c>
      <c r="R21" s="1228">
        <v>74.810000000000059</v>
      </c>
      <c r="S21" s="984">
        <v>789.29</v>
      </c>
      <c r="T21" s="984">
        <v>10</v>
      </c>
      <c r="U21" s="403"/>
      <c r="V21" s="403"/>
      <c r="W21" s="403"/>
      <c r="X21" s="403"/>
      <c r="Y21" s="403"/>
      <c r="Z21" s="403"/>
      <c r="AA21" s="403"/>
      <c r="AB21" s="403"/>
      <c r="AC21" s="403"/>
      <c r="AD21" s="984"/>
      <c r="AE21" s="403"/>
      <c r="AF21" s="403"/>
      <c r="AG21" s="403"/>
      <c r="AH21" s="403"/>
      <c r="AI21" s="403"/>
      <c r="AJ21" s="403"/>
      <c r="AK21" s="403"/>
      <c r="AL21" s="403"/>
      <c r="AM21" s="403"/>
      <c r="AN21" s="1228">
        <v>-100</v>
      </c>
      <c r="AO21" s="403"/>
      <c r="AP21" s="403"/>
      <c r="AQ21" s="403"/>
      <c r="AR21" s="403"/>
      <c r="AS21" s="403"/>
      <c r="AT21" s="403"/>
      <c r="AU21" s="403"/>
      <c r="AV21" s="403"/>
      <c r="AW21" s="403"/>
      <c r="AX21" s="951"/>
      <c r="AY21" s="951"/>
      <c r="AZ21" s="951"/>
      <c r="BA21" s="1098"/>
    </row>
    <row r="22" spans="1:53" ht="11.25">
      <c r="A22" s="982">
        <v>1</v>
      </c>
      <c r="B22" s="1098"/>
      <c r="C22" s="1222"/>
      <c r="D22" s="1222" t="s">
        <v>1633</v>
      </c>
      <c r="E22" s="1098"/>
      <c r="F22" s="1098"/>
      <c r="G22" s="1098"/>
      <c r="H22" s="1098"/>
      <c r="I22" s="1098"/>
      <c r="J22" s="1098"/>
      <c r="K22" s="1098"/>
      <c r="L22" s="1223" t="s">
        <v>518</v>
      </c>
      <c r="M22" s="1235" t="s">
        <v>519</v>
      </c>
      <c r="N22" s="1234" t="s">
        <v>351</v>
      </c>
      <c r="O22" s="984"/>
      <c r="P22" s="984"/>
      <c r="Q22" s="984"/>
      <c r="R22" s="1228">
        <v>0</v>
      </c>
      <c r="S22" s="984"/>
      <c r="T22" s="984">
        <v>11</v>
      </c>
      <c r="U22" s="403"/>
      <c r="V22" s="403"/>
      <c r="W22" s="403"/>
      <c r="X22" s="403"/>
      <c r="Y22" s="403"/>
      <c r="Z22" s="403"/>
      <c r="AA22" s="403"/>
      <c r="AB22" s="403"/>
      <c r="AC22" s="403"/>
      <c r="AD22" s="984"/>
      <c r="AE22" s="403"/>
      <c r="AF22" s="403"/>
      <c r="AG22" s="403"/>
      <c r="AH22" s="403"/>
      <c r="AI22" s="403"/>
      <c r="AJ22" s="403"/>
      <c r="AK22" s="403"/>
      <c r="AL22" s="403"/>
      <c r="AM22" s="403"/>
      <c r="AN22" s="1228">
        <v>0</v>
      </c>
      <c r="AO22" s="403"/>
      <c r="AP22" s="403"/>
      <c r="AQ22" s="403"/>
      <c r="AR22" s="403"/>
      <c r="AS22" s="403"/>
      <c r="AT22" s="403"/>
      <c r="AU22" s="403"/>
      <c r="AV22" s="403"/>
      <c r="AW22" s="403"/>
      <c r="AX22" s="951"/>
      <c r="AY22" s="951"/>
      <c r="AZ22" s="951"/>
      <c r="BA22" s="1098"/>
    </row>
    <row r="23" spans="1:53" ht="22.5">
      <c r="A23" s="982">
        <v>1</v>
      </c>
      <c r="B23" s="1098"/>
      <c r="C23" s="1222"/>
      <c r="D23" s="1222" t="s">
        <v>1574</v>
      </c>
      <c r="E23" s="1098"/>
      <c r="F23" s="1098"/>
      <c r="G23" s="1098"/>
      <c r="H23" s="1098"/>
      <c r="I23" s="1098"/>
      <c r="J23" s="1098"/>
      <c r="K23" s="1098"/>
      <c r="L23" s="1223" t="s">
        <v>520</v>
      </c>
      <c r="M23" s="1231" t="s">
        <v>521</v>
      </c>
      <c r="N23" s="1143" t="s">
        <v>351</v>
      </c>
      <c r="O23" s="984"/>
      <c r="P23" s="984"/>
      <c r="Q23" s="984"/>
      <c r="R23" s="1228">
        <v>0</v>
      </c>
      <c r="S23" s="984"/>
      <c r="T23" s="984"/>
      <c r="U23" s="403"/>
      <c r="V23" s="403"/>
      <c r="W23" s="403"/>
      <c r="X23" s="403"/>
      <c r="Y23" s="403"/>
      <c r="Z23" s="403"/>
      <c r="AA23" s="403"/>
      <c r="AB23" s="403"/>
      <c r="AC23" s="403"/>
      <c r="AD23" s="984"/>
      <c r="AE23" s="403"/>
      <c r="AF23" s="403"/>
      <c r="AG23" s="403"/>
      <c r="AH23" s="403"/>
      <c r="AI23" s="403"/>
      <c r="AJ23" s="403"/>
      <c r="AK23" s="403"/>
      <c r="AL23" s="403"/>
      <c r="AM23" s="403"/>
      <c r="AN23" s="1228">
        <v>0</v>
      </c>
      <c r="AO23" s="403"/>
      <c r="AP23" s="403"/>
      <c r="AQ23" s="403"/>
      <c r="AR23" s="403"/>
      <c r="AS23" s="403"/>
      <c r="AT23" s="403"/>
      <c r="AU23" s="403"/>
      <c r="AV23" s="403"/>
      <c r="AW23" s="403"/>
      <c r="AX23" s="951"/>
      <c r="AY23" s="951"/>
      <c r="AZ23" s="951"/>
      <c r="BA23" s="1098"/>
    </row>
    <row r="24" spans="1:53" ht="22.5">
      <c r="A24" s="982">
        <v>1</v>
      </c>
      <c r="B24" s="1098"/>
      <c r="C24" s="1222"/>
      <c r="D24" s="1222" t="s">
        <v>1575</v>
      </c>
      <c r="E24" s="1098"/>
      <c r="F24" s="1098"/>
      <c r="G24" s="1098"/>
      <c r="H24" s="1098"/>
      <c r="I24" s="1098"/>
      <c r="J24" s="1098"/>
      <c r="K24" s="1098"/>
      <c r="L24" s="1223" t="s">
        <v>522</v>
      </c>
      <c r="M24" s="1231" t="s">
        <v>1473</v>
      </c>
      <c r="N24" s="1234" t="s">
        <v>351</v>
      </c>
      <c r="O24" s="403">
        <v>0</v>
      </c>
      <c r="P24" s="403">
        <v>0</v>
      </c>
      <c r="Q24" s="403">
        <v>0</v>
      </c>
      <c r="R24" s="1228">
        <v>0</v>
      </c>
      <c r="S24" s="403">
        <v>0</v>
      </c>
      <c r="T24" s="403">
        <v>782.8</v>
      </c>
      <c r="U24" s="403"/>
      <c r="V24" s="403"/>
      <c r="W24" s="403"/>
      <c r="X24" s="403"/>
      <c r="Y24" s="403"/>
      <c r="Z24" s="403"/>
      <c r="AA24" s="403"/>
      <c r="AB24" s="403"/>
      <c r="AC24" s="403"/>
      <c r="AD24" s="403">
        <v>600.35040000000004</v>
      </c>
      <c r="AE24" s="403"/>
      <c r="AF24" s="403"/>
      <c r="AG24" s="403"/>
      <c r="AH24" s="403"/>
      <c r="AI24" s="403"/>
      <c r="AJ24" s="403"/>
      <c r="AK24" s="403"/>
      <c r="AL24" s="403"/>
      <c r="AM24" s="403"/>
      <c r="AN24" s="1228">
        <v>0</v>
      </c>
      <c r="AO24" s="403"/>
      <c r="AP24" s="403"/>
      <c r="AQ24" s="403"/>
      <c r="AR24" s="403"/>
      <c r="AS24" s="403"/>
      <c r="AT24" s="403"/>
      <c r="AU24" s="403"/>
      <c r="AV24" s="403"/>
      <c r="AW24" s="403"/>
      <c r="AX24" s="951"/>
      <c r="AY24" s="951"/>
      <c r="AZ24" s="951"/>
      <c r="BA24" s="1098"/>
    </row>
    <row r="25" spans="1:53" ht="11.25">
      <c r="A25" s="982">
        <v>1</v>
      </c>
      <c r="B25" s="1046" t="s">
        <v>1283</v>
      </c>
      <c r="C25" s="1222"/>
      <c r="D25" s="1222" t="s">
        <v>1594</v>
      </c>
      <c r="E25" s="1098"/>
      <c r="F25" s="1098"/>
      <c r="G25" s="1098"/>
      <c r="H25" s="1098"/>
      <c r="I25" s="1098"/>
      <c r="J25" s="1098"/>
      <c r="K25" s="1098"/>
      <c r="L25" s="1223" t="s">
        <v>523</v>
      </c>
      <c r="M25" s="1233" t="s">
        <v>524</v>
      </c>
      <c r="N25" s="1143" t="s">
        <v>351</v>
      </c>
      <c r="O25" s="1236">
        <v>0</v>
      </c>
      <c r="P25" s="1236">
        <v>0</v>
      </c>
      <c r="Q25" s="1236">
        <v>0</v>
      </c>
      <c r="R25" s="1228">
        <v>0</v>
      </c>
      <c r="S25" s="1236">
        <v>0</v>
      </c>
      <c r="T25" s="1236">
        <v>584.4</v>
      </c>
      <c r="U25" s="403"/>
      <c r="V25" s="403"/>
      <c r="W25" s="403"/>
      <c r="X25" s="403"/>
      <c r="Y25" s="403"/>
      <c r="Z25" s="403"/>
      <c r="AA25" s="403"/>
      <c r="AB25" s="403"/>
      <c r="AC25" s="403"/>
      <c r="AD25" s="1236">
        <v>461.80799999999999</v>
      </c>
      <c r="AE25" s="403"/>
      <c r="AF25" s="403"/>
      <c r="AG25" s="403"/>
      <c r="AH25" s="403"/>
      <c r="AI25" s="403"/>
      <c r="AJ25" s="403"/>
      <c r="AK25" s="403"/>
      <c r="AL25" s="403"/>
      <c r="AM25" s="403"/>
      <c r="AN25" s="1228">
        <v>0</v>
      </c>
      <c r="AO25" s="403"/>
      <c r="AP25" s="403"/>
      <c r="AQ25" s="403"/>
      <c r="AR25" s="403"/>
      <c r="AS25" s="403"/>
      <c r="AT25" s="403"/>
      <c r="AU25" s="403"/>
      <c r="AV25" s="403"/>
      <c r="AW25" s="403"/>
      <c r="AX25" s="951"/>
      <c r="AY25" s="951"/>
      <c r="AZ25" s="951"/>
      <c r="BA25" s="1098"/>
    </row>
    <row r="26" spans="1:53" ht="22.5">
      <c r="A26" s="982">
        <v>1</v>
      </c>
      <c r="B26" s="1046" t="s">
        <v>1285</v>
      </c>
      <c r="C26" s="1222"/>
      <c r="D26" s="1222" t="s">
        <v>1595</v>
      </c>
      <c r="E26" s="1098"/>
      <c r="F26" s="1098"/>
      <c r="G26" s="1098"/>
      <c r="H26" s="1098"/>
      <c r="I26" s="1098"/>
      <c r="J26" s="1098"/>
      <c r="K26" s="1098"/>
      <c r="L26" s="1223" t="s">
        <v>525</v>
      </c>
      <c r="M26" s="1233" t="s">
        <v>1468</v>
      </c>
      <c r="N26" s="1234" t="s">
        <v>351</v>
      </c>
      <c r="O26" s="1236">
        <v>0</v>
      </c>
      <c r="P26" s="1236">
        <v>0</v>
      </c>
      <c r="Q26" s="1236">
        <v>0</v>
      </c>
      <c r="R26" s="1228">
        <v>0</v>
      </c>
      <c r="S26" s="1236">
        <v>0</v>
      </c>
      <c r="T26" s="1236">
        <v>198.4</v>
      </c>
      <c r="U26" s="403"/>
      <c r="V26" s="403"/>
      <c r="W26" s="403"/>
      <c r="X26" s="403"/>
      <c r="Y26" s="403"/>
      <c r="Z26" s="403"/>
      <c r="AA26" s="403"/>
      <c r="AB26" s="403"/>
      <c r="AC26" s="403"/>
      <c r="AD26" s="1236">
        <v>138.54239999999999</v>
      </c>
      <c r="AE26" s="403"/>
      <c r="AF26" s="403"/>
      <c r="AG26" s="403"/>
      <c r="AH26" s="403"/>
      <c r="AI26" s="403"/>
      <c r="AJ26" s="403"/>
      <c r="AK26" s="403"/>
      <c r="AL26" s="403"/>
      <c r="AM26" s="403"/>
      <c r="AN26" s="1228">
        <v>0</v>
      </c>
      <c r="AO26" s="403"/>
      <c r="AP26" s="403"/>
      <c r="AQ26" s="403"/>
      <c r="AR26" s="403"/>
      <c r="AS26" s="403"/>
      <c r="AT26" s="403"/>
      <c r="AU26" s="403"/>
      <c r="AV26" s="403"/>
      <c r="AW26" s="403"/>
      <c r="AX26" s="951"/>
      <c r="AY26" s="951"/>
      <c r="AZ26" s="951"/>
      <c r="BA26" s="1098"/>
    </row>
    <row r="27" spans="1:53" ht="11.25">
      <c r="A27" s="982">
        <v>1</v>
      </c>
      <c r="B27" s="1098"/>
      <c r="C27" s="1222"/>
      <c r="D27" s="1222" t="s">
        <v>1597</v>
      </c>
      <c r="E27" s="1098"/>
      <c r="F27" s="1098"/>
      <c r="G27" s="1098"/>
      <c r="H27" s="1098"/>
      <c r="I27" s="1098"/>
      <c r="J27" s="1098"/>
      <c r="K27" s="1098"/>
      <c r="L27" s="1223" t="s">
        <v>526</v>
      </c>
      <c r="M27" s="1231" t="s">
        <v>527</v>
      </c>
      <c r="N27" s="1143" t="s">
        <v>351</v>
      </c>
      <c r="O27" s="984"/>
      <c r="P27" s="984"/>
      <c r="Q27" s="984"/>
      <c r="R27" s="1228">
        <v>0</v>
      </c>
      <c r="S27" s="984"/>
      <c r="T27" s="984"/>
      <c r="U27" s="403"/>
      <c r="V27" s="403"/>
      <c r="W27" s="403"/>
      <c r="X27" s="403"/>
      <c r="Y27" s="403"/>
      <c r="Z27" s="403"/>
      <c r="AA27" s="403"/>
      <c r="AB27" s="403"/>
      <c r="AC27" s="403"/>
      <c r="AD27" s="984"/>
      <c r="AE27" s="403"/>
      <c r="AF27" s="403"/>
      <c r="AG27" s="403"/>
      <c r="AH27" s="403"/>
      <c r="AI27" s="403"/>
      <c r="AJ27" s="403"/>
      <c r="AK27" s="403"/>
      <c r="AL27" s="403"/>
      <c r="AM27" s="403"/>
      <c r="AN27" s="1228">
        <v>0</v>
      </c>
      <c r="AO27" s="403"/>
      <c r="AP27" s="403"/>
      <c r="AQ27" s="403"/>
      <c r="AR27" s="403"/>
      <c r="AS27" s="403"/>
      <c r="AT27" s="403"/>
      <c r="AU27" s="403"/>
      <c r="AV27" s="403"/>
      <c r="AW27" s="403"/>
      <c r="AX27" s="951"/>
      <c r="AY27" s="951"/>
      <c r="AZ27" s="951"/>
      <c r="BA27" s="1098"/>
    </row>
    <row r="28" spans="1:53" ht="11.25">
      <c r="A28" s="982">
        <v>1</v>
      </c>
      <c r="B28" s="1098"/>
      <c r="C28" s="1222"/>
      <c r="D28" s="1222" t="s">
        <v>1598</v>
      </c>
      <c r="E28" s="1098"/>
      <c r="F28" s="1098"/>
      <c r="G28" s="1098"/>
      <c r="H28" s="1098"/>
      <c r="I28" s="1098"/>
      <c r="J28" s="1098"/>
      <c r="K28" s="1098"/>
      <c r="L28" s="1223" t="s">
        <v>528</v>
      </c>
      <c r="M28" s="1237" t="s">
        <v>529</v>
      </c>
      <c r="N28" s="1225" t="s">
        <v>351</v>
      </c>
      <c r="O28" s="1228">
        <v>0</v>
      </c>
      <c r="P28" s="1228">
        <v>0</v>
      </c>
      <c r="Q28" s="1228">
        <v>0</v>
      </c>
      <c r="R28" s="1228">
        <v>0</v>
      </c>
      <c r="S28" s="1228">
        <v>0</v>
      </c>
      <c r="T28" s="1228">
        <v>17</v>
      </c>
      <c r="U28" s="403"/>
      <c r="V28" s="403"/>
      <c r="W28" s="403"/>
      <c r="X28" s="403"/>
      <c r="Y28" s="403"/>
      <c r="Z28" s="403"/>
      <c r="AA28" s="403"/>
      <c r="AB28" s="403"/>
      <c r="AC28" s="403"/>
      <c r="AD28" s="1228">
        <v>17</v>
      </c>
      <c r="AE28" s="403"/>
      <c r="AF28" s="403"/>
      <c r="AG28" s="403"/>
      <c r="AH28" s="403"/>
      <c r="AI28" s="403"/>
      <c r="AJ28" s="403"/>
      <c r="AK28" s="403"/>
      <c r="AL28" s="403"/>
      <c r="AM28" s="403"/>
      <c r="AN28" s="1228">
        <v>0</v>
      </c>
      <c r="AO28" s="403"/>
      <c r="AP28" s="403"/>
      <c r="AQ28" s="403"/>
      <c r="AR28" s="403"/>
      <c r="AS28" s="403"/>
      <c r="AT28" s="403"/>
      <c r="AU28" s="403"/>
      <c r="AV28" s="403"/>
      <c r="AW28" s="403"/>
      <c r="AX28" s="951"/>
      <c r="AY28" s="951"/>
      <c r="AZ28" s="951"/>
      <c r="BA28" s="1098"/>
    </row>
    <row r="29" spans="1:53" ht="11.25">
      <c r="A29" s="982">
        <v>1</v>
      </c>
      <c r="B29" s="1098"/>
      <c r="C29" s="1222"/>
      <c r="D29" s="1222" t="s">
        <v>1634</v>
      </c>
      <c r="E29" s="1098"/>
      <c r="F29" s="1098"/>
      <c r="G29" s="1098"/>
      <c r="H29" s="1098"/>
      <c r="I29" s="1098"/>
      <c r="J29" s="1098"/>
      <c r="K29" s="1098"/>
      <c r="L29" s="1223" t="s">
        <v>530</v>
      </c>
      <c r="M29" s="1235" t="s">
        <v>531</v>
      </c>
      <c r="N29" s="1225" t="s">
        <v>351</v>
      </c>
      <c r="O29" s="984"/>
      <c r="P29" s="984"/>
      <c r="Q29" s="984"/>
      <c r="R29" s="1228">
        <v>0</v>
      </c>
      <c r="S29" s="984"/>
      <c r="T29" s="984"/>
      <c r="U29" s="403"/>
      <c r="V29" s="403"/>
      <c r="W29" s="403"/>
      <c r="X29" s="403"/>
      <c r="Y29" s="403"/>
      <c r="Z29" s="403"/>
      <c r="AA29" s="403"/>
      <c r="AB29" s="403"/>
      <c r="AC29" s="403"/>
      <c r="AD29" s="984"/>
      <c r="AE29" s="403"/>
      <c r="AF29" s="403"/>
      <c r="AG29" s="403"/>
      <c r="AH29" s="403"/>
      <c r="AI29" s="403"/>
      <c r="AJ29" s="403"/>
      <c r="AK29" s="403"/>
      <c r="AL29" s="403"/>
      <c r="AM29" s="403"/>
      <c r="AN29" s="1228">
        <v>0</v>
      </c>
      <c r="AO29" s="403"/>
      <c r="AP29" s="403"/>
      <c r="AQ29" s="403"/>
      <c r="AR29" s="403"/>
      <c r="AS29" s="403"/>
      <c r="AT29" s="403"/>
      <c r="AU29" s="403"/>
      <c r="AV29" s="403"/>
      <c r="AW29" s="403"/>
      <c r="AX29" s="951"/>
      <c r="AY29" s="951"/>
      <c r="AZ29" s="951"/>
      <c r="BA29" s="1098"/>
    </row>
    <row r="30" spans="1:53" ht="22.5">
      <c r="A30" s="982">
        <v>1</v>
      </c>
      <c r="B30" s="1098"/>
      <c r="C30" s="1222"/>
      <c r="D30" s="1222" t="s">
        <v>1635</v>
      </c>
      <c r="E30" s="1098"/>
      <c r="F30" s="1098"/>
      <c r="G30" s="1098"/>
      <c r="H30" s="1098"/>
      <c r="I30" s="1098"/>
      <c r="J30" s="1098"/>
      <c r="K30" s="1098"/>
      <c r="L30" s="1223" t="s">
        <v>532</v>
      </c>
      <c r="M30" s="1235" t="s">
        <v>533</v>
      </c>
      <c r="N30" s="1225" t="s">
        <v>351</v>
      </c>
      <c r="O30" s="984"/>
      <c r="P30" s="984"/>
      <c r="Q30" s="984"/>
      <c r="R30" s="1228">
        <v>0</v>
      </c>
      <c r="S30" s="984"/>
      <c r="T30" s="984"/>
      <c r="U30" s="403"/>
      <c r="V30" s="403"/>
      <c r="W30" s="403"/>
      <c r="X30" s="403"/>
      <c r="Y30" s="403"/>
      <c r="Z30" s="403"/>
      <c r="AA30" s="403"/>
      <c r="AB30" s="403"/>
      <c r="AC30" s="403"/>
      <c r="AD30" s="984"/>
      <c r="AE30" s="403"/>
      <c r="AF30" s="403"/>
      <c r="AG30" s="403"/>
      <c r="AH30" s="403"/>
      <c r="AI30" s="403"/>
      <c r="AJ30" s="403"/>
      <c r="AK30" s="403"/>
      <c r="AL30" s="403"/>
      <c r="AM30" s="403"/>
      <c r="AN30" s="1228">
        <v>0</v>
      </c>
      <c r="AO30" s="403"/>
      <c r="AP30" s="403"/>
      <c r="AQ30" s="403"/>
      <c r="AR30" s="403"/>
      <c r="AS30" s="403"/>
      <c r="AT30" s="403"/>
      <c r="AU30" s="403"/>
      <c r="AV30" s="403"/>
      <c r="AW30" s="403"/>
      <c r="AX30" s="951"/>
      <c r="AY30" s="951"/>
      <c r="AZ30" s="951"/>
      <c r="BA30" s="1098"/>
    </row>
    <row r="31" spans="1:53" ht="22.5">
      <c r="A31" s="982">
        <v>1</v>
      </c>
      <c r="B31" s="1098"/>
      <c r="C31" s="1222"/>
      <c r="D31" s="1222" t="s">
        <v>1636</v>
      </c>
      <c r="E31" s="1098"/>
      <c r="F31" s="1098"/>
      <c r="G31" s="1098"/>
      <c r="H31" s="1098"/>
      <c r="I31" s="1098"/>
      <c r="J31" s="1098"/>
      <c r="K31" s="1098"/>
      <c r="L31" s="1223" t="s">
        <v>534</v>
      </c>
      <c r="M31" s="1235" t="s">
        <v>535</v>
      </c>
      <c r="N31" s="1225" t="s">
        <v>351</v>
      </c>
      <c r="O31" s="984"/>
      <c r="P31" s="984"/>
      <c r="Q31" s="984"/>
      <c r="R31" s="1228">
        <v>0</v>
      </c>
      <c r="S31" s="984"/>
      <c r="T31" s="984"/>
      <c r="U31" s="403"/>
      <c r="V31" s="403"/>
      <c r="W31" s="403"/>
      <c r="X31" s="403"/>
      <c r="Y31" s="403"/>
      <c r="Z31" s="403"/>
      <c r="AA31" s="403"/>
      <c r="AB31" s="403"/>
      <c r="AC31" s="403"/>
      <c r="AD31" s="984"/>
      <c r="AE31" s="403"/>
      <c r="AF31" s="403"/>
      <c r="AG31" s="403"/>
      <c r="AH31" s="403"/>
      <c r="AI31" s="403"/>
      <c r="AJ31" s="403"/>
      <c r="AK31" s="403"/>
      <c r="AL31" s="403"/>
      <c r="AM31" s="403"/>
      <c r="AN31" s="1228">
        <v>0</v>
      </c>
      <c r="AO31" s="403"/>
      <c r="AP31" s="403"/>
      <c r="AQ31" s="403"/>
      <c r="AR31" s="403"/>
      <c r="AS31" s="403"/>
      <c r="AT31" s="403"/>
      <c r="AU31" s="403"/>
      <c r="AV31" s="403"/>
      <c r="AW31" s="403"/>
      <c r="AX31" s="951"/>
      <c r="AY31" s="951"/>
      <c r="AZ31" s="951"/>
      <c r="BA31" s="1098"/>
    </row>
    <row r="32" spans="1:53" ht="22.5">
      <c r="A32" s="982">
        <v>1</v>
      </c>
      <c r="B32" s="1098"/>
      <c r="C32" s="1222"/>
      <c r="D32" s="1222" t="s">
        <v>1637</v>
      </c>
      <c r="E32" s="1098"/>
      <c r="F32" s="1098"/>
      <c r="G32" s="1098"/>
      <c r="H32" s="1098"/>
      <c r="I32" s="1098"/>
      <c r="J32" s="1098"/>
      <c r="K32" s="1098"/>
      <c r="L32" s="1223" t="s">
        <v>536</v>
      </c>
      <c r="M32" s="1235" t="s">
        <v>537</v>
      </c>
      <c r="N32" s="1225" t="s">
        <v>351</v>
      </c>
      <c r="O32" s="984"/>
      <c r="P32" s="984"/>
      <c r="Q32" s="984"/>
      <c r="R32" s="1228">
        <v>0</v>
      </c>
      <c r="S32" s="984"/>
      <c r="T32" s="984"/>
      <c r="U32" s="403"/>
      <c r="V32" s="403"/>
      <c r="W32" s="403"/>
      <c r="X32" s="403"/>
      <c r="Y32" s="403"/>
      <c r="Z32" s="403"/>
      <c r="AA32" s="403"/>
      <c r="AB32" s="403"/>
      <c r="AC32" s="403"/>
      <c r="AD32" s="984"/>
      <c r="AE32" s="403"/>
      <c r="AF32" s="403"/>
      <c r="AG32" s="403"/>
      <c r="AH32" s="403"/>
      <c r="AI32" s="403"/>
      <c r="AJ32" s="403"/>
      <c r="AK32" s="403"/>
      <c r="AL32" s="403"/>
      <c r="AM32" s="403"/>
      <c r="AN32" s="1228">
        <v>0</v>
      </c>
      <c r="AO32" s="403"/>
      <c r="AP32" s="403"/>
      <c r="AQ32" s="403"/>
      <c r="AR32" s="403"/>
      <c r="AS32" s="403"/>
      <c r="AT32" s="403"/>
      <c r="AU32" s="403"/>
      <c r="AV32" s="403"/>
      <c r="AW32" s="403"/>
      <c r="AX32" s="951"/>
      <c r="AY32" s="951"/>
      <c r="AZ32" s="951"/>
      <c r="BA32" s="1098"/>
    </row>
    <row r="33" spans="1:53" ht="45">
      <c r="A33" s="982">
        <v>1</v>
      </c>
      <c r="B33" s="1098"/>
      <c r="C33" s="1222"/>
      <c r="D33" s="1222" t="s">
        <v>1638</v>
      </c>
      <c r="E33" s="1098"/>
      <c r="F33" s="1098"/>
      <c r="G33" s="1098"/>
      <c r="H33" s="1098"/>
      <c r="I33" s="1098"/>
      <c r="J33" s="1098"/>
      <c r="K33" s="1098"/>
      <c r="L33" s="1223" t="s">
        <v>538</v>
      </c>
      <c r="M33" s="1235" t="s">
        <v>539</v>
      </c>
      <c r="N33" s="1225" t="s">
        <v>351</v>
      </c>
      <c r="O33" s="984"/>
      <c r="P33" s="984"/>
      <c r="Q33" s="984"/>
      <c r="R33" s="1228">
        <v>0</v>
      </c>
      <c r="S33" s="984"/>
      <c r="T33" s="984">
        <v>17</v>
      </c>
      <c r="U33" s="403"/>
      <c r="V33" s="403"/>
      <c r="W33" s="403"/>
      <c r="X33" s="403"/>
      <c r="Y33" s="403"/>
      <c r="Z33" s="403"/>
      <c r="AA33" s="403"/>
      <c r="AB33" s="403"/>
      <c r="AC33" s="403"/>
      <c r="AD33" s="984">
        <v>17</v>
      </c>
      <c r="AE33" s="403"/>
      <c r="AF33" s="403"/>
      <c r="AG33" s="403"/>
      <c r="AH33" s="403"/>
      <c r="AI33" s="403"/>
      <c r="AJ33" s="403"/>
      <c r="AK33" s="403"/>
      <c r="AL33" s="403"/>
      <c r="AM33" s="403"/>
      <c r="AN33" s="1228">
        <v>0</v>
      </c>
      <c r="AO33" s="403"/>
      <c r="AP33" s="403"/>
      <c r="AQ33" s="403"/>
      <c r="AR33" s="403"/>
      <c r="AS33" s="403"/>
      <c r="AT33" s="403"/>
      <c r="AU33" s="403"/>
      <c r="AV33" s="403"/>
      <c r="AW33" s="403"/>
      <c r="AX33" s="951"/>
      <c r="AY33" s="951"/>
      <c r="AZ33" s="951"/>
      <c r="BA33" s="1098"/>
    </row>
    <row r="34" spans="1:53" ht="11.25">
      <c r="A34" s="982">
        <v>1</v>
      </c>
      <c r="B34" s="1098"/>
      <c r="C34" s="1222"/>
      <c r="D34" s="1222" t="s">
        <v>1639</v>
      </c>
      <c r="E34" s="1098"/>
      <c r="F34" s="1098"/>
      <c r="G34" s="1098"/>
      <c r="H34" s="1098"/>
      <c r="I34" s="1098"/>
      <c r="J34" s="1098"/>
      <c r="K34" s="1098"/>
      <c r="L34" s="1223" t="s">
        <v>540</v>
      </c>
      <c r="M34" s="1235" t="s">
        <v>541</v>
      </c>
      <c r="N34" s="1225" t="s">
        <v>351</v>
      </c>
      <c r="O34" s="984"/>
      <c r="P34" s="984"/>
      <c r="Q34" s="984"/>
      <c r="R34" s="1228">
        <v>0</v>
      </c>
      <c r="S34" s="984"/>
      <c r="T34" s="984"/>
      <c r="U34" s="403"/>
      <c r="V34" s="403"/>
      <c r="W34" s="403"/>
      <c r="X34" s="403"/>
      <c r="Y34" s="403"/>
      <c r="Z34" s="403"/>
      <c r="AA34" s="403"/>
      <c r="AB34" s="403"/>
      <c r="AC34" s="403"/>
      <c r="AD34" s="984"/>
      <c r="AE34" s="403"/>
      <c r="AF34" s="403"/>
      <c r="AG34" s="403"/>
      <c r="AH34" s="403"/>
      <c r="AI34" s="403"/>
      <c r="AJ34" s="403"/>
      <c r="AK34" s="403"/>
      <c r="AL34" s="403"/>
      <c r="AM34" s="403"/>
      <c r="AN34" s="1228">
        <v>0</v>
      </c>
      <c r="AO34" s="403"/>
      <c r="AP34" s="403"/>
      <c r="AQ34" s="403"/>
      <c r="AR34" s="403"/>
      <c r="AS34" s="403"/>
      <c r="AT34" s="403"/>
      <c r="AU34" s="403"/>
      <c r="AV34" s="403"/>
      <c r="AW34" s="403"/>
      <c r="AX34" s="951"/>
      <c r="AY34" s="951"/>
      <c r="AZ34" s="951"/>
      <c r="BA34" s="1098"/>
    </row>
    <row r="35" spans="1:53" ht="11.25">
      <c r="A35" s="982">
        <v>1</v>
      </c>
      <c r="B35" s="1098"/>
      <c r="C35" s="1222"/>
      <c r="D35" s="1222" t="s">
        <v>1640</v>
      </c>
      <c r="E35" s="1098"/>
      <c r="F35" s="1098"/>
      <c r="G35" s="1098"/>
      <c r="H35" s="1098"/>
      <c r="I35" s="1098"/>
      <c r="J35" s="1098"/>
      <c r="K35" s="1098"/>
      <c r="L35" s="1223" t="s">
        <v>1464</v>
      </c>
      <c r="M35" s="1235" t="s">
        <v>1465</v>
      </c>
      <c r="N35" s="1225" t="s">
        <v>351</v>
      </c>
      <c r="O35" s="984"/>
      <c r="P35" s="984"/>
      <c r="Q35" s="984"/>
      <c r="R35" s="1228">
        <v>0</v>
      </c>
      <c r="S35" s="984"/>
      <c r="T35" s="984"/>
      <c r="U35" s="403"/>
      <c r="V35" s="403"/>
      <c r="W35" s="403"/>
      <c r="X35" s="403"/>
      <c r="Y35" s="403"/>
      <c r="Z35" s="403"/>
      <c r="AA35" s="403"/>
      <c r="AB35" s="403"/>
      <c r="AC35" s="403"/>
      <c r="AD35" s="984"/>
      <c r="AE35" s="403"/>
      <c r="AF35" s="403"/>
      <c r="AG35" s="403"/>
      <c r="AH35" s="403"/>
      <c r="AI35" s="403"/>
      <c r="AJ35" s="403"/>
      <c r="AK35" s="403"/>
      <c r="AL35" s="403"/>
      <c r="AM35" s="403"/>
      <c r="AN35" s="1228">
        <v>0</v>
      </c>
      <c r="AO35" s="403"/>
      <c r="AP35" s="403"/>
      <c r="AQ35" s="403"/>
      <c r="AR35" s="403"/>
      <c r="AS35" s="403"/>
      <c r="AT35" s="403"/>
      <c r="AU35" s="403"/>
      <c r="AV35" s="403"/>
      <c r="AW35" s="403"/>
      <c r="AX35" s="951"/>
      <c r="AY35" s="951"/>
      <c r="AZ35" s="951"/>
      <c r="BA35" s="1098"/>
    </row>
    <row r="36" spans="1:53" s="109" customFormat="1" ht="11.25">
      <c r="A36" s="982">
        <v>1</v>
      </c>
      <c r="B36" s="1238"/>
      <c r="C36" s="1222"/>
      <c r="D36" s="1222" t="s">
        <v>1490</v>
      </c>
      <c r="E36" s="1238"/>
      <c r="F36" s="1238"/>
      <c r="G36" s="1238"/>
      <c r="H36" s="1238"/>
      <c r="I36" s="1238"/>
      <c r="J36" s="1238"/>
      <c r="K36" s="1238"/>
      <c r="L36" s="1239" t="s">
        <v>359</v>
      </c>
      <c r="M36" s="1240" t="s">
        <v>542</v>
      </c>
      <c r="N36" s="1241" t="s">
        <v>351</v>
      </c>
      <c r="O36" s="548">
        <v>0</v>
      </c>
      <c r="P36" s="548">
        <v>0</v>
      </c>
      <c r="Q36" s="548">
        <v>0</v>
      </c>
      <c r="R36" s="1219">
        <v>0</v>
      </c>
      <c r="S36" s="548">
        <v>0</v>
      </c>
      <c r="T36" s="548">
        <v>12</v>
      </c>
      <c r="U36" s="548"/>
      <c r="V36" s="548"/>
      <c r="W36" s="548"/>
      <c r="X36" s="548"/>
      <c r="Y36" s="548"/>
      <c r="Z36" s="548"/>
      <c r="AA36" s="548"/>
      <c r="AB36" s="548"/>
      <c r="AC36" s="548"/>
      <c r="AD36" s="548">
        <v>0</v>
      </c>
      <c r="AE36" s="548"/>
      <c r="AF36" s="548"/>
      <c r="AG36" s="548"/>
      <c r="AH36" s="548"/>
      <c r="AI36" s="548"/>
      <c r="AJ36" s="548"/>
      <c r="AK36" s="548"/>
      <c r="AL36" s="548"/>
      <c r="AM36" s="548"/>
      <c r="AN36" s="1219">
        <v>0</v>
      </c>
      <c r="AO36" s="548"/>
      <c r="AP36" s="548"/>
      <c r="AQ36" s="548"/>
      <c r="AR36" s="548"/>
      <c r="AS36" s="548"/>
      <c r="AT36" s="548"/>
      <c r="AU36" s="548"/>
      <c r="AV36" s="548"/>
      <c r="AW36" s="548"/>
      <c r="AX36" s="1230"/>
      <c r="AY36" s="1230"/>
      <c r="AZ36" s="1230"/>
      <c r="BA36" s="1238"/>
    </row>
    <row r="37" spans="1:53" ht="22.5">
      <c r="A37" s="982">
        <v>1</v>
      </c>
      <c r="B37" s="1098"/>
      <c r="C37" s="1222"/>
      <c r="D37" s="1222" t="s">
        <v>1576</v>
      </c>
      <c r="E37" s="1098"/>
      <c r="F37" s="1098"/>
      <c r="G37" s="1098"/>
      <c r="H37" s="1098"/>
      <c r="I37" s="1098"/>
      <c r="J37" s="1098"/>
      <c r="K37" s="1098"/>
      <c r="L37" s="1223" t="s">
        <v>543</v>
      </c>
      <c r="M37" s="1231" t="s">
        <v>544</v>
      </c>
      <c r="N37" s="1225" t="s">
        <v>351</v>
      </c>
      <c r="O37" s="984"/>
      <c r="P37" s="984"/>
      <c r="Q37" s="984"/>
      <c r="R37" s="1228">
        <v>0</v>
      </c>
      <c r="S37" s="984"/>
      <c r="T37" s="984">
        <v>12</v>
      </c>
      <c r="U37" s="403"/>
      <c r="V37" s="403"/>
      <c r="W37" s="403"/>
      <c r="X37" s="403"/>
      <c r="Y37" s="403"/>
      <c r="Z37" s="403"/>
      <c r="AA37" s="403"/>
      <c r="AB37" s="403"/>
      <c r="AC37" s="403"/>
      <c r="AD37" s="984"/>
      <c r="AE37" s="403"/>
      <c r="AF37" s="403"/>
      <c r="AG37" s="403"/>
      <c r="AH37" s="403"/>
      <c r="AI37" s="403"/>
      <c r="AJ37" s="403"/>
      <c r="AK37" s="403"/>
      <c r="AL37" s="403"/>
      <c r="AM37" s="403"/>
      <c r="AN37" s="1228">
        <v>0</v>
      </c>
      <c r="AO37" s="403"/>
      <c r="AP37" s="403"/>
      <c r="AQ37" s="403"/>
      <c r="AR37" s="403"/>
      <c r="AS37" s="403"/>
      <c r="AT37" s="403"/>
      <c r="AU37" s="403"/>
      <c r="AV37" s="403"/>
      <c r="AW37" s="403"/>
      <c r="AX37" s="951"/>
      <c r="AY37" s="951"/>
      <c r="AZ37" s="951"/>
      <c r="BA37" s="1098"/>
    </row>
    <row r="38" spans="1:53" ht="22.5">
      <c r="A38" s="982">
        <v>1</v>
      </c>
      <c r="B38" s="1098"/>
      <c r="C38" s="1222"/>
      <c r="D38" s="1222" t="s">
        <v>1577</v>
      </c>
      <c r="E38" s="1098"/>
      <c r="F38" s="1098"/>
      <c r="G38" s="1098"/>
      <c r="H38" s="1098"/>
      <c r="I38" s="1098"/>
      <c r="J38" s="1098"/>
      <c r="K38" s="1098"/>
      <c r="L38" s="1223" t="s">
        <v>545</v>
      </c>
      <c r="M38" s="1237" t="s">
        <v>546</v>
      </c>
      <c r="N38" s="1225" t="s">
        <v>351</v>
      </c>
      <c r="O38" s="984"/>
      <c r="P38" s="984"/>
      <c r="Q38" s="984"/>
      <c r="R38" s="1228">
        <v>0</v>
      </c>
      <c r="S38" s="984"/>
      <c r="T38" s="984"/>
      <c r="U38" s="403"/>
      <c r="V38" s="403"/>
      <c r="W38" s="403"/>
      <c r="X38" s="403"/>
      <c r="Y38" s="403"/>
      <c r="Z38" s="403"/>
      <c r="AA38" s="403"/>
      <c r="AB38" s="403"/>
      <c r="AC38" s="403"/>
      <c r="AD38" s="984"/>
      <c r="AE38" s="403"/>
      <c r="AF38" s="403"/>
      <c r="AG38" s="403"/>
      <c r="AH38" s="403"/>
      <c r="AI38" s="403"/>
      <c r="AJ38" s="403"/>
      <c r="AK38" s="403"/>
      <c r="AL38" s="403"/>
      <c r="AM38" s="403"/>
      <c r="AN38" s="1228">
        <v>0</v>
      </c>
      <c r="AO38" s="403"/>
      <c r="AP38" s="403"/>
      <c r="AQ38" s="403"/>
      <c r="AR38" s="403"/>
      <c r="AS38" s="403"/>
      <c r="AT38" s="403"/>
      <c r="AU38" s="403"/>
      <c r="AV38" s="403"/>
      <c r="AW38" s="403"/>
      <c r="AX38" s="951"/>
      <c r="AY38" s="951"/>
      <c r="AZ38" s="951"/>
      <c r="BA38" s="1098"/>
    </row>
    <row r="39" spans="1:53" ht="22.5">
      <c r="A39" s="982">
        <v>1</v>
      </c>
      <c r="B39" s="1098"/>
      <c r="C39" s="1222"/>
      <c r="D39" s="1222" t="s">
        <v>1578</v>
      </c>
      <c r="E39" s="1098"/>
      <c r="F39" s="1098"/>
      <c r="G39" s="1098"/>
      <c r="H39" s="1098"/>
      <c r="I39" s="1098"/>
      <c r="J39" s="1098"/>
      <c r="K39" s="1098"/>
      <c r="L39" s="1223" t="s">
        <v>547</v>
      </c>
      <c r="M39" s="1237" t="s">
        <v>1469</v>
      </c>
      <c r="N39" s="1225" t="s">
        <v>351</v>
      </c>
      <c r="O39" s="403">
        <v>0</v>
      </c>
      <c r="P39" s="403">
        <v>0</v>
      </c>
      <c r="Q39" s="403">
        <v>0</v>
      </c>
      <c r="R39" s="1228">
        <v>0</v>
      </c>
      <c r="S39" s="403">
        <v>0</v>
      </c>
      <c r="T39" s="403">
        <v>0</v>
      </c>
      <c r="U39" s="403"/>
      <c r="V39" s="403"/>
      <c r="W39" s="403"/>
      <c r="X39" s="403"/>
      <c r="Y39" s="403"/>
      <c r="Z39" s="403"/>
      <c r="AA39" s="403"/>
      <c r="AB39" s="403"/>
      <c r="AC39" s="403"/>
      <c r="AD39" s="403">
        <v>0</v>
      </c>
      <c r="AE39" s="403"/>
      <c r="AF39" s="403"/>
      <c r="AG39" s="403"/>
      <c r="AH39" s="403"/>
      <c r="AI39" s="403"/>
      <c r="AJ39" s="403"/>
      <c r="AK39" s="403"/>
      <c r="AL39" s="403"/>
      <c r="AM39" s="403"/>
      <c r="AN39" s="1228">
        <v>0</v>
      </c>
      <c r="AO39" s="403"/>
      <c r="AP39" s="403"/>
      <c r="AQ39" s="403"/>
      <c r="AR39" s="403"/>
      <c r="AS39" s="403"/>
      <c r="AT39" s="403"/>
      <c r="AU39" s="403"/>
      <c r="AV39" s="403"/>
      <c r="AW39" s="403"/>
      <c r="AX39" s="951"/>
      <c r="AY39" s="951"/>
      <c r="AZ39" s="951"/>
      <c r="BA39" s="1098"/>
    </row>
    <row r="40" spans="1:53" ht="15">
      <c r="A40" s="982">
        <v>1</v>
      </c>
      <c r="B40" s="1200" t="s">
        <v>1286</v>
      </c>
      <c r="C40" s="1222"/>
      <c r="D40" s="1222" t="s">
        <v>1641</v>
      </c>
      <c r="E40" s="1098"/>
      <c r="F40" s="1098"/>
      <c r="G40" s="1098"/>
      <c r="H40" s="1098"/>
      <c r="I40" s="1098"/>
      <c r="J40" s="1098"/>
      <c r="K40" s="1098"/>
      <c r="L40" s="1223" t="s">
        <v>1146</v>
      </c>
      <c r="M40" s="1233" t="s">
        <v>548</v>
      </c>
      <c r="N40" s="1225" t="s">
        <v>351</v>
      </c>
      <c r="O40" s="1236">
        <v>0</v>
      </c>
      <c r="P40" s="1236">
        <v>0</v>
      </c>
      <c r="Q40" s="1236">
        <v>0</v>
      </c>
      <c r="R40" s="1228">
        <v>0</v>
      </c>
      <c r="S40" s="1236">
        <v>0</v>
      </c>
      <c r="T40" s="1236">
        <v>0</v>
      </c>
      <c r="U40" s="403"/>
      <c r="V40" s="403"/>
      <c r="W40" s="403"/>
      <c r="X40" s="403"/>
      <c r="Y40" s="403"/>
      <c r="Z40" s="403"/>
      <c r="AA40" s="403"/>
      <c r="AB40" s="403"/>
      <c r="AC40" s="403"/>
      <c r="AD40" s="1236">
        <v>0</v>
      </c>
      <c r="AE40" s="403"/>
      <c r="AF40" s="403"/>
      <c r="AG40" s="403"/>
      <c r="AH40" s="403"/>
      <c r="AI40" s="403"/>
      <c r="AJ40" s="403"/>
      <c r="AK40" s="403"/>
      <c r="AL40" s="403"/>
      <c r="AM40" s="403"/>
      <c r="AN40" s="1228">
        <v>0</v>
      </c>
      <c r="AO40" s="403"/>
      <c r="AP40" s="403"/>
      <c r="AQ40" s="403"/>
      <c r="AR40" s="403"/>
      <c r="AS40" s="403"/>
      <c r="AT40" s="403"/>
      <c r="AU40" s="403"/>
      <c r="AV40" s="403"/>
      <c r="AW40" s="403"/>
      <c r="AX40" s="951"/>
      <c r="AY40" s="951"/>
      <c r="AZ40" s="951"/>
      <c r="BA40" s="1098"/>
    </row>
    <row r="41" spans="1:53" ht="22.5">
      <c r="A41" s="982">
        <v>1</v>
      </c>
      <c r="B41" s="1200" t="s">
        <v>1288</v>
      </c>
      <c r="C41" s="1222"/>
      <c r="D41" s="1222" t="s">
        <v>1642</v>
      </c>
      <c r="E41" s="1098"/>
      <c r="F41" s="1098"/>
      <c r="G41" s="1098"/>
      <c r="H41" s="1098"/>
      <c r="I41" s="1098"/>
      <c r="J41" s="1098"/>
      <c r="K41" s="1098"/>
      <c r="L41" s="1223" t="s">
        <v>1147</v>
      </c>
      <c r="M41" s="1233" t="s">
        <v>1470</v>
      </c>
      <c r="N41" s="1225" t="s">
        <v>351</v>
      </c>
      <c r="O41" s="1236">
        <v>0</v>
      </c>
      <c r="P41" s="1236">
        <v>0</v>
      </c>
      <c r="Q41" s="1236">
        <v>0</v>
      </c>
      <c r="R41" s="1228">
        <v>0</v>
      </c>
      <c r="S41" s="1236">
        <v>0</v>
      </c>
      <c r="T41" s="1236">
        <v>0</v>
      </c>
      <c r="U41" s="403"/>
      <c r="V41" s="403"/>
      <c r="W41" s="403"/>
      <c r="X41" s="403"/>
      <c r="Y41" s="403"/>
      <c r="Z41" s="403"/>
      <c r="AA41" s="403"/>
      <c r="AB41" s="403"/>
      <c r="AC41" s="403"/>
      <c r="AD41" s="1236">
        <v>0</v>
      </c>
      <c r="AE41" s="403"/>
      <c r="AF41" s="403"/>
      <c r="AG41" s="403"/>
      <c r="AH41" s="403"/>
      <c r="AI41" s="403"/>
      <c r="AJ41" s="403"/>
      <c r="AK41" s="403"/>
      <c r="AL41" s="403"/>
      <c r="AM41" s="403"/>
      <c r="AN41" s="1228">
        <v>0</v>
      </c>
      <c r="AO41" s="403"/>
      <c r="AP41" s="403"/>
      <c r="AQ41" s="403"/>
      <c r="AR41" s="403"/>
      <c r="AS41" s="403"/>
      <c r="AT41" s="403"/>
      <c r="AU41" s="403"/>
      <c r="AV41" s="403"/>
      <c r="AW41" s="403"/>
      <c r="AX41" s="951"/>
      <c r="AY41" s="951"/>
      <c r="AZ41" s="951"/>
      <c r="BA41" s="1098"/>
    </row>
    <row r="42" spans="1:53" s="109" customFormat="1" ht="11.25">
      <c r="A42" s="982">
        <v>1</v>
      </c>
      <c r="B42" s="1238"/>
      <c r="C42" s="1222"/>
      <c r="D42" s="1222" t="s">
        <v>1488</v>
      </c>
      <c r="E42" s="1238"/>
      <c r="F42" s="1238"/>
      <c r="G42" s="1238"/>
      <c r="H42" s="1238"/>
      <c r="I42" s="1238"/>
      <c r="J42" s="1238"/>
      <c r="K42" s="1238"/>
      <c r="L42" s="1239" t="s">
        <v>361</v>
      </c>
      <c r="M42" s="1240" t="s">
        <v>549</v>
      </c>
      <c r="N42" s="1241" t="s">
        <v>351</v>
      </c>
      <c r="O42" s="548">
        <v>0</v>
      </c>
      <c r="P42" s="548">
        <v>0</v>
      </c>
      <c r="Q42" s="548">
        <v>0</v>
      </c>
      <c r="R42" s="1219">
        <v>0</v>
      </c>
      <c r="S42" s="548">
        <v>0</v>
      </c>
      <c r="T42" s="548">
        <v>314.02800000000002</v>
      </c>
      <c r="U42" s="548"/>
      <c r="V42" s="548"/>
      <c r="W42" s="548"/>
      <c r="X42" s="548"/>
      <c r="Y42" s="548"/>
      <c r="Z42" s="548"/>
      <c r="AA42" s="548"/>
      <c r="AB42" s="548"/>
      <c r="AC42" s="548"/>
      <c r="AD42" s="548">
        <v>314.02800000000002</v>
      </c>
      <c r="AE42" s="548"/>
      <c r="AF42" s="548"/>
      <c r="AG42" s="548"/>
      <c r="AH42" s="548"/>
      <c r="AI42" s="548"/>
      <c r="AJ42" s="548"/>
      <c r="AK42" s="548"/>
      <c r="AL42" s="548"/>
      <c r="AM42" s="548"/>
      <c r="AN42" s="1219">
        <v>0</v>
      </c>
      <c r="AO42" s="548"/>
      <c r="AP42" s="548"/>
      <c r="AQ42" s="548"/>
      <c r="AR42" s="548"/>
      <c r="AS42" s="548"/>
      <c r="AT42" s="548"/>
      <c r="AU42" s="548"/>
      <c r="AV42" s="548"/>
      <c r="AW42" s="548"/>
      <c r="AX42" s="1230"/>
      <c r="AY42" s="1230"/>
      <c r="AZ42" s="1230"/>
      <c r="BA42" s="1238"/>
    </row>
    <row r="43" spans="1:53" ht="22.5">
      <c r="A43" s="982">
        <v>1</v>
      </c>
      <c r="B43" s="1098" t="s">
        <v>1298</v>
      </c>
      <c r="C43" s="1222"/>
      <c r="D43" s="1222" t="s">
        <v>1579</v>
      </c>
      <c r="E43" s="1098"/>
      <c r="F43" s="1098"/>
      <c r="G43" s="1098"/>
      <c r="H43" s="1098"/>
      <c r="I43" s="1098"/>
      <c r="J43" s="1098"/>
      <c r="K43" s="1098"/>
      <c r="L43" s="1223" t="s">
        <v>550</v>
      </c>
      <c r="M43" s="1231" t="s">
        <v>551</v>
      </c>
      <c r="N43" s="1225" t="s">
        <v>351</v>
      </c>
      <c r="O43" s="1236">
        <v>0</v>
      </c>
      <c r="P43" s="1236">
        <v>0</v>
      </c>
      <c r="Q43" s="1236">
        <v>0</v>
      </c>
      <c r="R43" s="1228">
        <v>0</v>
      </c>
      <c r="S43" s="1236">
        <v>0</v>
      </c>
      <c r="T43" s="1236">
        <v>0</v>
      </c>
      <c r="U43" s="403"/>
      <c r="V43" s="403"/>
      <c r="W43" s="403"/>
      <c r="X43" s="403"/>
      <c r="Y43" s="403"/>
      <c r="Z43" s="403"/>
      <c r="AA43" s="403"/>
      <c r="AB43" s="403"/>
      <c r="AC43" s="403"/>
      <c r="AD43" s="1236">
        <v>0</v>
      </c>
      <c r="AE43" s="403"/>
      <c r="AF43" s="403"/>
      <c r="AG43" s="403"/>
      <c r="AH43" s="403"/>
      <c r="AI43" s="403"/>
      <c r="AJ43" s="403"/>
      <c r="AK43" s="403"/>
      <c r="AL43" s="403"/>
      <c r="AM43" s="403"/>
      <c r="AN43" s="1228">
        <v>0</v>
      </c>
      <c r="AO43" s="403"/>
      <c r="AP43" s="403"/>
      <c r="AQ43" s="403"/>
      <c r="AR43" s="403"/>
      <c r="AS43" s="403"/>
      <c r="AT43" s="403"/>
      <c r="AU43" s="403"/>
      <c r="AV43" s="403"/>
      <c r="AW43" s="403"/>
      <c r="AX43" s="951"/>
      <c r="AY43" s="951"/>
      <c r="AZ43" s="951"/>
      <c r="BA43" s="1098"/>
    </row>
    <row r="44" spans="1:53" ht="11.25">
      <c r="A44" s="982">
        <v>1</v>
      </c>
      <c r="B44" s="1098" t="s">
        <v>1346</v>
      </c>
      <c r="C44" s="1222"/>
      <c r="D44" s="1222" t="s">
        <v>1643</v>
      </c>
      <c r="E44" s="1098"/>
      <c r="F44" s="1098"/>
      <c r="G44" s="1098"/>
      <c r="H44" s="1098"/>
      <c r="I44" s="1098"/>
      <c r="J44" s="1098"/>
      <c r="K44" s="1098"/>
      <c r="L44" s="1223" t="s">
        <v>552</v>
      </c>
      <c r="M44" s="1233" t="s">
        <v>553</v>
      </c>
      <c r="N44" s="1225" t="s">
        <v>351</v>
      </c>
      <c r="O44" s="1236">
        <v>0</v>
      </c>
      <c r="P44" s="1236">
        <v>0</v>
      </c>
      <c r="Q44" s="1236">
        <v>0</v>
      </c>
      <c r="R44" s="1228">
        <v>0</v>
      </c>
      <c r="S44" s="1236">
        <v>0</v>
      </c>
      <c r="T44" s="1236">
        <v>0</v>
      </c>
      <c r="U44" s="403"/>
      <c r="V44" s="403"/>
      <c r="W44" s="403"/>
      <c r="X44" s="403"/>
      <c r="Y44" s="403"/>
      <c r="Z44" s="403"/>
      <c r="AA44" s="403"/>
      <c r="AB44" s="403"/>
      <c r="AC44" s="403"/>
      <c r="AD44" s="1236">
        <v>0</v>
      </c>
      <c r="AE44" s="403"/>
      <c r="AF44" s="403"/>
      <c r="AG44" s="403"/>
      <c r="AH44" s="403"/>
      <c r="AI44" s="403"/>
      <c r="AJ44" s="403"/>
      <c r="AK44" s="403"/>
      <c r="AL44" s="403"/>
      <c r="AM44" s="403"/>
      <c r="AN44" s="1228">
        <v>0</v>
      </c>
      <c r="AO44" s="403"/>
      <c r="AP44" s="403"/>
      <c r="AQ44" s="403"/>
      <c r="AR44" s="403"/>
      <c r="AS44" s="403"/>
      <c r="AT44" s="403"/>
      <c r="AU44" s="403"/>
      <c r="AV44" s="403"/>
      <c r="AW44" s="403"/>
      <c r="AX44" s="951"/>
      <c r="AY44" s="951"/>
      <c r="AZ44" s="951"/>
      <c r="BA44" s="1098"/>
    </row>
    <row r="45" spans="1:53" ht="11.25">
      <c r="A45" s="982">
        <v>1</v>
      </c>
      <c r="B45" s="1098" t="s">
        <v>1345</v>
      </c>
      <c r="C45" s="1222"/>
      <c r="D45" s="1222" t="s">
        <v>1644</v>
      </c>
      <c r="E45" s="1098"/>
      <c r="F45" s="1098"/>
      <c r="G45" s="1098"/>
      <c r="H45" s="1098"/>
      <c r="I45" s="1098"/>
      <c r="J45" s="1098"/>
      <c r="K45" s="1098"/>
      <c r="L45" s="1223" t="s">
        <v>554</v>
      </c>
      <c r="M45" s="1233" t="s">
        <v>555</v>
      </c>
      <c r="N45" s="1225" t="s">
        <v>351</v>
      </c>
      <c r="O45" s="1236">
        <v>0</v>
      </c>
      <c r="P45" s="1236">
        <v>0</v>
      </c>
      <c r="Q45" s="1236">
        <v>0</v>
      </c>
      <c r="R45" s="1228">
        <v>0</v>
      </c>
      <c r="S45" s="1236">
        <v>0</v>
      </c>
      <c r="T45" s="1236">
        <v>0</v>
      </c>
      <c r="U45" s="403"/>
      <c r="V45" s="403"/>
      <c r="W45" s="403"/>
      <c r="X45" s="403"/>
      <c r="Y45" s="403"/>
      <c r="Z45" s="403"/>
      <c r="AA45" s="403"/>
      <c r="AB45" s="403"/>
      <c r="AC45" s="403"/>
      <c r="AD45" s="1236">
        <v>0</v>
      </c>
      <c r="AE45" s="403"/>
      <c r="AF45" s="403"/>
      <c r="AG45" s="403"/>
      <c r="AH45" s="403"/>
      <c r="AI45" s="403"/>
      <c r="AJ45" s="403"/>
      <c r="AK45" s="403"/>
      <c r="AL45" s="403"/>
      <c r="AM45" s="403"/>
      <c r="AN45" s="1228">
        <v>0</v>
      </c>
      <c r="AO45" s="403"/>
      <c r="AP45" s="403"/>
      <c r="AQ45" s="403"/>
      <c r="AR45" s="403"/>
      <c r="AS45" s="403"/>
      <c r="AT45" s="403"/>
      <c r="AU45" s="403"/>
      <c r="AV45" s="403"/>
      <c r="AW45" s="403"/>
      <c r="AX45" s="951"/>
      <c r="AY45" s="951"/>
      <c r="AZ45" s="951"/>
      <c r="BA45" s="1098"/>
    </row>
    <row r="46" spans="1:53" ht="11.25">
      <c r="A46" s="982">
        <v>1</v>
      </c>
      <c r="B46" s="1098" t="s">
        <v>1347</v>
      </c>
      <c r="C46" s="1222"/>
      <c r="D46" s="1222" t="s">
        <v>1645</v>
      </c>
      <c r="E46" s="1098"/>
      <c r="F46" s="1098"/>
      <c r="G46" s="1098"/>
      <c r="H46" s="1098"/>
      <c r="I46" s="1098"/>
      <c r="J46" s="1098"/>
      <c r="K46" s="1098"/>
      <c r="L46" s="1223" t="s">
        <v>556</v>
      </c>
      <c r="M46" s="1233" t="s">
        <v>557</v>
      </c>
      <c r="N46" s="1225" t="s">
        <v>351</v>
      </c>
      <c r="O46" s="1236">
        <v>0</v>
      </c>
      <c r="P46" s="1236">
        <v>0</v>
      </c>
      <c r="Q46" s="1236">
        <v>0</v>
      </c>
      <c r="R46" s="1228">
        <v>0</v>
      </c>
      <c r="S46" s="1236">
        <v>0</v>
      </c>
      <c r="T46" s="1236">
        <v>0</v>
      </c>
      <c r="U46" s="403"/>
      <c r="V46" s="403"/>
      <c r="W46" s="403"/>
      <c r="X46" s="403"/>
      <c r="Y46" s="403"/>
      <c r="Z46" s="403"/>
      <c r="AA46" s="403"/>
      <c r="AB46" s="403"/>
      <c r="AC46" s="403"/>
      <c r="AD46" s="1236">
        <v>0</v>
      </c>
      <c r="AE46" s="403"/>
      <c r="AF46" s="403"/>
      <c r="AG46" s="403"/>
      <c r="AH46" s="403"/>
      <c r="AI46" s="403"/>
      <c r="AJ46" s="403"/>
      <c r="AK46" s="403"/>
      <c r="AL46" s="403"/>
      <c r="AM46" s="403"/>
      <c r="AN46" s="1228">
        <v>0</v>
      </c>
      <c r="AO46" s="403"/>
      <c r="AP46" s="403"/>
      <c r="AQ46" s="403"/>
      <c r="AR46" s="403"/>
      <c r="AS46" s="403"/>
      <c r="AT46" s="403"/>
      <c r="AU46" s="403"/>
      <c r="AV46" s="403"/>
      <c r="AW46" s="403"/>
      <c r="AX46" s="951"/>
      <c r="AY46" s="951"/>
      <c r="AZ46" s="951"/>
      <c r="BA46" s="1098"/>
    </row>
    <row r="47" spans="1:53" ht="11.25">
      <c r="A47" s="982">
        <v>1</v>
      </c>
      <c r="B47" s="1098" t="s">
        <v>1348</v>
      </c>
      <c r="C47" s="1222"/>
      <c r="D47" s="1222" t="s">
        <v>1646</v>
      </c>
      <c r="E47" s="1098"/>
      <c r="F47" s="1098"/>
      <c r="G47" s="1098"/>
      <c r="H47" s="1098"/>
      <c r="I47" s="1098"/>
      <c r="J47" s="1098"/>
      <c r="K47" s="1098"/>
      <c r="L47" s="1223" t="s">
        <v>558</v>
      </c>
      <c r="M47" s="1233" t="s">
        <v>559</v>
      </c>
      <c r="N47" s="1225" t="s">
        <v>351</v>
      </c>
      <c r="O47" s="1236">
        <v>0</v>
      </c>
      <c r="P47" s="1236">
        <v>0</v>
      </c>
      <c r="Q47" s="1236">
        <v>0</v>
      </c>
      <c r="R47" s="1228">
        <v>0</v>
      </c>
      <c r="S47" s="1236">
        <v>0</v>
      </c>
      <c r="T47" s="1236">
        <v>0</v>
      </c>
      <c r="U47" s="403"/>
      <c r="V47" s="403"/>
      <c r="W47" s="403"/>
      <c r="X47" s="403"/>
      <c r="Y47" s="403"/>
      <c r="Z47" s="403"/>
      <c r="AA47" s="403"/>
      <c r="AB47" s="403"/>
      <c r="AC47" s="403"/>
      <c r="AD47" s="1236">
        <v>0</v>
      </c>
      <c r="AE47" s="403"/>
      <c r="AF47" s="403"/>
      <c r="AG47" s="403"/>
      <c r="AH47" s="403"/>
      <c r="AI47" s="403"/>
      <c r="AJ47" s="403"/>
      <c r="AK47" s="403"/>
      <c r="AL47" s="403"/>
      <c r="AM47" s="403"/>
      <c r="AN47" s="1228">
        <v>0</v>
      </c>
      <c r="AO47" s="403"/>
      <c r="AP47" s="403"/>
      <c r="AQ47" s="403"/>
      <c r="AR47" s="403"/>
      <c r="AS47" s="403"/>
      <c r="AT47" s="403"/>
      <c r="AU47" s="403"/>
      <c r="AV47" s="403"/>
      <c r="AW47" s="403"/>
      <c r="AX47" s="951"/>
      <c r="AY47" s="951"/>
      <c r="AZ47" s="951"/>
      <c r="BA47" s="1098"/>
    </row>
    <row r="48" spans="1:53" ht="11.25">
      <c r="A48" s="982">
        <v>1</v>
      </c>
      <c r="B48" s="1098" t="s">
        <v>1349</v>
      </c>
      <c r="C48" s="1222"/>
      <c r="D48" s="1222" t="s">
        <v>1647</v>
      </c>
      <c r="E48" s="1098"/>
      <c r="F48" s="1098"/>
      <c r="G48" s="1098"/>
      <c r="H48" s="1098"/>
      <c r="I48" s="1098"/>
      <c r="J48" s="1098"/>
      <c r="K48" s="1098"/>
      <c r="L48" s="1223" t="s">
        <v>560</v>
      </c>
      <c r="M48" s="1233" t="s">
        <v>561</v>
      </c>
      <c r="N48" s="1225" t="s">
        <v>351</v>
      </c>
      <c r="O48" s="1236">
        <v>0</v>
      </c>
      <c r="P48" s="1236">
        <v>0</v>
      </c>
      <c r="Q48" s="1236">
        <v>0</v>
      </c>
      <c r="R48" s="1228">
        <v>0</v>
      </c>
      <c r="S48" s="1236">
        <v>0</v>
      </c>
      <c r="T48" s="1236">
        <v>0</v>
      </c>
      <c r="U48" s="403"/>
      <c r="V48" s="403"/>
      <c r="W48" s="403"/>
      <c r="X48" s="403"/>
      <c r="Y48" s="403"/>
      <c r="Z48" s="403"/>
      <c r="AA48" s="403"/>
      <c r="AB48" s="403"/>
      <c r="AC48" s="403"/>
      <c r="AD48" s="1236">
        <v>0</v>
      </c>
      <c r="AE48" s="403"/>
      <c r="AF48" s="403"/>
      <c r="AG48" s="403"/>
      <c r="AH48" s="403"/>
      <c r="AI48" s="403"/>
      <c r="AJ48" s="403"/>
      <c r="AK48" s="403"/>
      <c r="AL48" s="403"/>
      <c r="AM48" s="403"/>
      <c r="AN48" s="1228">
        <v>0</v>
      </c>
      <c r="AO48" s="403"/>
      <c r="AP48" s="403"/>
      <c r="AQ48" s="403"/>
      <c r="AR48" s="403"/>
      <c r="AS48" s="403"/>
      <c r="AT48" s="403"/>
      <c r="AU48" s="403"/>
      <c r="AV48" s="403"/>
      <c r="AW48" s="403"/>
      <c r="AX48" s="951"/>
      <c r="AY48" s="951"/>
      <c r="AZ48" s="951"/>
      <c r="BA48" s="1098"/>
    </row>
    <row r="49" spans="1:53" ht="11.25">
      <c r="A49" s="982">
        <v>1</v>
      </c>
      <c r="B49" s="1098" t="s">
        <v>1350</v>
      </c>
      <c r="C49" s="1222"/>
      <c r="D49" s="1222" t="s">
        <v>1648</v>
      </c>
      <c r="E49" s="1098"/>
      <c r="F49" s="1098"/>
      <c r="G49" s="1098"/>
      <c r="H49" s="1098"/>
      <c r="I49" s="1098"/>
      <c r="J49" s="1098"/>
      <c r="K49" s="1098"/>
      <c r="L49" s="1223" t="s">
        <v>562</v>
      </c>
      <c r="M49" s="1233" t="s">
        <v>563</v>
      </c>
      <c r="N49" s="1225" t="s">
        <v>351</v>
      </c>
      <c r="O49" s="1236">
        <v>0</v>
      </c>
      <c r="P49" s="1236">
        <v>0</v>
      </c>
      <c r="Q49" s="1236">
        <v>0</v>
      </c>
      <c r="R49" s="1228">
        <v>0</v>
      </c>
      <c r="S49" s="1236">
        <v>0</v>
      </c>
      <c r="T49" s="1236">
        <v>0</v>
      </c>
      <c r="U49" s="403"/>
      <c r="V49" s="403"/>
      <c r="W49" s="403"/>
      <c r="X49" s="403"/>
      <c r="Y49" s="403"/>
      <c r="Z49" s="403"/>
      <c r="AA49" s="403"/>
      <c r="AB49" s="403"/>
      <c r="AC49" s="403"/>
      <c r="AD49" s="1236">
        <v>0</v>
      </c>
      <c r="AE49" s="403"/>
      <c r="AF49" s="403"/>
      <c r="AG49" s="403"/>
      <c r="AH49" s="403"/>
      <c r="AI49" s="403"/>
      <c r="AJ49" s="403"/>
      <c r="AK49" s="403"/>
      <c r="AL49" s="403"/>
      <c r="AM49" s="403"/>
      <c r="AN49" s="1228">
        <v>0</v>
      </c>
      <c r="AO49" s="403"/>
      <c r="AP49" s="403"/>
      <c r="AQ49" s="403"/>
      <c r="AR49" s="403"/>
      <c r="AS49" s="403"/>
      <c r="AT49" s="403"/>
      <c r="AU49" s="403"/>
      <c r="AV49" s="403"/>
      <c r="AW49" s="403"/>
      <c r="AX49" s="951"/>
      <c r="AY49" s="951"/>
      <c r="AZ49" s="951"/>
      <c r="BA49" s="1098"/>
    </row>
    <row r="50" spans="1:53" ht="11.25">
      <c r="A50" s="982">
        <v>1</v>
      </c>
      <c r="B50" s="1098" t="s">
        <v>1457</v>
      </c>
      <c r="C50" s="1222"/>
      <c r="D50" s="1222" t="s">
        <v>1649</v>
      </c>
      <c r="E50" s="1098"/>
      <c r="F50" s="1098"/>
      <c r="G50" s="1098"/>
      <c r="H50" s="1098"/>
      <c r="I50" s="1098"/>
      <c r="J50" s="1098"/>
      <c r="K50" s="1098"/>
      <c r="L50" s="1223" t="s">
        <v>1463</v>
      </c>
      <c r="M50" s="1233" t="s">
        <v>1459</v>
      </c>
      <c r="N50" s="1225" t="s">
        <v>351</v>
      </c>
      <c r="O50" s="1236">
        <v>0</v>
      </c>
      <c r="P50" s="1236">
        <v>0</v>
      </c>
      <c r="Q50" s="1236">
        <v>0</v>
      </c>
      <c r="R50" s="1228">
        <v>0</v>
      </c>
      <c r="S50" s="1236">
        <v>0</v>
      </c>
      <c r="T50" s="1236">
        <v>0</v>
      </c>
      <c r="U50" s="403"/>
      <c r="V50" s="403"/>
      <c r="W50" s="403"/>
      <c r="X50" s="403"/>
      <c r="Y50" s="403"/>
      <c r="Z50" s="403"/>
      <c r="AA50" s="403"/>
      <c r="AB50" s="403"/>
      <c r="AC50" s="403"/>
      <c r="AD50" s="1236">
        <v>0</v>
      </c>
      <c r="AE50" s="403"/>
      <c r="AF50" s="403"/>
      <c r="AG50" s="403"/>
      <c r="AH50" s="403"/>
      <c r="AI50" s="403"/>
      <c r="AJ50" s="403"/>
      <c r="AK50" s="403"/>
      <c r="AL50" s="403"/>
      <c r="AM50" s="403"/>
      <c r="AN50" s="1228">
        <v>0</v>
      </c>
      <c r="AO50" s="403"/>
      <c r="AP50" s="403"/>
      <c r="AQ50" s="403"/>
      <c r="AR50" s="403"/>
      <c r="AS50" s="403"/>
      <c r="AT50" s="403"/>
      <c r="AU50" s="403"/>
      <c r="AV50" s="403"/>
      <c r="AW50" s="403"/>
      <c r="AX50" s="951"/>
      <c r="AY50" s="951"/>
      <c r="AZ50" s="951"/>
      <c r="BA50" s="1098"/>
    </row>
    <row r="51" spans="1:53" ht="22.5">
      <c r="A51" s="982">
        <v>1</v>
      </c>
      <c r="B51" s="1098"/>
      <c r="C51" s="1222"/>
      <c r="D51" s="1222" t="s">
        <v>1580</v>
      </c>
      <c r="E51" s="1098"/>
      <c r="F51" s="1098"/>
      <c r="G51" s="1098"/>
      <c r="H51" s="1098"/>
      <c r="I51" s="1098"/>
      <c r="J51" s="1098"/>
      <c r="K51" s="1098"/>
      <c r="L51" s="1223" t="s">
        <v>564</v>
      </c>
      <c r="M51" s="1231" t="s">
        <v>1471</v>
      </c>
      <c r="N51" s="1225" t="s">
        <v>351</v>
      </c>
      <c r="O51" s="403">
        <v>0</v>
      </c>
      <c r="P51" s="403">
        <v>0</v>
      </c>
      <c r="Q51" s="403">
        <v>0</v>
      </c>
      <c r="R51" s="1228">
        <v>0</v>
      </c>
      <c r="S51" s="403">
        <v>0</v>
      </c>
      <c r="T51" s="403">
        <v>314.02800000000002</v>
      </c>
      <c r="U51" s="403"/>
      <c r="V51" s="403"/>
      <c r="W51" s="403"/>
      <c r="X51" s="403"/>
      <c r="Y51" s="403"/>
      <c r="Z51" s="403"/>
      <c r="AA51" s="403"/>
      <c r="AB51" s="403"/>
      <c r="AC51" s="403"/>
      <c r="AD51" s="403">
        <v>314.02800000000002</v>
      </c>
      <c r="AE51" s="403"/>
      <c r="AF51" s="403"/>
      <c r="AG51" s="403"/>
      <c r="AH51" s="403"/>
      <c r="AI51" s="403"/>
      <c r="AJ51" s="403"/>
      <c r="AK51" s="403"/>
      <c r="AL51" s="403"/>
      <c r="AM51" s="403"/>
      <c r="AN51" s="1228">
        <v>0</v>
      </c>
      <c r="AO51" s="403"/>
      <c r="AP51" s="403"/>
      <c r="AQ51" s="403"/>
      <c r="AR51" s="403"/>
      <c r="AS51" s="403"/>
      <c r="AT51" s="403"/>
      <c r="AU51" s="403"/>
      <c r="AV51" s="403"/>
      <c r="AW51" s="403"/>
      <c r="AX51" s="951"/>
      <c r="AY51" s="951"/>
      <c r="AZ51" s="951"/>
      <c r="BA51" s="1098"/>
    </row>
    <row r="52" spans="1:53" ht="11.25">
      <c r="A52" s="982">
        <v>1</v>
      </c>
      <c r="B52" s="1098" t="s">
        <v>1289</v>
      </c>
      <c r="C52" s="1222"/>
      <c r="D52" s="1222" t="s">
        <v>1650</v>
      </c>
      <c r="E52" s="1098"/>
      <c r="F52" s="1098"/>
      <c r="G52" s="1098"/>
      <c r="H52" s="1098"/>
      <c r="I52" s="1098"/>
      <c r="J52" s="1098"/>
      <c r="K52" s="1098"/>
      <c r="L52" s="1223" t="s">
        <v>565</v>
      </c>
      <c r="M52" s="1233" t="s">
        <v>566</v>
      </c>
      <c r="N52" s="1225" t="s">
        <v>351</v>
      </c>
      <c r="O52" s="1236">
        <v>0</v>
      </c>
      <c r="P52" s="1236">
        <v>0</v>
      </c>
      <c r="Q52" s="1236">
        <v>0</v>
      </c>
      <c r="R52" s="1228">
        <v>0</v>
      </c>
      <c r="S52" s="1236">
        <v>0</v>
      </c>
      <c r="T52" s="1236">
        <v>241.56</v>
      </c>
      <c r="U52" s="403"/>
      <c r="V52" s="403"/>
      <c r="W52" s="403"/>
      <c r="X52" s="403"/>
      <c r="Y52" s="403"/>
      <c r="Z52" s="403"/>
      <c r="AA52" s="403"/>
      <c r="AB52" s="403"/>
      <c r="AC52" s="403"/>
      <c r="AD52" s="1236">
        <v>241.56</v>
      </c>
      <c r="AE52" s="403"/>
      <c r="AF52" s="403"/>
      <c r="AG52" s="403"/>
      <c r="AH52" s="403"/>
      <c r="AI52" s="403"/>
      <c r="AJ52" s="403"/>
      <c r="AK52" s="403"/>
      <c r="AL52" s="403"/>
      <c r="AM52" s="403"/>
      <c r="AN52" s="1228">
        <v>0</v>
      </c>
      <c r="AO52" s="403"/>
      <c r="AP52" s="403"/>
      <c r="AQ52" s="403"/>
      <c r="AR52" s="403"/>
      <c r="AS52" s="403"/>
      <c r="AT52" s="403"/>
      <c r="AU52" s="403"/>
      <c r="AV52" s="403"/>
      <c r="AW52" s="403"/>
      <c r="AX52" s="951"/>
      <c r="AY52" s="951"/>
      <c r="AZ52" s="951"/>
      <c r="BA52" s="1098"/>
    </row>
    <row r="53" spans="1:53" ht="22.5">
      <c r="A53" s="982">
        <v>1</v>
      </c>
      <c r="B53" s="1098" t="s">
        <v>1292</v>
      </c>
      <c r="C53" s="1222"/>
      <c r="D53" s="1222" t="s">
        <v>1651</v>
      </c>
      <c r="E53" s="1098"/>
      <c r="F53" s="1098"/>
      <c r="G53" s="1098"/>
      <c r="H53" s="1098"/>
      <c r="I53" s="1098"/>
      <c r="J53" s="1098"/>
      <c r="K53" s="1098"/>
      <c r="L53" s="1223" t="s">
        <v>567</v>
      </c>
      <c r="M53" s="1233" t="s">
        <v>1472</v>
      </c>
      <c r="N53" s="1225" t="s">
        <v>351</v>
      </c>
      <c r="O53" s="1236">
        <v>0</v>
      </c>
      <c r="P53" s="1236">
        <v>0</v>
      </c>
      <c r="Q53" s="1236">
        <v>0</v>
      </c>
      <c r="R53" s="1228">
        <v>0</v>
      </c>
      <c r="S53" s="1236">
        <v>0</v>
      </c>
      <c r="T53" s="1236">
        <v>72.468000000000004</v>
      </c>
      <c r="U53" s="403"/>
      <c r="V53" s="403"/>
      <c r="W53" s="403"/>
      <c r="X53" s="403"/>
      <c r="Y53" s="403"/>
      <c r="Z53" s="403"/>
      <c r="AA53" s="403"/>
      <c r="AB53" s="403"/>
      <c r="AC53" s="403"/>
      <c r="AD53" s="1236">
        <v>72.468000000000004</v>
      </c>
      <c r="AE53" s="403"/>
      <c r="AF53" s="403"/>
      <c r="AG53" s="403"/>
      <c r="AH53" s="403"/>
      <c r="AI53" s="403"/>
      <c r="AJ53" s="403"/>
      <c r="AK53" s="403"/>
      <c r="AL53" s="403"/>
      <c r="AM53" s="403"/>
      <c r="AN53" s="1228">
        <v>0</v>
      </c>
      <c r="AO53" s="403"/>
      <c r="AP53" s="403"/>
      <c r="AQ53" s="403"/>
      <c r="AR53" s="403"/>
      <c r="AS53" s="403"/>
      <c r="AT53" s="403"/>
      <c r="AU53" s="403"/>
      <c r="AV53" s="403"/>
      <c r="AW53" s="403"/>
      <c r="AX53" s="951"/>
      <c r="AY53" s="951"/>
      <c r="AZ53" s="951"/>
      <c r="BA53" s="1098"/>
    </row>
    <row r="54" spans="1:53" ht="33.75">
      <c r="A54" s="982">
        <v>1</v>
      </c>
      <c r="B54" s="1200" t="s">
        <v>1301</v>
      </c>
      <c r="C54" s="1222"/>
      <c r="D54" s="1222" t="s">
        <v>1581</v>
      </c>
      <c r="E54" s="1098"/>
      <c r="F54" s="1098"/>
      <c r="G54" s="1098"/>
      <c r="H54" s="1098"/>
      <c r="I54" s="1098"/>
      <c r="J54" s="1098"/>
      <c r="K54" s="1098"/>
      <c r="L54" s="1223" t="s">
        <v>568</v>
      </c>
      <c r="M54" s="1231" t="s">
        <v>569</v>
      </c>
      <c r="N54" s="1225" t="s">
        <v>351</v>
      </c>
      <c r="O54" s="1236">
        <v>0</v>
      </c>
      <c r="P54" s="1236">
        <v>0</v>
      </c>
      <c r="Q54" s="1236">
        <v>0</v>
      </c>
      <c r="R54" s="1228">
        <v>0</v>
      </c>
      <c r="S54" s="1236">
        <v>0</v>
      </c>
      <c r="T54" s="1236">
        <v>0</v>
      </c>
      <c r="U54" s="403"/>
      <c r="V54" s="403"/>
      <c r="W54" s="403"/>
      <c r="X54" s="403"/>
      <c r="Y54" s="403"/>
      <c r="Z54" s="403"/>
      <c r="AA54" s="403"/>
      <c r="AB54" s="403"/>
      <c r="AC54" s="403"/>
      <c r="AD54" s="1236">
        <v>0</v>
      </c>
      <c r="AE54" s="403"/>
      <c r="AF54" s="403"/>
      <c r="AG54" s="403"/>
      <c r="AH54" s="403"/>
      <c r="AI54" s="403"/>
      <c r="AJ54" s="403"/>
      <c r="AK54" s="403"/>
      <c r="AL54" s="403"/>
      <c r="AM54" s="403"/>
      <c r="AN54" s="1228">
        <v>0</v>
      </c>
      <c r="AO54" s="403"/>
      <c r="AP54" s="403"/>
      <c r="AQ54" s="403"/>
      <c r="AR54" s="403"/>
      <c r="AS54" s="403"/>
      <c r="AT54" s="403"/>
      <c r="AU54" s="403"/>
      <c r="AV54" s="403"/>
      <c r="AW54" s="403"/>
      <c r="AX54" s="951"/>
      <c r="AY54" s="951"/>
      <c r="AZ54" s="951"/>
      <c r="BA54" s="1098"/>
    </row>
    <row r="55" spans="1:53" ht="15">
      <c r="A55" s="982">
        <v>1</v>
      </c>
      <c r="B55" s="1200" t="s">
        <v>1303</v>
      </c>
      <c r="C55" s="1222"/>
      <c r="D55" s="1222" t="s">
        <v>1582</v>
      </c>
      <c r="E55" s="1098"/>
      <c r="F55" s="1098"/>
      <c r="G55" s="1098"/>
      <c r="H55" s="1098"/>
      <c r="I55" s="1098"/>
      <c r="J55" s="1098"/>
      <c r="K55" s="1098"/>
      <c r="L55" s="1223" t="s">
        <v>570</v>
      </c>
      <c r="M55" s="1231" t="s">
        <v>571</v>
      </c>
      <c r="N55" s="1225" t="s">
        <v>351</v>
      </c>
      <c r="O55" s="1236">
        <v>0</v>
      </c>
      <c r="P55" s="1236">
        <v>0</v>
      </c>
      <c r="Q55" s="1236">
        <v>0</v>
      </c>
      <c r="R55" s="1228">
        <v>0</v>
      </c>
      <c r="S55" s="1236">
        <v>0</v>
      </c>
      <c r="T55" s="1236">
        <v>0</v>
      </c>
      <c r="U55" s="403"/>
      <c r="V55" s="403"/>
      <c r="W55" s="403"/>
      <c r="X55" s="403"/>
      <c r="Y55" s="403"/>
      <c r="Z55" s="403"/>
      <c r="AA55" s="403"/>
      <c r="AB55" s="403"/>
      <c r="AC55" s="403"/>
      <c r="AD55" s="1236">
        <v>0</v>
      </c>
      <c r="AE55" s="403"/>
      <c r="AF55" s="403"/>
      <c r="AG55" s="403"/>
      <c r="AH55" s="403"/>
      <c r="AI55" s="403"/>
      <c r="AJ55" s="403"/>
      <c r="AK55" s="403"/>
      <c r="AL55" s="403"/>
      <c r="AM55" s="403"/>
      <c r="AN55" s="1228">
        <v>0</v>
      </c>
      <c r="AO55" s="403"/>
      <c r="AP55" s="403"/>
      <c r="AQ55" s="403"/>
      <c r="AR55" s="403"/>
      <c r="AS55" s="403"/>
      <c r="AT55" s="403"/>
      <c r="AU55" s="403"/>
      <c r="AV55" s="403"/>
      <c r="AW55" s="403"/>
      <c r="AX55" s="951"/>
      <c r="AY55" s="951"/>
      <c r="AZ55" s="951"/>
      <c r="BA55" s="1098"/>
    </row>
    <row r="56" spans="1:53" ht="15">
      <c r="A56" s="982">
        <v>1</v>
      </c>
      <c r="B56" s="1200" t="s">
        <v>1305</v>
      </c>
      <c r="C56" s="1222"/>
      <c r="D56" s="1222" t="s">
        <v>1652</v>
      </c>
      <c r="E56" s="1098"/>
      <c r="F56" s="1098"/>
      <c r="G56" s="1098"/>
      <c r="H56" s="1098"/>
      <c r="I56" s="1098"/>
      <c r="J56" s="1098"/>
      <c r="K56" s="1098"/>
      <c r="L56" s="1223" t="s">
        <v>572</v>
      </c>
      <c r="M56" s="1231" t="s">
        <v>573</v>
      </c>
      <c r="N56" s="1225" t="s">
        <v>351</v>
      </c>
      <c r="O56" s="1236">
        <v>0</v>
      </c>
      <c r="P56" s="1236">
        <v>0</v>
      </c>
      <c r="Q56" s="1236">
        <v>0</v>
      </c>
      <c r="R56" s="1228">
        <v>0</v>
      </c>
      <c r="S56" s="1236">
        <v>0</v>
      </c>
      <c r="T56" s="1236">
        <v>0</v>
      </c>
      <c r="U56" s="403"/>
      <c r="V56" s="403"/>
      <c r="W56" s="403"/>
      <c r="X56" s="403"/>
      <c r="Y56" s="403"/>
      <c r="Z56" s="403"/>
      <c r="AA56" s="403"/>
      <c r="AB56" s="403"/>
      <c r="AC56" s="403"/>
      <c r="AD56" s="1236">
        <v>0</v>
      </c>
      <c r="AE56" s="403"/>
      <c r="AF56" s="403"/>
      <c r="AG56" s="403"/>
      <c r="AH56" s="403"/>
      <c r="AI56" s="403"/>
      <c r="AJ56" s="403"/>
      <c r="AK56" s="403"/>
      <c r="AL56" s="403"/>
      <c r="AM56" s="403"/>
      <c r="AN56" s="1228">
        <v>0</v>
      </c>
      <c r="AO56" s="403"/>
      <c r="AP56" s="403"/>
      <c r="AQ56" s="403"/>
      <c r="AR56" s="403"/>
      <c r="AS56" s="403"/>
      <c r="AT56" s="403"/>
      <c r="AU56" s="403"/>
      <c r="AV56" s="403"/>
      <c r="AW56" s="403"/>
      <c r="AX56" s="951"/>
      <c r="AY56" s="951"/>
      <c r="AZ56" s="951"/>
      <c r="BA56" s="1098"/>
    </row>
    <row r="57" spans="1:53" ht="15">
      <c r="A57" s="982">
        <v>1</v>
      </c>
      <c r="B57" s="1200" t="s">
        <v>1307</v>
      </c>
      <c r="C57" s="1222"/>
      <c r="D57" s="1222" t="s">
        <v>1653</v>
      </c>
      <c r="E57" s="1098"/>
      <c r="F57" s="1098"/>
      <c r="G57" s="1098"/>
      <c r="H57" s="1098"/>
      <c r="I57" s="1098"/>
      <c r="J57" s="1098"/>
      <c r="K57" s="1098"/>
      <c r="L57" s="1223" t="s">
        <v>574</v>
      </c>
      <c r="M57" s="1231" t="s">
        <v>575</v>
      </c>
      <c r="N57" s="1225" t="s">
        <v>351</v>
      </c>
      <c r="O57" s="1236">
        <v>0</v>
      </c>
      <c r="P57" s="1236">
        <v>0</v>
      </c>
      <c r="Q57" s="1236">
        <v>0</v>
      </c>
      <c r="R57" s="1228">
        <v>0</v>
      </c>
      <c r="S57" s="1236">
        <v>0</v>
      </c>
      <c r="T57" s="1236">
        <v>0</v>
      </c>
      <c r="U57" s="403"/>
      <c r="V57" s="403"/>
      <c r="W57" s="403"/>
      <c r="X57" s="403"/>
      <c r="Y57" s="403"/>
      <c r="Z57" s="403"/>
      <c r="AA57" s="403"/>
      <c r="AB57" s="403"/>
      <c r="AC57" s="403"/>
      <c r="AD57" s="1236">
        <v>0</v>
      </c>
      <c r="AE57" s="403"/>
      <c r="AF57" s="403"/>
      <c r="AG57" s="403"/>
      <c r="AH57" s="403"/>
      <c r="AI57" s="403"/>
      <c r="AJ57" s="403"/>
      <c r="AK57" s="403"/>
      <c r="AL57" s="403"/>
      <c r="AM57" s="403"/>
      <c r="AN57" s="1228">
        <v>0</v>
      </c>
      <c r="AO57" s="403"/>
      <c r="AP57" s="403"/>
      <c r="AQ57" s="403"/>
      <c r="AR57" s="403"/>
      <c r="AS57" s="403"/>
      <c r="AT57" s="403"/>
      <c r="AU57" s="403"/>
      <c r="AV57" s="403"/>
      <c r="AW57" s="403"/>
      <c r="AX57" s="951"/>
      <c r="AY57" s="951"/>
      <c r="AZ57" s="951"/>
      <c r="BA57" s="1098"/>
    </row>
    <row r="58" spans="1:53" ht="15">
      <c r="A58" s="982">
        <v>1</v>
      </c>
      <c r="B58" s="1200" t="s">
        <v>1309</v>
      </c>
      <c r="C58" s="1222"/>
      <c r="D58" s="1222" t="s">
        <v>1654</v>
      </c>
      <c r="E58" s="1098"/>
      <c r="F58" s="1098"/>
      <c r="G58" s="1098"/>
      <c r="H58" s="1098"/>
      <c r="I58" s="1098"/>
      <c r="J58" s="1098"/>
      <c r="K58" s="1098"/>
      <c r="L58" s="1223" t="s">
        <v>576</v>
      </c>
      <c r="M58" s="1231" t="s">
        <v>577</v>
      </c>
      <c r="N58" s="1225" t="s">
        <v>351</v>
      </c>
      <c r="O58" s="1236">
        <v>0</v>
      </c>
      <c r="P58" s="1236">
        <v>0</v>
      </c>
      <c r="Q58" s="1236">
        <v>0</v>
      </c>
      <c r="R58" s="1228">
        <v>0</v>
      </c>
      <c r="S58" s="1236">
        <v>0</v>
      </c>
      <c r="T58" s="1236">
        <v>0</v>
      </c>
      <c r="U58" s="403"/>
      <c r="V58" s="403"/>
      <c r="W58" s="403"/>
      <c r="X58" s="403"/>
      <c r="Y58" s="403"/>
      <c r="Z58" s="403"/>
      <c r="AA58" s="403"/>
      <c r="AB58" s="403"/>
      <c r="AC58" s="403"/>
      <c r="AD58" s="1236">
        <v>0</v>
      </c>
      <c r="AE58" s="403"/>
      <c r="AF58" s="403"/>
      <c r="AG58" s="403"/>
      <c r="AH58" s="403"/>
      <c r="AI58" s="403"/>
      <c r="AJ58" s="403"/>
      <c r="AK58" s="403"/>
      <c r="AL58" s="403"/>
      <c r="AM58" s="403"/>
      <c r="AN58" s="1228">
        <v>0</v>
      </c>
      <c r="AO58" s="403"/>
      <c r="AP58" s="403"/>
      <c r="AQ58" s="403"/>
      <c r="AR58" s="403"/>
      <c r="AS58" s="403"/>
      <c r="AT58" s="403"/>
      <c r="AU58" s="403"/>
      <c r="AV58" s="403"/>
      <c r="AW58" s="403"/>
      <c r="AX58" s="951"/>
      <c r="AY58" s="951"/>
      <c r="AZ58" s="951"/>
      <c r="BA58" s="1098"/>
    </row>
    <row r="59" spans="1:53" ht="15">
      <c r="A59" s="982">
        <v>1</v>
      </c>
      <c r="B59" s="1200" t="s">
        <v>1311</v>
      </c>
      <c r="C59" s="1222"/>
      <c r="D59" s="1222" t="s">
        <v>1655</v>
      </c>
      <c r="E59" s="1098"/>
      <c r="F59" s="1098"/>
      <c r="G59" s="1098"/>
      <c r="H59" s="1098"/>
      <c r="I59" s="1098"/>
      <c r="J59" s="1098"/>
      <c r="K59" s="1098"/>
      <c r="L59" s="1223" t="s">
        <v>1366</v>
      </c>
      <c r="M59" s="1235" t="s">
        <v>578</v>
      </c>
      <c r="N59" s="1225" t="s">
        <v>351</v>
      </c>
      <c r="O59" s="1236">
        <v>0</v>
      </c>
      <c r="P59" s="1236">
        <v>0</v>
      </c>
      <c r="Q59" s="1236">
        <v>0</v>
      </c>
      <c r="R59" s="1228">
        <v>0</v>
      </c>
      <c r="S59" s="1236">
        <v>0</v>
      </c>
      <c r="T59" s="1236">
        <v>0</v>
      </c>
      <c r="U59" s="403"/>
      <c r="V59" s="403"/>
      <c r="W59" s="403"/>
      <c r="X59" s="403"/>
      <c r="Y59" s="403"/>
      <c r="Z59" s="403"/>
      <c r="AA59" s="403"/>
      <c r="AB59" s="403"/>
      <c r="AC59" s="403"/>
      <c r="AD59" s="1236">
        <v>0</v>
      </c>
      <c r="AE59" s="403"/>
      <c r="AF59" s="403"/>
      <c r="AG59" s="403"/>
      <c r="AH59" s="403"/>
      <c r="AI59" s="403"/>
      <c r="AJ59" s="403"/>
      <c r="AK59" s="403"/>
      <c r="AL59" s="403"/>
      <c r="AM59" s="403"/>
      <c r="AN59" s="1228">
        <v>0</v>
      </c>
      <c r="AO59" s="403"/>
      <c r="AP59" s="403"/>
      <c r="AQ59" s="403"/>
      <c r="AR59" s="403"/>
      <c r="AS59" s="403"/>
      <c r="AT59" s="403"/>
      <c r="AU59" s="403"/>
      <c r="AV59" s="403"/>
      <c r="AW59" s="403"/>
      <c r="AX59" s="951"/>
      <c r="AY59" s="951"/>
      <c r="AZ59" s="951"/>
      <c r="BA59" s="1098"/>
    </row>
    <row r="60" spans="1:53" ht="15">
      <c r="A60" s="982">
        <v>1</v>
      </c>
      <c r="B60" s="1200" t="s">
        <v>1313</v>
      </c>
      <c r="C60" s="1222"/>
      <c r="D60" s="1222" t="s">
        <v>1656</v>
      </c>
      <c r="E60" s="1098"/>
      <c r="F60" s="1098"/>
      <c r="G60" s="1098"/>
      <c r="H60" s="1098"/>
      <c r="I60" s="1098"/>
      <c r="J60" s="1098"/>
      <c r="K60" s="1098"/>
      <c r="L60" s="1223" t="s">
        <v>1367</v>
      </c>
      <c r="M60" s="1235" t="s">
        <v>579</v>
      </c>
      <c r="N60" s="1225" t="s">
        <v>351</v>
      </c>
      <c r="O60" s="1236">
        <v>0</v>
      </c>
      <c r="P60" s="1236">
        <v>0</v>
      </c>
      <c r="Q60" s="1236">
        <v>0</v>
      </c>
      <c r="R60" s="1228">
        <v>0</v>
      </c>
      <c r="S60" s="1236">
        <v>0</v>
      </c>
      <c r="T60" s="1236">
        <v>0</v>
      </c>
      <c r="U60" s="403"/>
      <c r="V60" s="403"/>
      <c r="W60" s="403"/>
      <c r="X60" s="403"/>
      <c r="Y60" s="403"/>
      <c r="Z60" s="403"/>
      <c r="AA60" s="403"/>
      <c r="AB60" s="403"/>
      <c r="AC60" s="403"/>
      <c r="AD60" s="1236">
        <v>0</v>
      </c>
      <c r="AE60" s="403"/>
      <c r="AF60" s="403"/>
      <c r="AG60" s="403"/>
      <c r="AH60" s="403"/>
      <c r="AI60" s="403"/>
      <c r="AJ60" s="403"/>
      <c r="AK60" s="403"/>
      <c r="AL60" s="403"/>
      <c r="AM60" s="403"/>
      <c r="AN60" s="1228">
        <v>0</v>
      </c>
      <c r="AO60" s="403"/>
      <c r="AP60" s="403"/>
      <c r="AQ60" s="403"/>
      <c r="AR60" s="403"/>
      <c r="AS60" s="403"/>
      <c r="AT60" s="403"/>
      <c r="AU60" s="403"/>
      <c r="AV60" s="403"/>
      <c r="AW60" s="403"/>
      <c r="AX60" s="951"/>
      <c r="AY60" s="951"/>
      <c r="AZ60" s="951"/>
      <c r="BA60" s="1098"/>
    </row>
    <row r="61" spans="1:53" ht="11.25">
      <c r="A61" s="982">
        <v>1</v>
      </c>
      <c r="B61" s="1098" t="s">
        <v>1460</v>
      </c>
      <c r="C61" s="1222"/>
      <c r="D61" s="1222" t="s">
        <v>1657</v>
      </c>
      <c r="E61" s="1098"/>
      <c r="F61" s="1098"/>
      <c r="G61" s="1098"/>
      <c r="H61" s="1098"/>
      <c r="I61" s="1098"/>
      <c r="J61" s="1098"/>
      <c r="K61" s="1098"/>
      <c r="L61" s="1223" t="s">
        <v>1462</v>
      </c>
      <c r="M61" s="1233" t="s">
        <v>1461</v>
      </c>
      <c r="N61" s="1225" t="s">
        <v>351</v>
      </c>
      <c r="O61" s="1236">
        <v>0</v>
      </c>
      <c r="P61" s="1236">
        <v>0</v>
      </c>
      <c r="Q61" s="1236">
        <v>0</v>
      </c>
      <c r="R61" s="1228">
        <v>0</v>
      </c>
      <c r="S61" s="1236">
        <v>0</v>
      </c>
      <c r="T61" s="1236">
        <v>0</v>
      </c>
      <c r="U61" s="403"/>
      <c r="V61" s="403"/>
      <c r="W61" s="403"/>
      <c r="X61" s="403"/>
      <c r="Y61" s="403"/>
      <c r="Z61" s="403"/>
      <c r="AA61" s="403"/>
      <c r="AB61" s="403"/>
      <c r="AC61" s="403"/>
      <c r="AD61" s="1236">
        <v>0</v>
      </c>
      <c r="AE61" s="403"/>
      <c r="AF61" s="403"/>
      <c r="AG61" s="403"/>
      <c r="AH61" s="403"/>
      <c r="AI61" s="403"/>
      <c r="AJ61" s="403"/>
      <c r="AK61" s="403"/>
      <c r="AL61" s="403"/>
      <c r="AM61" s="403"/>
      <c r="AN61" s="1228">
        <v>0</v>
      </c>
      <c r="AO61" s="403"/>
      <c r="AP61" s="403"/>
      <c r="AQ61" s="403"/>
      <c r="AR61" s="403"/>
      <c r="AS61" s="403"/>
      <c r="AT61" s="403"/>
      <c r="AU61" s="403"/>
      <c r="AV61" s="403"/>
      <c r="AW61" s="403"/>
      <c r="AX61" s="951"/>
      <c r="AY61" s="951"/>
      <c r="AZ61" s="951"/>
      <c r="BA61" s="1098"/>
    </row>
    <row r="62" spans="1:53" ht="22.5">
      <c r="A62" s="982">
        <v>1</v>
      </c>
      <c r="B62" s="1098"/>
      <c r="C62" s="1222"/>
      <c r="D62" s="1222" t="s">
        <v>1551</v>
      </c>
      <c r="E62" s="1098"/>
      <c r="F62" s="1098"/>
      <c r="G62" s="1098"/>
      <c r="H62" s="1098"/>
      <c r="I62" s="1098"/>
      <c r="J62" s="1098"/>
      <c r="K62" s="1098"/>
      <c r="L62" s="1223" t="s">
        <v>363</v>
      </c>
      <c r="M62" s="1224" t="s">
        <v>1379</v>
      </c>
      <c r="N62" s="1225" t="s">
        <v>351</v>
      </c>
      <c r="O62" s="1236">
        <v>0</v>
      </c>
      <c r="P62" s="1236">
        <v>0</v>
      </c>
      <c r="Q62" s="1236">
        <v>0</v>
      </c>
      <c r="R62" s="1228">
        <v>0</v>
      </c>
      <c r="S62" s="1236">
        <v>0</v>
      </c>
      <c r="T62" s="1236">
        <v>0</v>
      </c>
      <c r="U62" s="403"/>
      <c r="V62" s="403"/>
      <c r="W62" s="403"/>
      <c r="X62" s="403"/>
      <c r="Y62" s="403"/>
      <c r="Z62" s="403"/>
      <c r="AA62" s="403"/>
      <c r="AB62" s="403"/>
      <c r="AC62" s="403"/>
      <c r="AD62" s="1236">
        <v>0</v>
      </c>
      <c r="AE62" s="403"/>
      <c r="AF62" s="403"/>
      <c r="AG62" s="403"/>
      <c r="AH62" s="403"/>
      <c r="AI62" s="403"/>
      <c r="AJ62" s="403"/>
      <c r="AK62" s="403"/>
      <c r="AL62" s="403"/>
      <c r="AM62" s="403"/>
      <c r="AN62" s="1228">
        <v>0</v>
      </c>
      <c r="AO62" s="403"/>
      <c r="AP62" s="403"/>
      <c r="AQ62" s="403"/>
      <c r="AR62" s="403"/>
      <c r="AS62" s="403"/>
      <c r="AT62" s="403"/>
      <c r="AU62" s="403"/>
      <c r="AV62" s="403"/>
      <c r="AW62" s="403"/>
      <c r="AX62" s="951"/>
      <c r="AY62" s="951"/>
      <c r="AZ62" s="951"/>
      <c r="BA62" s="1098"/>
    </row>
    <row r="63" spans="1:53" ht="11.25">
      <c r="A63" s="982">
        <v>1</v>
      </c>
      <c r="B63" s="1098"/>
      <c r="C63" s="1222"/>
      <c r="D63" s="1222" t="s">
        <v>1658</v>
      </c>
      <c r="E63" s="1098"/>
      <c r="F63" s="1098"/>
      <c r="G63" s="1098"/>
      <c r="H63" s="1098"/>
      <c r="I63" s="1098"/>
      <c r="J63" s="1098"/>
      <c r="K63" s="1098"/>
      <c r="L63" s="1223" t="s">
        <v>1199</v>
      </c>
      <c r="M63" s="1224" t="s">
        <v>1200</v>
      </c>
      <c r="N63" s="1225" t="s">
        <v>351</v>
      </c>
      <c r="O63" s="984"/>
      <c r="P63" s="984"/>
      <c r="Q63" s="984"/>
      <c r="R63" s="1228">
        <v>0</v>
      </c>
      <c r="S63" s="984"/>
      <c r="T63" s="984"/>
      <c r="U63" s="403"/>
      <c r="V63" s="403"/>
      <c r="W63" s="403"/>
      <c r="X63" s="403"/>
      <c r="Y63" s="403"/>
      <c r="Z63" s="403"/>
      <c r="AA63" s="403"/>
      <c r="AB63" s="403"/>
      <c r="AC63" s="403"/>
      <c r="AD63" s="984"/>
      <c r="AE63" s="403"/>
      <c r="AF63" s="403"/>
      <c r="AG63" s="403"/>
      <c r="AH63" s="403"/>
      <c r="AI63" s="403"/>
      <c r="AJ63" s="403"/>
      <c r="AK63" s="403"/>
      <c r="AL63" s="403"/>
      <c r="AM63" s="403"/>
      <c r="AN63" s="1228">
        <v>0</v>
      </c>
      <c r="AO63" s="403"/>
      <c r="AP63" s="403"/>
      <c r="AQ63" s="403"/>
      <c r="AR63" s="403"/>
      <c r="AS63" s="403"/>
      <c r="AT63" s="403"/>
      <c r="AU63" s="403"/>
      <c r="AV63" s="403"/>
      <c r="AW63" s="403"/>
      <c r="AX63" s="951"/>
      <c r="AY63" s="951"/>
      <c r="AZ63" s="951"/>
      <c r="BA63" s="1098"/>
    </row>
    <row r="64" spans="1:53" s="109" customFormat="1" ht="11.25">
      <c r="A64" s="982">
        <v>1</v>
      </c>
      <c r="B64" s="1238"/>
      <c r="C64" s="1222"/>
      <c r="D64" s="1222" t="s">
        <v>1659</v>
      </c>
      <c r="E64" s="1238"/>
      <c r="F64" s="1238"/>
      <c r="G64" s="1238"/>
      <c r="H64" s="1238"/>
      <c r="I64" s="1238"/>
      <c r="J64" s="1238"/>
      <c r="K64" s="1238"/>
      <c r="L64" s="1239" t="s">
        <v>1382</v>
      </c>
      <c r="M64" s="1240" t="s">
        <v>1384</v>
      </c>
      <c r="N64" s="1241" t="s">
        <v>351</v>
      </c>
      <c r="O64" s="548">
        <v>0</v>
      </c>
      <c r="P64" s="548">
        <v>0</v>
      </c>
      <c r="Q64" s="548">
        <v>0</v>
      </c>
      <c r="R64" s="1219">
        <v>0</v>
      </c>
      <c r="S64" s="548">
        <v>0</v>
      </c>
      <c r="T64" s="548">
        <v>0</v>
      </c>
      <c r="U64" s="548"/>
      <c r="V64" s="548"/>
      <c r="W64" s="548"/>
      <c r="X64" s="548"/>
      <c r="Y64" s="548"/>
      <c r="Z64" s="548"/>
      <c r="AA64" s="548"/>
      <c r="AB64" s="548"/>
      <c r="AC64" s="548"/>
      <c r="AD64" s="548">
        <v>0</v>
      </c>
      <c r="AE64" s="548"/>
      <c r="AF64" s="548"/>
      <c r="AG64" s="548"/>
      <c r="AH64" s="548"/>
      <c r="AI64" s="548"/>
      <c r="AJ64" s="548"/>
      <c r="AK64" s="548"/>
      <c r="AL64" s="548"/>
      <c r="AM64" s="548"/>
      <c r="AN64" s="1219">
        <v>0</v>
      </c>
      <c r="AO64" s="548"/>
      <c r="AP64" s="548"/>
      <c r="AQ64" s="548"/>
      <c r="AR64" s="548"/>
      <c r="AS64" s="548"/>
      <c r="AT64" s="548"/>
      <c r="AU64" s="548"/>
      <c r="AV64" s="548"/>
      <c r="AW64" s="548"/>
      <c r="AX64" s="1230"/>
      <c r="AY64" s="1230"/>
      <c r="AZ64" s="1230"/>
      <c r="BA64" s="1238"/>
    </row>
    <row r="65" spans="1:53" s="555" customFormat="1" ht="11.25">
      <c r="A65" s="982">
        <v>1</v>
      </c>
      <c r="L65" s="556" t="s">
        <v>1383</v>
      </c>
      <c r="M65" s="557"/>
      <c r="N65" s="558"/>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559"/>
      <c r="AY65" s="559"/>
      <c r="AZ65" s="559"/>
    </row>
    <row r="66" spans="1:53" s="109" customFormat="1" ht="11.25">
      <c r="A66" s="982">
        <v>1</v>
      </c>
      <c r="B66" s="1238"/>
      <c r="C66" s="1098"/>
      <c r="D66" s="1098" t="s">
        <v>1481</v>
      </c>
      <c r="E66" s="1238"/>
      <c r="F66" s="1238"/>
      <c r="G66" s="1238"/>
      <c r="H66" s="1238"/>
      <c r="I66" s="1238"/>
      <c r="J66" s="1238"/>
      <c r="K66" s="1238"/>
      <c r="L66" s="1216" t="s">
        <v>102</v>
      </c>
      <c r="M66" s="1217" t="s">
        <v>580</v>
      </c>
      <c r="N66" s="1218" t="s">
        <v>351</v>
      </c>
      <c r="O66" s="1219">
        <v>6</v>
      </c>
      <c r="P66" s="1219">
        <v>15.27</v>
      </c>
      <c r="Q66" s="1219">
        <v>8.734</v>
      </c>
      <c r="R66" s="1219">
        <v>-6.5359999999999996</v>
      </c>
      <c r="S66" s="1219">
        <v>15.27</v>
      </c>
      <c r="T66" s="1219">
        <v>9.8000000000000007</v>
      </c>
      <c r="U66" s="1219">
        <v>10</v>
      </c>
      <c r="V66" s="1219">
        <v>10.5</v>
      </c>
      <c r="W66" s="1219">
        <v>11</v>
      </c>
      <c r="X66" s="1219">
        <v>11.5</v>
      </c>
      <c r="Y66" s="1219">
        <v>0</v>
      </c>
      <c r="Z66" s="1219">
        <v>0</v>
      </c>
      <c r="AA66" s="1219">
        <v>0</v>
      </c>
      <c r="AB66" s="1219">
        <v>0</v>
      </c>
      <c r="AC66" s="1219">
        <v>0</v>
      </c>
      <c r="AD66" s="1219">
        <v>9.8000000000000007</v>
      </c>
      <c r="AE66" s="1219">
        <v>9.8000000000000007</v>
      </c>
      <c r="AF66" s="1219">
        <v>9.8000000000000007</v>
      </c>
      <c r="AG66" s="1219">
        <v>9.8000000000000007</v>
      </c>
      <c r="AH66" s="1219">
        <v>9.8000000000000007</v>
      </c>
      <c r="AI66" s="1219">
        <v>0</v>
      </c>
      <c r="AJ66" s="1219">
        <v>0</v>
      </c>
      <c r="AK66" s="1219">
        <v>0</v>
      </c>
      <c r="AL66" s="1219">
        <v>0</v>
      </c>
      <c r="AM66" s="1219">
        <v>0</v>
      </c>
      <c r="AN66" s="1219">
        <v>-35.8218729535036</v>
      </c>
      <c r="AO66" s="1219">
        <v>0</v>
      </c>
      <c r="AP66" s="1219">
        <v>0</v>
      </c>
      <c r="AQ66" s="1219">
        <v>0</v>
      </c>
      <c r="AR66" s="1219">
        <v>0</v>
      </c>
      <c r="AS66" s="1219">
        <v>-100</v>
      </c>
      <c r="AT66" s="1219">
        <v>0</v>
      </c>
      <c r="AU66" s="1219">
        <v>0</v>
      </c>
      <c r="AV66" s="1219">
        <v>0</v>
      </c>
      <c r="AW66" s="1219">
        <v>0</v>
      </c>
      <c r="AX66" s="951"/>
      <c r="AY66" s="951"/>
      <c r="AZ66" s="951"/>
      <c r="BA66" s="1221"/>
    </row>
    <row r="67" spans="1:53" s="109" customFormat="1" ht="22.5">
      <c r="A67" s="982">
        <v>1</v>
      </c>
      <c r="B67" s="1238"/>
      <c r="C67" s="1098"/>
      <c r="D67" s="1098" t="s">
        <v>1492</v>
      </c>
      <c r="E67" s="1238"/>
      <c r="F67" s="1238"/>
      <c r="G67" s="1238"/>
      <c r="H67" s="1238"/>
      <c r="I67" s="1238"/>
      <c r="J67" s="1238"/>
      <c r="K67" s="1238"/>
      <c r="L67" s="1239" t="s">
        <v>17</v>
      </c>
      <c r="M67" s="1240" t="s">
        <v>581</v>
      </c>
      <c r="N67" s="1241" t="s">
        <v>351</v>
      </c>
      <c r="O67" s="1219">
        <v>0</v>
      </c>
      <c r="P67" s="1219">
        <v>0</v>
      </c>
      <c r="Q67" s="1219">
        <v>0</v>
      </c>
      <c r="R67" s="1219">
        <v>0</v>
      </c>
      <c r="S67" s="1219">
        <v>0</v>
      </c>
      <c r="T67" s="1219">
        <v>0</v>
      </c>
      <c r="U67" s="1219">
        <v>0</v>
      </c>
      <c r="V67" s="1219">
        <v>0</v>
      </c>
      <c r="W67" s="1219">
        <v>0</v>
      </c>
      <c r="X67" s="1219">
        <v>0</v>
      </c>
      <c r="Y67" s="1219">
        <v>0</v>
      </c>
      <c r="Z67" s="1219">
        <v>0</v>
      </c>
      <c r="AA67" s="1219">
        <v>0</v>
      </c>
      <c r="AB67" s="1219">
        <v>0</v>
      </c>
      <c r="AC67" s="1219">
        <v>0</v>
      </c>
      <c r="AD67" s="1219">
        <v>0</v>
      </c>
      <c r="AE67" s="1219">
        <v>0</v>
      </c>
      <c r="AF67" s="1219">
        <v>0</v>
      </c>
      <c r="AG67" s="1219">
        <v>0</v>
      </c>
      <c r="AH67" s="1219">
        <v>0</v>
      </c>
      <c r="AI67" s="1219">
        <v>0</v>
      </c>
      <c r="AJ67" s="1219">
        <v>0</v>
      </c>
      <c r="AK67" s="1219">
        <v>0</v>
      </c>
      <c r="AL67" s="1219">
        <v>0</v>
      </c>
      <c r="AM67" s="1219">
        <v>0</v>
      </c>
      <c r="AN67" s="1219">
        <v>0</v>
      </c>
      <c r="AO67" s="1219">
        <v>0</v>
      </c>
      <c r="AP67" s="1219">
        <v>0</v>
      </c>
      <c r="AQ67" s="1219">
        <v>0</v>
      </c>
      <c r="AR67" s="1219">
        <v>0</v>
      </c>
      <c r="AS67" s="1219">
        <v>0</v>
      </c>
      <c r="AT67" s="1219">
        <v>0</v>
      </c>
      <c r="AU67" s="1219">
        <v>0</v>
      </c>
      <c r="AV67" s="1219">
        <v>0</v>
      </c>
      <c r="AW67" s="1219">
        <v>0</v>
      </c>
      <c r="AX67" s="1230"/>
      <c r="AY67" s="1230"/>
      <c r="AZ67" s="1230"/>
      <c r="BA67" s="1238"/>
    </row>
    <row r="68" spans="1:53" ht="11.25">
      <c r="A68" s="982">
        <v>1</v>
      </c>
      <c r="B68" s="1098" t="s">
        <v>407</v>
      </c>
      <c r="C68" s="1098"/>
      <c r="D68" s="1098" t="s">
        <v>1604</v>
      </c>
      <c r="E68" s="1098"/>
      <c r="F68" s="1098"/>
      <c r="G68" s="1098"/>
      <c r="H68" s="1098"/>
      <c r="I68" s="1098"/>
      <c r="J68" s="1098"/>
      <c r="K68" s="1098"/>
      <c r="L68" s="1223" t="s">
        <v>136</v>
      </c>
      <c r="M68" s="1231" t="s">
        <v>582</v>
      </c>
      <c r="N68" s="1225" t="s">
        <v>351</v>
      </c>
      <c r="O68" s="403">
        <v>0</v>
      </c>
      <c r="P68" s="403">
        <v>0</v>
      </c>
      <c r="Q68" s="403">
        <v>0</v>
      </c>
      <c r="R68" s="1228">
        <v>0</v>
      </c>
      <c r="S68" s="403">
        <v>0</v>
      </c>
      <c r="T68" s="403">
        <v>0</v>
      </c>
      <c r="U68" s="403">
        <v>0</v>
      </c>
      <c r="V68" s="403">
        <v>0</v>
      </c>
      <c r="W68" s="403">
        <v>0</v>
      </c>
      <c r="X68" s="403">
        <v>0</v>
      </c>
      <c r="Y68" s="403">
        <v>0</v>
      </c>
      <c r="Z68" s="403">
        <v>0</v>
      </c>
      <c r="AA68" s="403">
        <v>0</v>
      </c>
      <c r="AB68" s="403">
        <v>0</v>
      </c>
      <c r="AC68" s="403">
        <v>0</v>
      </c>
      <c r="AD68" s="403">
        <v>0</v>
      </c>
      <c r="AE68" s="403">
        <v>0</v>
      </c>
      <c r="AF68" s="403">
        <v>0</v>
      </c>
      <c r="AG68" s="403">
        <v>0</v>
      </c>
      <c r="AH68" s="403">
        <v>0</v>
      </c>
      <c r="AI68" s="403">
        <v>0</v>
      </c>
      <c r="AJ68" s="403">
        <v>0</v>
      </c>
      <c r="AK68" s="403">
        <v>0</v>
      </c>
      <c r="AL68" s="403">
        <v>0</v>
      </c>
      <c r="AM68" s="403">
        <v>0</v>
      </c>
      <c r="AN68" s="1228">
        <v>0</v>
      </c>
      <c r="AO68" s="1228">
        <v>0</v>
      </c>
      <c r="AP68" s="1228">
        <v>0</v>
      </c>
      <c r="AQ68" s="1228">
        <v>0</v>
      </c>
      <c r="AR68" s="1228">
        <v>0</v>
      </c>
      <c r="AS68" s="1228">
        <v>0</v>
      </c>
      <c r="AT68" s="1228">
        <v>0</v>
      </c>
      <c r="AU68" s="1228">
        <v>0</v>
      </c>
      <c r="AV68" s="1228">
        <v>0</v>
      </c>
      <c r="AW68" s="1228">
        <v>0</v>
      </c>
      <c r="AX68" s="951"/>
      <c r="AY68" s="951"/>
      <c r="AZ68" s="951"/>
      <c r="BA68" s="1098"/>
    </row>
    <row r="69" spans="1:53" ht="11.25">
      <c r="A69" s="982">
        <v>1</v>
      </c>
      <c r="B69" s="1098" t="s">
        <v>408</v>
      </c>
      <c r="C69" s="1098"/>
      <c r="D69" s="1098" t="s">
        <v>1605</v>
      </c>
      <c r="E69" s="1098"/>
      <c r="F69" s="1098"/>
      <c r="G69" s="1098"/>
      <c r="H69" s="1098"/>
      <c r="I69" s="1098"/>
      <c r="J69" s="1098"/>
      <c r="K69" s="1098"/>
      <c r="L69" s="1223" t="s">
        <v>583</v>
      </c>
      <c r="M69" s="1231" t="s">
        <v>584</v>
      </c>
      <c r="N69" s="1225" t="s">
        <v>351</v>
      </c>
      <c r="O69" s="403">
        <v>0</v>
      </c>
      <c r="P69" s="403">
        <v>0</v>
      </c>
      <c r="Q69" s="403">
        <v>0</v>
      </c>
      <c r="R69" s="1228">
        <v>0</v>
      </c>
      <c r="S69" s="403">
        <v>0</v>
      </c>
      <c r="T69" s="403">
        <v>0</v>
      </c>
      <c r="U69" s="403">
        <v>0</v>
      </c>
      <c r="V69" s="403">
        <v>0</v>
      </c>
      <c r="W69" s="403">
        <v>0</v>
      </c>
      <c r="X69" s="403">
        <v>0</v>
      </c>
      <c r="Y69" s="403">
        <v>0</v>
      </c>
      <c r="Z69" s="403">
        <v>0</v>
      </c>
      <c r="AA69" s="403">
        <v>0</v>
      </c>
      <c r="AB69" s="403">
        <v>0</v>
      </c>
      <c r="AC69" s="403">
        <v>0</v>
      </c>
      <c r="AD69" s="403">
        <v>0</v>
      </c>
      <c r="AE69" s="403">
        <v>0</v>
      </c>
      <c r="AF69" s="403">
        <v>0</v>
      </c>
      <c r="AG69" s="403">
        <v>0</v>
      </c>
      <c r="AH69" s="403">
        <v>0</v>
      </c>
      <c r="AI69" s="403">
        <v>0</v>
      </c>
      <c r="AJ69" s="403">
        <v>0</v>
      </c>
      <c r="AK69" s="403">
        <v>0</v>
      </c>
      <c r="AL69" s="403">
        <v>0</v>
      </c>
      <c r="AM69" s="403">
        <v>0</v>
      </c>
      <c r="AN69" s="1228">
        <v>0</v>
      </c>
      <c r="AO69" s="1228">
        <v>0</v>
      </c>
      <c r="AP69" s="1228">
        <v>0</v>
      </c>
      <c r="AQ69" s="1228">
        <v>0</v>
      </c>
      <c r="AR69" s="1228">
        <v>0</v>
      </c>
      <c r="AS69" s="1228">
        <v>0</v>
      </c>
      <c r="AT69" s="1228">
        <v>0</v>
      </c>
      <c r="AU69" s="1228">
        <v>0</v>
      </c>
      <c r="AV69" s="1228">
        <v>0</v>
      </c>
      <c r="AW69" s="1228">
        <v>0</v>
      </c>
      <c r="AX69" s="951"/>
      <c r="AY69" s="951"/>
      <c r="AZ69" s="951"/>
      <c r="BA69" s="1098"/>
    </row>
    <row r="70" spans="1:53" ht="11.25">
      <c r="A70" s="982">
        <v>1</v>
      </c>
      <c r="B70" s="1098" t="s">
        <v>403</v>
      </c>
      <c r="C70" s="1098"/>
      <c r="D70" s="1098" t="s">
        <v>1660</v>
      </c>
      <c r="E70" s="1098"/>
      <c r="F70" s="1098"/>
      <c r="G70" s="1098"/>
      <c r="H70" s="1098"/>
      <c r="I70" s="1098"/>
      <c r="J70" s="1098"/>
      <c r="K70" s="1098"/>
      <c r="L70" s="1223" t="s">
        <v>585</v>
      </c>
      <c r="M70" s="1231" t="s">
        <v>586</v>
      </c>
      <c r="N70" s="1225" t="s">
        <v>351</v>
      </c>
      <c r="O70" s="403">
        <v>0</v>
      </c>
      <c r="P70" s="403">
        <v>0</v>
      </c>
      <c r="Q70" s="403">
        <v>0</v>
      </c>
      <c r="R70" s="1228">
        <v>0</v>
      </c>
      <c r="S70" s="403">
        <v>0</v>
      </c>
      <c r="T70" s="403">
        <v>0</v>
      </c>
      <c r="U70" s="403">
        <v>0</v>
      </c>
      <c r="V70" s="403">
        <v>0</v>
      </c>
      <c r="W70" s="403">
        <v>0</v>
      </c>
      <c r="X70" s="403">
        <v>0</v>
      </c>
      <c r="Y70" s="403">
        <v>0</v>
      </c>
      <c r="Z70" s="403">
        <v>0</v>
      </c>
      <c r="AA70" s="403">
        <v>0</v>
      </c>
      <c r="AB70" s="403">
        <v>0</v>
      </c>
      <c r="AC70" s="403">
        <v>0</v>
      </c>
      <c r="AD70" s="403">
        <v>0</v>
      </c>
      <c r="AE70" s="403">
        <v>0</v>
      </c>
      <c r="AF70" s="403">
        <v>0</v>
      </c>
      <c r="AG70" s="403">
        <v>0</v>
      </c>
      <c r="AH70" s="403">
        <v>0</v>
      </c>
      <c r="AI70" s="403">
        <v>0</v>
      </c>
      <c r="AJ70" s="403">
        <v>0</v>
      </c>
      <c r="AK70" s="403">
        <v>0</v>
      </c>
      <c r="AL70" s="403">
        <v>0</v>
      </c>
      <c r="AM70" s="403">
        <v>0</v>
      </c>
      <c r="AN70" s="1228">
        <v>0</v>
      </c>
      <c r="AO70" s="1228">
        <v>0</v>
      </c>
      <c r="AP70" s="1228">
        <v>0</v>
      </c>
      <c r="AQ70" s="1228">
        <v>0</v>
      </c>
      <c r="AR70" s="1228">
        <v>0</v>
      </c>
      <c r="AS70" s="1228">
        <v>0</v>
      </c>
      <c r="AT70" s="1228">
        <v>0</v>
      </c>
      <c r="AU70" s="1228">
        <v>0</v>
      </c>
      <c r="AV70" s="1228">
        <v>0</v>
      </c>
      <c r="AW70" s="1228">
        <v>0</v>
      </c>
      <c r="AX70" s="951"/>
      <c r="AY70" s="951"/>
      <c r="AZ70" s="951"/>
      <c r="BA70" s="1098"/>
    </row>
    <row r="71" spans="1:53" ht="11.25">
      <c r="A71" s="982">
        <v>1</v>
      </c>
      <c r="B71" s="1098" t="s">
        <v>401</v>
      </c>
      <c r="C71" s="1098"/>
      <c r="D71" s="1098" t="s">
        <v>1661</v>
      </c>
      <c r="E71" s="1098"/>
      <c r="F71" s="1098"/>
      <c r="G71" s="1098"/>
      <c r="H71" s="1098"/>
      <c r="I71" s="1098"/>
      <c r="J71" s="1098"/>
      <c r="K71" s="1098"/>
      <c r="L71" s="1223" t="s">
        <v>587</v>
      </c>
      <c r="M71" s="1231" t="s">
        <v>588</v>
      </c>
      <c r="N71" s="1225" t="s">
        <v>351</v>
      </c>
      <c r="O71" s="403">
        <v>0</v>
      </c>
      <c r="P71" s="403">
        <v>0</v>
      </c>
      <c r="Q71" s="403">
        <v>0</v>
      </c>
      <c r="R71" s="1228">
        <v>0</v>
      </c>
      <c r="S71" s="403">
        <v>0</v>
      </c>
      <c r="T71" s="403">
        <v>0</v>
      </c>
      <c r="U71" s="403">
        <v>0</v>
      </c>
      <c r="V71" s="403">
        <v>0</v>
      </c>
      <c r="W71" s="403">
        <v>0</v>
      </c>
      <c r="X71" s="403">
        <v>0</v>
      </c>
      <c r="Y71" s="403">
        <v>0</v>
      </c>
      <c r="Z71" s="403">
        <v>0</v>
      </c>
      <c r="AA71" s="403">
        <v>0</v>
      </c>
      <c r="AB71" s="403">
        <v>0</v>
      </c>
      <c r="AC71" s="403">
        <v>0</v>
      </c>
      <c r="AD71" s="403">
        <v>0</v>
      </c>
      <c r="AE71" s="403">
        <v>0</v>
      </c>
      <c r="AF71" s="403">
        <v>0</v>
      </c>
      <c r="AG71" s="403">
        <v>0</v>
      </c>
      <c r="AH71" s="403">
        <v>0</v>
      </c>
      <c r="AI71" s="403">
        <v>0</v>
      </c>
      <c r="AJ71" s="403">
        <v>0</v>
      </c>
      <c r="AK71" s="403">
        <v>0</v>
      </c>
      <c r="AL71" s="403">
        <v>0</v>
      </c>
      <c r="AM71" s="403">
        <v>0</v>
      </c>
      <c r="AN71" s="1228">
        <v>0</v>
      </c>
      <c r="AO71" s="1228">
        <v>0</v>
      </c>
      <c r="AP71" s="1228">
        <v>0</v>
      </c>
      <c r="AQ71" s="1228">
        <v>0</v>
      </c>
      <c r="AR71" s="1228">
        <v>0</v>
      </c>
      <c r="AS71" s="1228">
        <v>0</v>
      </c>
      <c r="AT71" s="1228">
        <v>0</v>
      </c>
      <c r="AU71" s="1228">
        <v>0</v>
      </c>
      <c r="AV71" s="1228">
        <v>0</v>
      </c>
      <c r="AW71" s="1228">
        <v>0</v>
      </c>
      <c r="AX71" s="951"/>
      <c r="AY71" s="951"/>
      <c r="AZ71" s="951"/>
      <c r="BA71" s="1098"/>
    </row>
    <row r="72" spans="1:53" ht="11.25">
      <c r="A72" s="982">
        <v>1</v>
      </c>
      <c r="B72" s="1098" t="s">
        <v>409</v>
      </c>
      <c r="C72" s="1098"/>
      <c r="D72" s="1098" t="s">
        <v>1662</v>
      </c>
      <c r="E72" s="1098"/>
      <c r="F72" s="1098"/>
      <c r="G72" s="1098"/>
      <c r="H72" s="1098"/>
      <c r="I72" s="1098"/>
      <c r="J72" s="1098"/>
      <c r="K72" s="1098"/>
      <c r="L72" s="1223" t="s">
        <v>589</v>
      </c>
      <c r="M72" s="1231" t="s">
        <v>590</v>
      </c>
      <c r="N72" s="1225" t="s">
        <v>351</v>
      </c>
      <c r="O72" s="403">
        <v>0</v>
      </c>
      <c r="P72" s="403">
        <v>0</v>
      </c>
      <c r="Q72" s="403">
        <v>0</v>
      </c>
      <c r="R72" s="1228">
        <v>0</v>
      </c>
      <c r="S72" s="403">
        <v>0</v>
      </c>
      <c r="T72" s="403">
        <v>0</v>
      </c>
      <c r="U72" s="403">
        <v>0</v>
      </c>
      <c r="V72" s="403">
        <v>0</v>
      </c>
      <c r="W72" s="403">
        <v>0</v>
      </c>
      <c r="X72" s="403">
        <v>0</v>
      </c>
      <c r="Y72" s="403">
        <v>0</v>
      </c>
      <c r="Z72" s="403">
        <v>0</v>
      </c>
      <c r="AA72" s="403">
        <v>0</v>
      </c>
      <c r="AB72" s="403">
        <v>0</v>
      </c>
      <c r="AC72" s="403">
        <v>0</v>
      </c>
      <c r="AD72" s="403">
        <v>0</v>
      </c>
      <c r="AE72" s="403">
        <v>0</v>
      </c>
      <c r="AF72" s="403">
        <v>0</v>
      </c>
      <c r="AG72" s="403">
        <v>0</v>
      </c>
      <c r="AH72" s="403">
        <v>0</v>
      </c>
      <c r="AI72" s="403">
        <v>0</v>
      </c>
      <c r="AJ72" s="403">
        <v>0</v>
      </c>
      <c r="AK72" s="403">
        <v>0</v>
      </c>
      <c r="AL72" s="403">
        <v>0</v>
      </c>
      <c r="AM72" s="403">
        <v>0</v>
      </c>
      <c r="AN72" s="1228">
        <v>0</v>
      </c>
      <c r="AO72" s="1228">
        <v>0</v>
      </c>
      <c r="AP72" s="1228">
        <v>0</v>
      </c>
      <c r="AQ72" s="1228">
        <v>0</v>
      </c>
      <c r="AR72" s="1228">
        <v>0</v>
      </c>
      <c r="AS72" s="1228">
        <v>0</v>
      </c>
      <c r="AT72" s="1228">
        <v>0</v>
      </c>
      <c r="AU72" s="1228">
        <v>0</v>
      </c>
      <c r="AV72" s="1228">
        <v>0</v>
      </c>
      <c r="AW72" s="1228">
        <v>0</v>
      </c>
      <c r="AX72" s="951"/>
      <c r="AY72" s="951"/>
      <c r="AZ72" s="951"/>
      <c r="BA72" s="1098"/>
    </row>
    <row r="73" spans="1:53" ht="11.25">
      <c r="A73" s="982">
        <v>1</v>
      </c>
      <c r="B73" s="1098"/>
      <c r="C73" s="1098"/>
      <c r="D73" s="1098" t="s">
        <v>1663</v>
      </c>
      <c r="E73" s="1098"/>
      <c r="F73" s="1098"/>
      <c r="G73" s="1098"/>
      <c r="H73" s="1098"/>
      <c r="I73" s="1098"/>
      <c r="J73" s="1098"/>
      <c r="K73" s="1098"/>
      <c r="L73" s="1223" t="s">
        <v>591</v>
      </c>
      <c r="M73" s="1231" t="s">
        <v>592</v>
      </c>
      <c r="N73" s="1225" t="s">
        <v>351</v>
      </c>
      <c r="O73" s="984"/>
      <c r="P73" s="984"/>
      <c r="Q73" s="984"/>
      <c r="R73" s="1228">
        <v>0</v>
      </c>
      <c r="S73" s="984"/>
      <c r="T73" s="984"/>
      <c r="U73" s="984"/>
      <c r="V73" s="984"/>
      <c r="W73" s="984"/>
      <c r="X73" s="984"/>
      <c r="Y73" s="984"/>
      <c r="Z73" s="984"/>
      <c r="AA73" s="984"/>
      <c r="AB73" s="984"/>
      <c r="AC73" s="984"/>
      <c r="AD73" s="984"/>
      <c r="AE73" s="984"/>
      <c r="AF73" s="984"/>
      <c r="AG73" s="984"/>
      <c r="AH73" s="984"/>
      <c r="AI73" s="984"/>
      <c r="AJ73" s="984"/>
      <c r="AK73" s="984"/>
      <c r="AL73" s="984"/>
      <c r="AM73" s="984"/>
      <c r="AN73" s="1228">
        <v>0</v>
      </c>
      <c r="AO73" s="1228">
        <v>0</v>
      </c>
      <c r="AP73" s="1228">
        <v>0</v>
      </c>
      <c r="AQ73" s="1228">
        <v>0</v>
      </c>
      <c r="AR73" s="1228">
        <v>0</v>
      </c>
      <c r="AS73" s="1228">
        <v>0</v>
      </c>
      <c r="AT73" s="1228">
        <v>0</v>
      </c>
      <c r="AU73" s="1228">
        <v>0</v>
      </c>
      <c r="AV73" s="1228">
        <v>0</v>
      </c>
      <c r="AW73" s="1228">
        <v>0</v>
      </c>
      <c r="AX73" s="951"/>
      <c r="AY73" s="951"/>
      <c r="AZ73" s="951"/>
      <c r="BA73" s="1098"/>
    </row>
    <row r="74" spans="1:53" ht="11.25">
      <c r="A74" s="982">
        <v>1</v>
      </c>
      <c r="B74" s="1098"/>
      <c r="C74" s="1098"/>
      <c r="D74" s="1098" t="s">
        <v>1664</v>
      </c>
      <c r="E74" s="1098"/>
      <c r="F74" s="1098"/>
      <c r="G74" s="1098"/>
      <c r="H74" s="1098"/>
      <c r="I74" s="1098"/>
      <c r="J74" s="1098"/>
      <c r="K74" s="1098"/>
      <c r="L74" s="1223" t="s">
        <v>593</v>
      </c>
      <c r="M74" s="1231" t="s">
        <v>594</v>
      </c>
      <c r="N74" s="1225" t="s">
        <v>351</v>
      </c>
      <c r="O74" s="984"/>
      <c r="P74" s="984"/>
      <c r="Q74" s="984"/>
      <c r="R74" s="1228">
        <v>0</v>
      </c>
      <c r="S74" s="984"/>
      <c r="T74" s="984"/>
      <c r="U74" s="984"/>
      <c r="V74" s="984"/>
      <c r="W74" s="984"/>
      <c r="X74" s="984"/>
      <c r="Y74" s="984"/>
      <c r="Z74" s="984"/>
      <c r="AA74" s="984"/>
      <c r="AB74" s="984"/>
      <c r="AC74" s="984"/>
      <c r="AD74" s="984"/>
      <c r="AE74" s="984"/>
      <c r="AF74" s="984"/>
      <c r="AG74" s="984"/>
      <c r="AH74" s="984"/>
      <c r="AI74" s="984"/>
      <c r="AJ74" s="984"/>
      <c r="AK74" s="984"/>
      <c r="AL74" s="984"/>
      <c r="AM74" s="984"/>
      <c r="AN74" s="1228">
        <v>0</v>
      </c>
      <c r="AO74" s="1228">
        <v>0</v>
      </c>
      <c r="AP74" s="1228">
        <v>0</v>
      </c>
      <c r="AQ74" s="1228">
        <v>0</v>
      </c>
      <c r="AR74" s="1228">
        <v>0</v>
      </c>
      <c r="AS74" s="1228">
        <v>0</v>
      </c>
      <c r="AT74" s="1228">
        <v>0</v>
      </c>
      <c r="AU74" s="1228">
        <v>0</v>
      </c>
      <c r="AV74" s="1228">
        <v>0</v>
      </c>
      <c r="AW74" s="1228">
        <v>0</v>
      </c>
      <c r="AX74" s="951"/>
      <c r="AY74" s="951"/>
      <c r="AZ74" s="951"/>
      <c r="BA74" s="1098"/>
    </row>
    <row r="75" spans="1:53" ht="11.25">
      <c r="A75" s="982">
        <v>1</v>
      </c>
      <c r="B75" s="1098" t="s">
        <v>405</v>
      </c>
      <c r="C75" s="1098"/>
      <c r="D75" s="1098" t="s">
        <v>1665</v>
      </c>
      <c r="E75" s="1098"/>
      <c r="F75" s="1098"/>
      <c r="G75" s="1098"/>
      <c r="H75" s="1098"/>
      <c r="I75" s="1098"/>
      <c r="J75" s="1098"/>
      <c r="K75" s="1098"/>
      <c r="L75" s="1223" t="s">
        <v>595</v>
      </c>
      <c r="M75" s="1231" t="s">
        <v>596</v>
      </c>
      <c r="N75" s="1225" t="s">
        <v>351</v>
      </c>
      <c r="O75" s="403">
        <v>0</v>
      </c>
      <c r="P75" s="403">
        <v>0</v>
      </c>
      <c r="Q75" s="403">
        <v>0</v>
      </c>
      <c r="R75" s="1228">
        <v>0</v>
      </c>
      <c r="S75" s="403">
        <v>0</v>
      </c>
      <c r="T75" s="403">
        <v>0</v>
      </c>
      <c r="U75" s="403">
        <v>0</v>
      </c>
      <c r="V75" s="403">
        <v>0</v>
      </c>
      <c r="W75" s="403">
        <v>0</v>
      </c>
      <c r="X75" s="403">
        <v>0</v>
      </c>
      <c r="Y75" s="403">
        <v>0</v>
      </c>
      <c r="Z75" s="403">
        <v>0</v>
      </c>
      <c r="AA75" s="403">
        <v>0</v>
      </c>
      <c r="AB75" s="403">
        <v>0</v>
      </c>
      <c r="AC75" s="403">
        <v>0</v>
      </c>
      <c r="AD75" s="403">
        <v>0</v>
      </c>
      <c r="AE75" s="403">
        <v>0</v>
      </c>
      <c r="AF75" s="403">
        <v>0</v>
      </c>
      <c r="AG75" s="403">
        <v>0</v>
      </c>
      <c r="AH75" s="403">
        <v>0</v>
      </c>
      <c r="AI75" s="403">
        <v>0</v>
      </c>
      <c r="AJ75" s="403">
        <v>0</v>
      </c>
      <c r="AK75" s="403">
        <v>0</v>
      </c>
      <c r="AL75" s="403">
        <v>0</v>
      </c>
      <c r="AM75" s="403">
        <v>0</v>
      </c>
      <c r="AN75" s="1228">
        <v>0</v>
      </c>
      <c r="AO75" s="1228">
        <v>0</v>
      </c>
      <c r="AP75" s="1228">
        <v>0</v>
      </c>
      <c r="AQ75" s="1228">
        <v>0</v>
      </c>
      <c r="AR75" s="1228">
        <v>0</v>
      </c>
      <c r="AS75" s="1228">
        <v>0</v>
      </c>
      <c r="AT75" s="1228">
        <v>0</v>
      </c>
      <c r="AU75" s="1228">
        <v>0</v>
      </c>
      <c r="AV75" s="1228">
        <v>0</v>
      </c>
      <c r="AW75" s="1228">
        <v>0</v>
      </c>
      <c r="AX75" s="951"/>
      <c r="AY75" s="951"/>
      <c r="AZ75" s="951"/>
      <c r="BA75" s="1098"/>
    </row>
    <row r="76" spans="1:53" ht="11.25">
      <c r="A76" s="982">
        <v>1</v>
      </c>
      <c r="B76" s="1098" t="s">
        <v>406</v>
      </c>
      <c r="C76" s="1098"/>
      <c r="D76" s="1098" t="s">
        <v>1666</v>
      </c>
      <c r="E76" s="1098"/>
      <c r="F76" s="1098"/>
      <c r="G76" s="1098"/>
      <c r="H76" s="1098"/>
      <c r="I76" s="1098"/>
      <c r="J76" s="1098"/>
      <c r="K76" s="1098"/>
      <c r="L76" s="1223" t="s">
        <v>597</v>
      </c>
      <c r="M76" s="1231" t="s">
        <v>598</v>
      </c>
      <c r="N76" s="1225" t="s">
        <v>351</v>
      </c>
      <c r="O76" s="403">
        <v>0</v>
      </c>
      <c r="P76" s="403">
        <v>0</v>
      </c>
      <c r="Q76" s="403">
        <v>0</v>
      </c>
      <c r="R76" s="1228">
        <v>0</v>
      </c>
      <c r="S76" s="403">
        <v>0</v>
      </c>
      <c r="T76" s="403">
        <v>0</v>
      </c>
      <c r="U76" s="403">
        <v>0</v>
      </c>
      <c r="V76" s="403">
        <v>0</v>
      </c>
      <c r="W76" s="403">
        <v>0</v>
      </c>
      <c r="X76" s="403">
        <v>0</v>
      </c>
      <c r="Y76" s="403">
        <v>0</v>
      </c>
      <c r="Z76" s="403">
        <v>0</v>
      </c>
      <c r="AA76" s="403">
        <v>0</v>
      </c>
      <c r="AB76" s="403">
        <v>0</v>
      </c>
      <c r="AC76" s="403">
        <v>0</v>
      </c>
      <c r="AD76" s="403">
        <v>0</v>
      </c>
      <c r="AE76" s="403">
        <v>0</v>
      </c>
      <c r="AF76" s="403">
        <v>0</v>
      </c>
      <c r="AG76" s="403">
        <v>0</v>
      </c>
      <c r="AH76" s="403">
        <v>0</v>
      </c>
      <c r="AI76" s="403">
        <v>0</v>
      </c>
      <c r="AJ76" s="403">
        <v>0</v>
      </c>
      <c r="AK76" s="403">
        <v>0</v>
      </c>
      <c r="AL76" s="403">
        <v>0</v>
      </c>
      <c r="AM76" s="403">
        <v>0</v>
      </c>
      <c r="AN76" s="1228">
        <v>0</v>
      </c>
      <c r="AO76" s="1228">
        <v>0</v>
      </c>
      <c r="AP76" s="1228">
        <v>0</v>
      </c>
      <c r="AQ76" s="1228">
        <v>0</v>
      </c>
      <c r="AR76" s="1228">
        <v>0</v>
      </c>
      <c r="AS76" s="1228">
        <v>0</v>
      </c>
      <c r="AT76" s="1228">
        <v>0</v>
      </c>
      <c r="AU76" s="1228">
        <v>0</v>
      </c>
      <c r="AV76" s="1228">
        <v>0</v>
      </c>
      <c r="AW76" s="1228">
        <v>0</v>
      </c>
      <c r="AX76" s="951"/>
      <c r="AY76" s="951"/>
      <c r="AZ76" s="951"/>
      <c r="BA76" s="1098"/>
    </row>
    <row r="77" spans="1:53" ht="11.25">
      <c r="A77" s="982">
        <v>1</v>
      </c>
      <c r="B77" s="1098" t="s">
        <v>1276</v>
      </c>
      <c r="C77" s="1098"/>
      <c r="D77" s="1098" t="s">
        <v>1667</v>
      </c>
      <c r="E77" s="1098"/>
      <c r="F77" s="1098"/>
      <c r="G77" s="1098"/>
      <c r="H77" s="1098"/>
      <c r="I77" s="1098"/>
      <c r="J77" s="1098"/>
      <c r="K77" s="1098"/>
      <c r="L77" s="1223" t="s">
        <v>1364</v>
      </c>
      <c r="M77" s="1231" t="s">
        <v>1365</v>
      </c>
      <c r="N77" s="1225" t="s">
        <v>351</v>
      </c>
      <c r="O77" s="403">
        <v>0</v>
      </c>
      <c r="P77" s="403">
        <v>0</v>
      </c>
      <c r="Q77" s="403">
        <v>0</v>
      </c>
      <c r="R77" s="1228">
        <v>0</v>
      </c>
      <c r="S77" s="403">
        <v>0</v>
      </c>
      <c r="T77" s="403">
        <v>0</v>
      </c>
      <c r="U77" s="403">
        <v>0</v>
      </c>
      <c r="V77" s="403">
        <v>0</v>
      </c>
      <c r="W77" s="403">
        <v>0</v>
      </c>
      <c r="X77" s="403">
        <v>0</v>
      </c>
      <c r="Y77" s="403">
        <v>0</v>
      </c>
      <c r="Z77" s="403">
        <v>0</v>
      </c>
      <c r="AA77" s="403">
        <v>0</v>
      </c>
      <c r="AB77" s="403">
        <v>0</v>
      </c>
      <c r="AC77" s="403">
        <v>0</v>
      </c>
      <c r="AD77" s="403">
        <v>0</v>
      </c>
      <c r="AE77" s="403">
        <v>0</v>
      </c>
      <c r="AF77" s="403">
        <v>0</v>
      </c>
      <c r="AG77" s="403">
        <v>0</v>
      </c>
      <c r="AH77" s="403">
        <v>0</v>
      </c>
      <c r="AI77" s="403">
        <v>0</v>
      </c>
      <c r="AJ77" s="403">
        <v>0</v>
      </c>
      <c r="AK77" s="403">
        <v>0</v>
      </c>
      <c r="AL77" s="403">
        <v>0</v>
      </c>
      <c r="AM77" s="403">
        <v>0</v>
      </c>
      <c r="AN77" s="1228">
        <v>0</v>
      </c>
      <c r="AO77" s="1228">
        <v>0</v>
      </c>
      <c r="AP77" s="1228">
        <v>0</v>
      </c>
      <c r="AQ77" s="1228">
        <v>0</v>
      </c>
      <c r="AR77" s="1228">
        <v>0</v>
      </c>
      <c r="AS77" s="1228">
        <v>0</v>
      </c>
      <c r="AT77" s="1228">
        <v>0</v>
      </c>
      <c r="AU77" s="1228">
        <v>0</v>
      </c>
      <c r="AV77" s="1228">
        <v>0</v>
      </c>
      <c r="AW77" s="1228">
        <v>0</v>
      </c>
      <c r="AX77" s="951"/>
      <c r="AY77" s="951"/>
      <c r="AZ77" s="951"/>
      <c r="BA77" s="1098"/>
    </row>
    <row r="78" spans="1:53" ht="11.25">
      <c r="A78" s="982">
        <v>1</v>
      </c>
      <c r="B78" s="1098"/>
      <c r="C78" s="1098"/>
      <c r="D78" s="1098" t="s">
        <v>1493</v>
      </c>
      <c r="E78" s="1098"/>
      <c r="F78" s="1098"/>
      <c r="G78" s="1098"/>
      <c r="H78" s="1098"/>
      <c r="I78" s="1098"/>
      <c r="J78" s="1098"/>
      <c r="K78" s="1098"/>
      <c r="L78" s="1223" t="s">
        <v>138</v>
      </c>
      <c r="M78" s="1224" t="s">
        <v>599</v>
      </c>
      <c r="N78" s="1143" t="s">
        <v>351</v>
      </c>
      <c r="O78" s="403">
        <v>0</v>
      </c>
      <c r="P78" s="403">
        <v>0</v>
      </c>
      <c r="Q78" s="403">
        <v>0</v>
      </c>
      <c r="R78" s="1228">
        <v>0</v>
      </c>
      <c r="S78" s="403">
        <v>0</v>
      </c>
      <c r="T78" s="403">
        <v>0</v>
      </c>
      <c r="U78" s="403">
        <v>0</v>
      </c>
      <c r="V78" s="403">
        <v>0</v>
      </c>
      <c r="W78" s="403">
        <v>0</v>
      </c>
      <c r="X78" s="403">
        <v>0</v>
      </c>
      <c r="Y78" s="403">
        <v>0</v>
      </c>
      <c r="Z78" s="403">
        <v>0</v>
      </c>
      <c r="AA78" s="403">
        <v>0</v>
      </c>
      <c r="AB78" s="403">
        <v>0</v>
      </c>
      <c r="AC78" s="403">
        <v>0</v>
      </c>
      <c r="AD78" s="403">
        <v>0</v>
      </c>
      <c r="AE78" s="403">
        <v>0</v>
      </c>
      <c r="AF78" s="403">
        <v>0</v>
      </c>
      <c r="AG78" s="403">
        <v>0</v>
      </c>
      <c r="AH78" s="403">
        <v>0</v>
      </c>
      <c r="AI78" s="403">
        <v>0</v>
      </c>
      <c r="AJ78" s="403">
        <v>0</v>
      </c>
      <c r="AK78" s="403">
        <v>0</v>
      </c>
      <c r="AL78" s="403">
        <v>0</v>
      </c>
      <c r="AM78" s="403">
        <v>0</v>
      </c>
      <c r="AN78" s="1228">
        <v>0</v>
      </c>
      <c r="AO78" s="1228">
        <v>0</v>
      </c>
      <c r="AP78" s="1228">
        <v>0</v>
      </c>
      <c r="AQ78" s="1228">
        <v>0</v>
      </c>
      <c r="AR78" s="1228">
        <v>0</v>
      </c>
      <c r="AS78" s="1228">
        <v>0</v>
      </c>
      <c r="AT78" s="1228">
        <v>0</v>
      </c>
      <c r="AU78" s="1228">
        <v>0</v>
      </c>
      <c r="AV78" s="1228">
        <v>0</v>
      </c>
      <c r="AW78" s="1228">
        <v>0</v>
      </c>
      <c r="AX78" s="951"/>
      <c r="AY78" s="951"/>
      <c r="AZ78" s="951"/>
      <c r="BA78" s="1098"/>
    </row>
    <row r="79" spans="1:53" s="109" customFormat="1" ht="11.25">
      <c r="A79" s="982">
        <v>1</v>
      </c>
      <c r="B79" s="1238"/>
      <c r="C79" s="1098"/>
      <c r="D79" s="1098" t="s">
        <v>1552</v>
      </c>
      <c r="E79" s="1238"/>
      <c r="F79" s="1238"/>
      <c r="G79" s="1238"/>
      <c r="H79" s="1238"/>
      <c r="I79" s="1238"/>
      <c r="J79" s="1238"/>
      <c r="K79" s="1238"/>
      <c r="L79" s="1239" t="s">
        <v>151</v>
      </c>
      <c r="M79" s="1240" t="s">
        <v>600</v>
      </c>
      <c r="N79" s="1241" t="s">
        <v>351</v>
      </c>
      <c r="O79" s="1219">
        <v>6</v>
      </c>
      <c r="P79" s="1219">
        <v>15.27</v>
      </c>
      <c r="Q79" s="1219">
        <v>8.734</v>
      </c>
      <c r="R79" s="1219">
        <v>-6.5359999999999996</v>
      </c>
      <c r="S79" s="1219">
        <v>15.27</v>
      </c>
      <c r="T79" s="1219">
        <v>9.8000000000000007</v>
      </c>
      <c r="U79" s="1219">
        <v>10</v>
      </c>
      <c r="V79" s="1219">
        <v>10.5</v>
      </c>
      <c r="W79" s="1219">
        <v>11</v>
      </c>
      <c r="X79" s="1219">
        <v>11.5</v>
      </c>
      <c r="Y79" s="1219">
        <v>0</v>
      </c>
      <c r="Z79" s="1219">
        <v>0</v>
      </c>
      <c r="AA79" s="1219">
        <v>0</v>
      </c>
      <c r="AB79" s="1219">
        <v>0</v>
      </c>
      <c r="AC79" s="1219">
        <v>0</v>
      </c>
      <c r="AD79" s="1219">
        <v>9.8000000000000007</v>
      </c>
      <c r="AE79" s="1219">
        <v>9.8000000000000007</v>
      </c>
      <c r="AF79" s="1219">
        <v>9.8000000000000007</v>
      </c>
      <c r="AG79" s="1219">
        <v>9.8000000000000007</v>
      </c>
      <c r="AH79" s="1219">
        <v>9.8000000000000007</v>
      </c>
      <c r="AI79" s="1219">
        <v>0</v>
      </c>
      <c r="AJ79" s="1219">
        <v>0</v>
      </c>
      <c r="AK79" s="1219">
        <v>0</v>
      </c>
      <c r="AL79" s="1219">
        <v>0</v>
      </c>
      <c r="AM79" s="1219">
        <v>0</v>
      </c>
      <c r="AN79" s="1219">
        <v>-35.8218729535036</v>
      </c>
      <c r="AO79" s="1219">
        <v>0</v>
      </c>
      <c r="AP79" s="1219">
        <v>0</v>
      </c>
      <c r="AQ79" s="1219">
        <v>0</v>
      </c>
      <c r="AR79" s="1219">
        <v>0</v>
      </c>
      <c r="AS79" s="1219">
        <v>-100</v>
      </c>
      <c r="AT79" s="1219">
        <v>0</v>
      </c>
      <c r="AU79" s="1219">
        <v>0</v>
      </c>
      <c r="AV79" s="1219">
        <v>0</v>
      </c>
      <c r="AW79" s="1219">
        <v>0</v>
      </c>
      <c r="AX79" s="1230"/>
      <c r="AY79" s="1230"/>
      <c r="AZ79" s="1230"/>
      <c r="BA79" s="1238"/>
    </row>
    <row r="80" spans="1:53" ht="11.25">
      <c r="A80" s="982">
        <v>1</v>
      </c>
      <c r="B80" s="1098" t="s">
        <v>132</v>
      </c>
      <c r="C80" s="1098"/>
      <c r="D80" s="1098" t="s">
        <v>1668</v>
      </c>
      <c r="E80" s="1098"/>
      <c r="F80" s="1098"/>
      <c r="G80" s="1098"/>
      <c r="H80" s="1098"/>
      <c r="I80" s="1098"/>
      <c r="J80" s="1098"/>
      <c r="K80" s="1098"/>
      <c r="L80" s="1223" t="s">
        <v>152</v>
      </c>
      <c r="M80" s="1231" t="s">
        <v>601</v>
      </c>
      <c r="N80" s="1225" t="s">
        <v>351</v>
      </c>
      <c r="O80" s="403">
        <v>0</v>
      </c>
      <c r="P80" s="403">
        <v>0</v>
      </c>
      <c r="Q80" s="403">
        <v>0</v>
      </c>
      <c r="R80" s="1228">
        <v>0</v>
      </c>
      <c r="S80" s="403">
        <v>0</v>
      </c>
      <c r="T80" s="403">
        <v>0</v>
      </c>
      <c r="U80" s="403">
        <v>0</v>
      </c>
      <c r="V80" s="403">
        <v>0</v>
      </c>
      <c r="W80" s="403">
        <v>0</v>
      </c>
      <c r="X80" s="403">
        <v>0</v>
      </c>
      <c r="Y80" s="403">
        <v>0</v>
      </c>
      <c r="Z80" s="403">
        <v>0</v>
      </c>
      <c r="AA80" s="403">
        <v>0</v>
      </c>
      <c r="AB80" s="403">
        <v>0</v>
      </c>
      <c r="AC80" s="403">
        <v>0</v>
      </c>
      <c r="AD80" s="403">
        <v>0</v>
      </c>
      <c r="AE80" s="403">
        <v>0</v>
      </c>
      <c r="AF80" s="403">
        <v>0</v>
      </c>
      <c r="AG80" s="403">
        <v>0</v>
      </c>
      <c r="AH80" s="403">
        <v>0</v>
      </c>
      <c r="AI80" s="403">
        <v>0</v>
      </c>
      <c r="AJ80" s="403">
        <v>0</v>
      </c>
      <c r="AK80" s="403">
        <v>0</v>
      </c>
      <c r="AL80" s="403">
        <v>0</v>
      </c>
      <c r="AM80" s="403">
        <v>0</v>
      </c>
      <c r="AN80" s="1228">
        <v>0</v>
      </c>
      <c r="AO80" s="1228">
        <v>0</v>
      </c>
      <c r="AP80" s="1228">
        <v>0</v>
      </c>
      <c r="AQ80" s="1228">
        <v>0</v>
      </c>
      <c r="AR80" s="1228">
        <v>0</v>
      </c>
      <c r="AS80" s="1228">
        <v>0</v>
      </c>
      <c r="AT80" s="1228">
        <v>0</v>
      </c>
      <c r="AU80" s="1228">
        <v>0</v>
      </c>
      <c r="AV80" s="1228">
        <v>0</v>
      </c>
      <c r="AW80" s="1228">
        <v>0</v>
      </c>
      <c r="AX80" s="951"/>
      <c r="AY80" s="951"/>
      <c r="AZ80" s="951"/>
      <c r="BA80" s="1098"/>
    </row>
    <row r="81" spans="1:53" ht="11.25">
      <c r="A81" s="982">
        <v>1</v>
      </c>
      <c r="B81" s="1098" t="s">
        <v>133</v>
      </c>
      <c r="C81" s="1098"/>
      <c r="D81" s="1098" t="s">
        <v>1669</v>
      </c>
      <c r="E81" s="1098"/>
      <c r="F81" s="1098"/>
      <c r="G81" s="1098"/>
      <c r="H81" s="1098"/>
      <c r="I81" s="1098"/>
      <c r="J81" s="1098"/>
      <c r="K81" s="1098"/>
      <c r="L81" s="1223" t="s">
        <v>602</v>
      </c>
      <c r="M81" s="1231" t="s">
        <v>603</v>
      </c>
      <c r="N81" s="1225" t="s">
        <v>351</v>
      </c>
      <c r="O81" s="403">
        <v>0</v>
      </c>
      <c r="P81" s="403">
        <v>0</v>
      </c>
      <c r="Q81" s="403">
        <v>0</v>
      </c>
      <c r="R81" s="1228">
        <v>0</v>
      </c>
      <c r="S81" s="403">
        <v>0</v>
      </c>
      <c r="T81" s="403">
        <v>0</v>
      </c>
      <c r="U81" s="403">
        <v>0</v>
      </c>
      <c r="V81" s="403">
        <v>0</v>
      </c>
      <c r="W81" s="403">
        <v>0</v>
      </c>
      <c r="X81" s="403">
        <v>0</v>
      </c>
      <c r="Y81" s="403">
        <v>0</v>
      </c>
      <c r="Z81" s="403">
        <v>0</v>
      </c>
      <c r="AA81" s="403">
        <v>0</v>
      </c>
      <c r="AB81" s="403">
        <v>0</v>
      </c>
      <c r="AC81" s="403">
        <v>0</v>
      </c>
      <c r="AD81" s="403">
        <v>0</v>
      </c>
      <c r="AE81" s="403">
        <v>0</v>
      </c>
      <c r="AF81" s="403">
        <v>0</v>
      </c>
      <c r="AG81" s="403">
        <v>0</v>
      </c>
      <c r="AH81" s="403">
        <v>0</v>
      </c>
      <c r="AI81" s="403">
        <v>0</v>
      </c>
      <c r="AJ81" s="403">
        <v>0</v>
      </c>
      <c r="AK81" s="403">
        <v>0</v>
      </c>
      <c r="AL81" s="403">
        <v>0</v>
      </c>
      <c r="AM81" s="403">
        <v>0</v>
      </c>
      <c r="AN81" s="1228">
        <v>0</v>
      </c>
      <c r="AO81" s="1228">
        <v>0</v>
      </c>
      <c r="AP81" s="1228">
        <v>0</v>
      </c>
      <c r="AQ81" s="1228">
        <v>0</v>
      </c>
      <c r="AR81" s="1228">
        <v>0</v>
      </c>
      <c r="AS81" s="1228">
        <v>0</v>
      </c>
      <c r="AT81" s="1228">
        <v>0</v>
      </c>
      <c r="AU81" s="1228">
        <v>0</v>
      </c>
      <c r="AV81" s="1228">
        <v>0</v>
      </c>
      <c r="AW81" s="1228">
        <v>0</v>
      </c>
      <c r="AX81" s="951"/>
      <c r="AY81" s="951"/>
      <c r="AZ81" s="951"/>
      <c r="BA81" s="1098"/>
    </row>
    <row r="82" spans="1:53" ht="11.25">
      <c r="A82" s="982">
        <v>1</v>
      </c>
      <c r="B82" s="1098" t="s">
        <v>412</v>
      </c>
      <c r="C82" s="1098"/>
      <c r="D82" s="1098" t="s">
        <v>1670</v>
      </c>
      <c r="E82" s="1098"/>
      <c r="F82" s="1098"/>
      <c r="G82" s="1098"/>
      <c r="H82" s="1098"/>
      <c r="I82" s="1098"/>
      <c r="J82" s="1098"/>
      <c r="K82" s="1098"/>
      <c r="L82" s="1223" t="s">
        <v>604</v>
      </c>
      <c r="M82" s="1231" t="s">
        <v>605</v>
      </c>
      <c r="N82" s="1225" t="s">
        <v>351</v>
      </c>
      <c r="O82" s="403">
        <v>0</v>
      </c>
      <c r="P82" s="403">
        <v>0</v>
      </c>
      <c r="Q82" s="403">
        <v>0</v>
      </c>
      <c r="R82" s="1228">
        <v>0</v>
      </c>
      <c r="S82" s="403">
        <v>0</v>
      </c>
      <c r="T82" s="403">
        <v>0</v>
      </c>
      <c r="U82" s="403">
        <v>0</v>
      </c>
      <c r="V82" s="403">
        <v>0</v>
      </c>
      <c r="W82" s="403">
        <v>0</v>
      </c>
      <c r="X82" s="403">
        <v>0</v>
      </c>
      <c r="Y82" s="403">
        <v>0</v>
      </c>
      <c r="Z82" s="403">
        <v>0</v>
      </c>
      <c r="AA82" s="403">
        <v>0</v>
      </c>
      <c r="AB82" s="403">
        <v>0</v>
      </c>
      <c r="AC82" s="403">
        <v>0</v>
      </c>
      <c r="AD82" s="403">
        <v>0</v>
      </c>
      <c r="AE82" s="403">
        <v>0</v>
      </c>
      <c r="AF82" s="403">
        <v>0</v>
      </c>
      <c r="AG82" s="403">
        <v>0</v>
      </c>
      <c r="AH82" s="403">
        <v>0</v>
      </c>
      <c r="AI82" s="403">
        <v>0</v>
      </c>
      <c r="AJ82" s="403">
        <v>0</v>
      </c>
      <c r="AK82" s="403">
        <v>0</v>
      </c>
      <c r="AL82" s="403">
        <v>0</v>
      </c>
      <c r="AM82" s="403">
        <v>0</v>
      </c>
      <c r="AN82" s="1228">
        <v>0</v>
      </c>
      <c r="AO82" s="1228">
        <v>0</v>
      </c>
      <c r="AP82" s="1228">
        <v>0</v>
      </c>
      <c r="AQ82" s="1228">
        <v>0</v>
      </c>
      <c r="AR82" s="1228">
        <v>0</v>
      </c>
      <c r="AS82" s="1228">
        <v>0</v>
      </c>
      <c r="AT82" s="1228">
        <v>0</v>
      </c>
      <c r="AU82" s="1228">
        <v>0</v>
      </c>
      <c r="AV82" s="1228">
        <v>0</v>
      </c>
      <c r="AW82" s="1228">
        <v>0</v>
      </c>
      <c r="AX82" s="951"/>
      <c r="AY82" s="951"/>
      <c r="AZ82" s="951"/>
      <c r="BA82" s="1098"/>
    </row>
    <row r="83" spans="1:53" ht="11.25">
      <c r="A83" s="982">
        <v>1</v>
      </c>
      <c r="B83" s="1098" t="s">
        <v>413</v>
      </c>
      <c r="C83" s="1098"/>
      <c r="D83" s="1098" t="s">
        <v>1671</v>
      </c>
      <c r="E83" s="1098"/>
      <c r="F83" s="1098"/>
      <c r="G83" s="1098"/>
      <c r="H83" s="1098"/>
      <c r="I83" s="1098"/>
      <c r="J83" s="1098"/>
      <c r="K83" s="1098"/>
      <c r="L83" s="1223" t="s">
        <v>606</v>
      </c>
      <c r="M83" s="1231" t="s">
        <v>607</v>
      </c>
      <c r="N83" s="1225" t="s">
        <v>351</v>
      </c>
      <c r="O83" s="403">
        <v>6</v>
      </c>
      <c r="P83" s="403">
        <v>15.27</v>
      </c>
      <c r="Q83" s="403">
        <v>8.734</v>
      </c>
      <c r="R83" s="1228">
        <v>-6.5359999999999996</v>
      </c>
      <c r="S83" s="403">
        <v>15.27</v>
      </c>
      <c r="T83" s="403">
        <v>9.8000000000000007</v>
      </c>
      <c r="U83" s="403">
        <v>10</v>
      </c>
      <c r="V83" s="403">
        <v>10.5</v>
      </c>
      <c r="W83" s="403">
        <v>11</v>
      </c>
      <c r="X83" s="403">
        <v>11.5</v>
      </c>
      <c r="Y83" s="403">
        <v>0</v>
      </c>
      <c r="Z83" s="403">
        <v>0</v>
      </c>
      <c r="AA83" s="403">
        <v>0</v>
      </c>
      <c r="AB83" s="403">
        <v>0</v>
      </c>
      <c r="AC83" s="403">
        <v>0</v>
      </c>
      <c r="AD83" s="403">
        <v>9.8000000000000007</v>
      </c>
      <c r="AE83" s="403">
        <v>9.8000000000000007</v>
      </c>
      <c r="AF83" s="403">
        <v>9.8000000000000007</v>
      </c>
      <c r="AG83" s="403">
        <v>9.8000000000000007</v>
      </c>
      <c r="AH83" s="403">
        <v>9.8000000000000007</v>
      </c>
      <c r="AI83" s="403">
        <v>0</v>
      </c>
      <c r="AJ83" s="403">
        <v>0</v>
      </c>
      <c r="AK83" s="403">
        <v>0</v>
      </c>
      <c r="AL83" s="403">
        <v>0</v>
      </c>
      <c r="AM83" s="403">
        <v>0</v>
      </c>
      <c r="AN83" s="1228">
        <v>-35.8218729535036</v>
      </c>
      <c r="AO83" s="1228">
        <v>0</v>
      </c>
      <c r="AP83" s="1228">
        <v>0</v>
      </c>
      <c r="AQ83" s="1228">
        <v>0</v>
      </c>
      <c r="AR83" s="1228">
        <v>0</v>
      </c>
      <c r="AS83" s="1228">
        <v>-100</v>
      </c>
      <c r="AT83" s="1228">
        <v>0</v>
      </c>
      <c r="AU83" s="1228">
        <v>0</v>
      </c>
      <c r="AV83" s="1228">
        <v>0</v>
      </c>
      <c r="AW83" s="1228">
        <v>0</v>
      </c>
      <c r="AX83" s="951"/>
      <c r="AY83" s="951"/>
      <c r="AZ83" s="951"/>
      <c r="BA83" s="1098"/>
    </row>
    <row r="84" spans="1:53" ht="11.25">
      <c r="A84" s="982">
        <v>1</v>
      </c>
      <c r="B84" s="1098" t="s">
        <v>414</v>
      </c>
      <c r="C84" s="1098"/>
      <c r="D84" s="1098" t="s">
        <v>1672</v>
      </c>
      <c r="E84" s="1098"/>
      <c r="F84" s="1098"/>
      <c r="G84" s="1098"/>
      <c r="H84" s="1098"/>
      <c r="I84" s="1098"/>
      <c r="J84" s="1098"/>
      <c r="K84" s="1098"/>
      <c r="L84" s="1223" t="s">
        <v>608</v>
      </c>
      <c r="M84" s="1231" t="s">
        <v>609</v>
      </c>
      <c r="N84" s="1225" t="s">
        <v>351</v>
      </c>
      <c r="O84" s="403">
        <v>0</v>
      </c>
      <c r="P84" s="403">
        <v>0</v>
      </c>
      <c r="Q84" s="403">
        <v>0</v>
      </c>
      <c r="R84" s="1228">
        <v>0</v>
      </c>
      <c r="S84" s="403">
        <v>0</v>
      </c>
      <c r="T84" s="403">
        <v>0</v>
      </c>
      <c r="U84" s="403">
        <v>0</v>
      </c>
      <c r="V84" s="403">
        <v>0</v>
      </c>
      <c r="W84" s="403">
        <v>0</v>
      </c>
      <c r="X84" s="403">
        <v>0</v>
      </c>
      <c r="Y84" s="403">
        <v>0</v>
      </c>
      <c r="Z84" s="403">
        <v>0</v>
      </c>
      <c r="AA84" s="403">
        <v>0</v>
      </c>
      <c r="AB84" s="403">
        <v>0</v>
      </c>
      <c r="AC84" s="403">
        <v>0</v>
      </c>
      <c r="AD84" s="403">
        <v>0</v>
      </c>
      <c r="AE84" s="403">
        <v>0</v>
      </c>
      <c r="AF84" s="403">
        <v>0</v>
      </c>
      <c r="AG84" s="403">
        <v>0</v>
      </c>
      <c r="AH84" s="403">
        <v>0</v>
      </c>
      <c r="AI84" s="403">
        <v>0</v>
      </c>
      <c r="AJ84" s="403">
        <v>0</v>
      </c>
      <c r="AK84" s="403">
        <v>0</v>
      </c>
      <c r="AL84" s="403">
        <v>0</v>
      </c>
      <c r="AM84" s="403">
        <v>0</v>
      </c>
      <c r="AN84" s="1228">
        <v>0</v>
      </c>
      <c r="AO84" s="1228">
        <v>0</v>
      </c>
      <c r="AP84" s="1228">
        <v>0</v>
      </c>
      <c r="AQ84" s="1228">
        <v>0</v>
      </c>
      <c r="AR84" s="1228">
        <v>0</v>
      </c>
      <c r="AS84" s="1228">
        <v>0</v>
      </c>
      <c r="AT84" s="1228">
        <v>0</v>
      </c>
      <c r="AU84" s="1228">
        <v>0</v>
      </c>
      <c r="AV84" s="1228">
        <v>0</v>
      </c>
      <c r="AW84" s="1228">
        <v>0</v>
      </c>
      <c r="AX84" s="951"/>
      <c r="AY84" s="951"/>
      <c r="AZ84" s="951"/>
      <c r="BA84" s="1098"/>
    </row>
    <row r="85" spans="1:53" ht="11.25">
      <c r="A85" s="982">
        <v>1</v>
      </c>
      <c r="B85" s="1098" t="s">
        <v>411</v>
      </c>
      <c r="C85" s="1098"/>
      <c r="D85" s="1098" t="s">
        <v>1673</v>
      </c>
      <c r="E85" s="1098"/>
      <c r="F85" s="1098"/>
      <c r="G85" s="1098"/>
      <c r="H85" s="1098"/>
      <c r="I85" s="1098"/>
      <c r="J85" s="1098"/>
      <c r="K85" s="1098"/>
      <c r="L85" s="1223" t="s">
        <v>610</v>
      </c>
      <c r="M85" s="1231" t="s">
        <v>611</v>
      </c>
      <c r="N85" s="1225" t="s">
        <v>351</v>
      </c>
      <c r="O85" s="403">
        <v>0</v>
      </c>
      <c r="P85" s="403">
        <v>0</v>
      </c>
      <c r="Q85" s="403">
        <v>0</v>
      </c>
      <c r="R85" s="1228">
        <v>0</v>
      </c>
      <c r="S85" s="403">
        <v>0</v>
      </c>
      <c r="T85" s="403">
        <v>0</v>
      </c>
      <c r="U85" s="403">
        <v>0</v>
      </c>
      <c r="V85" s="403">
        <v>0</v>
      </c>
      <c r="W85" s="403">
        <v>0</v>
      </c>
      <c r="X85" s="403">
        <v>0</v>
      </c>
      <c r="Y85" s="403">
        <v>0</v>
      </c>
      <c r="Z85" s="403">
        <v>0</v>
      </c>
      <c r="AA85" s="403">
        <v>0</v>
      </c>
      <c r="AB85" s="403">
        <v>0</v>
      </c>
      <c r="AC85" s="403">
        <v>0</v>
      </c>
      <c r="AD85" s="403">
        <v>0</v>
      </c>
      <c r="AE85" s="403">
        <v>0</v>
      </c>
      <c r="AF85" s="403">
        <v>0</v>
      </c>
      <c r="AG85" s="403">
        <v>0</v>
      </c>
      <c r="AH85" s="403">
        <v>0</v>
      </c>
      <c r="AI85" s="403">
        <v>0</v>
      </c>
      <c r="AJ85" s="403">
        <v>0</v>
      </c>
      <c r="AK85" s="403">
        <v>0</v>
      </c>
      <c r="AL85" s="403">
        <v>0</v>
      </c>
      <c r="AM85" s="403">
        <v>0</v>
      </c>
      <c r="AN85" s="1228">
        <v>0</v>
      </c>
      <c r="AO85" s="1228">
        <v>0</v>
      </c>
      <c r="AP85" s="1228">
        <v>0</v>
      </c>
      <c r="AQ85" s="1228">
        <v>0</v>
      </c>
      <c r="AR85" s="1228">
        <v>0</v>
      </c>
      <c r="AS85" s="1228">
        <v>0</v>
      </c>
      <c r="AT85" s="1228">
        <v>0</v>
      </c>
      <c r="AU85" s="1228">
        <v>0</v>
      </c>
      <c r="AV85" s="1228">
        <v>0</v>
      </c>
      <c r="AW85" s="1228">
        <v>0</v>
      </c>
      <c r="AX85" s="951"/>
      <c r="AY85" s="951"/>
      <c r="AZ85" s="951"/>
      <c r="BA85" s="1098"/>
    </row>
    <row r="86" spans="1:53" ht="11.25">
      <c r="A86" s="982">
        <v>1</v>
      </c>
      <c r="B86" s="1098" t="s">
        <v>1390</v>
      </c>
      <c r="C86" s="1098"/>
      <c r="D86" s="1098" t="s">
        <v>1674</v>
      </c>
      <c r="E86" s="1098"/>
      <c r="F86" s="1098"/>
      <c r="G86" s="1098"/>
      <c r="H86" s="1098"/>
      <c r="I86" s="1098"/>
      <c r="J86" s="1098"/>
      <c r="K86" s="1098"/>
      <c r="L86" s="1223" t="s">
        <v>612</v>
      </c>
      <c r="M86" s="1231" t="s">
        <v>613</v>
      </c>
      <c r="N86" s="1225" t="s">
        <v>351</v>
      </c>
      <c r="O86" s="984">
        <v>0</v>
      </c>
      <c r="P86" s="984">
        <v>0</v>
      </c>
      <c r="Q86" s="984">
        <v>0</v>
      </c>
      <c r="R86" s="1228">
        <v>0</v>
      </c>
      <c r="S86" s="984">
        <v>0</v>
      </c>
      <c r="T86" s="984">
        <v>0</v>
      </c>
      <c r="U86" s="984">
        <v>0</v>
      </c>
      <c r="V86" s="984">
        <v>0</v>
      </c>
      <c r="W86" s="984">
        <v>0</v>
      </c>
      <c r="X86" s="984">
        <v>0</v>
      </c>
      <c r="Y86" s="984">
        <v>0</v>
      </c>
      <c r="Z86" s="984">
        <v>0</v>
      </c>
      <c r="AA86" s="984">
        <v>0</v>
      </c>
      <c r="AB86" s="984">
        <v>0</v>
      </c>
      <c r="AC86" s="984">
        <v>0</v>
      </c>
      <c r="AD86" s="984">
        <v>0</v>
      </c>
      <c r="AE86" s="984">
        <v>0</v>
      </c>
      <c r="AF86" s="984">
        <v>0</v>
      </c>
      <c r="AG86" s="984">
        <v>0</v>
      </c>
      <c r="AH86" s="984">
        <v>0</v>
      </c>
      <c r="AI86" s="984">
        <v>0</v>
      </c>
      <c r="AJ86" s="984">
        <v>0</v>
      </c>
      <c r="AK86" s="984">
        <v>0</v>
      </c>
      <c r="AL86" s="984">
        <v>0</v>
      </c>
      <c r="AM86" s="984">
        <v>0</v>
      </c>
      <c r="AN86" s="1228">
        <v>0</v>
      </c>
      <c r="AO86" s="1228">
        <v>0</v>
      </c>
      <c r="AP86" s="1228">
        <v>0</v>
      </c>
      <c r="AQ86" s="1228">
        <v>0</v>
      </c>
      <c r="AR86" s="1228">
        <v>0</v>
      </c>
      <c r="AS86" s="1228">
        <v>0</v>
      </c>
      <c r="AT86" s="1228">
        <v>0</v>
      </c>
      <c r="AU86" s="1228">
        <v>0</v>
      </c>
      <c r="AV86" s="1228">
        <v>0</v>
      </c>
      <c r="AW86" s="1228">
        <v>0</v>
      </c>
      <c r="AX86" s="951"/>
      <c r="AY86" s="951"/>
      <c r="AZ86" s="951"/>
      <c r="BA86" s="1098"/>
    </row>
    <row r="87" spans="1:53" ht="11.25">
      <c r="A87" s="982">
        <v>1</v>
      </c>
      <c r="B87" s="1098" t="s">
        <v>1391</v>
      </c>
      <c r="C87" s="1098"/>
      <c r="D87" s="1098" t="s">
        <v>1675</v>
      </c>
      <c r="E87" s="1098"/>
      <c r="F87" s="1098"/>
      <c r="G87" s="1098"/>
      <c r="H87" s="1098"/>
      <c r="I87" s="1098"/>
      <c r="J87" s="1098"/>
      <c r="K87" s="1098"/>
      <c r="L87" s="1223" t="s">
        <v>614</v>
      </c>
      <c r="M87" s="1231" t="s">
        <v>615</v>
      </c>
      <c r="N87" s="1225" t="s">
        <v>351</v>
      </c>
      <c r="O87" s="403">
        <v>0</v>
      </c>
      <c r="P87" s="403">
        <v>0</v>
      </c>
      <c r="Q87" s="403">
        <v>0</v>
      </c>
      <c r="R87" s="1228">
        <v>0</v>
      </c>
      <c r="S87" s="403">
        <v>0</v>
      </c>
      <c r="T87" s="403">
        <v>0</v>
      </c>
      <c r="U87" s="403">
        <v>0</v>
      </c>
      <c r="V87" s="403">
        <v>0</v>
      </c>
      <c r="W87" s="403">
        <v>0</v>
      </c>
      <c r="X87" s="403">
        <v>0</v>
      </c>
      <c r="Y87" s="403">
        <v>0</v>
      </c>
      <c r="Z87" s="403">
        <v>0</v>
      </c>
      <c r="AA87" s="403">
        <v>0</v>
      </c>
      <c r="AB87" s="403">
        <v>0</v>
      </c>
      <c r="AC87" s="403">
        <v>0</v>
      </c>
      <c r="AD87" s="403">
        <v>0</v>
      </c>
      <c r="AE87" s="403">
        <v>0</v>
      </c>
      <c r="AF87" s="403">
        <v>0</v>
      </c>
      <c r="AG87" s="403">
        <v>0</v>
      </c>
      <c r="AH87" s="403">
        <v>0</v>
      </c>
      <c r="AI87" s="403">
        <v>0</v>
      </c>
      <c r="AJ87" s="403">
        <v>0</v>
      </c>
      <c r="AK87" s="403">
        <v>0</v>
      </c>
      <c r="AL87" s="403">
        <v>0</v>
      </c>
      <c r="AM87" s="403">
        <v>0</v>
      </c>
      <c r="AN87" s="1228">
        <v>0</v>
      </c>
      <c r="AO87" s="1228">
        <v>0</v>
      </c>
      <c r="AP87" s="1228">
        <v>0</v>
      </c>
      <c r="AQ87" s="1228">
        <v>0</v>
      </c>
      <c r="AR87" s="1228">
        <v>0</v>
      </c>
      <c r="AS87" s="1228">
        <v>0</v>
      </c>
      <c r="AT87" s="1228">
        <v>0</v>
      </c>
      <c r="AU87" s="1228">
        <v>0</v>
      </c>
      <c r="AV87" s="1228">
        <v>0</v>
      </c>
      <c r="AW87" s="1228">
        <v>0</v>
      </c>
      <c r="AX87" s="951"/>
      <c r="AY87" s="951"/>
      <c r="AZ87" s="951"/>
      <c r="BA87" s="1098"/>
    </row>
    <row r="88" spans="1:53" ht="11.25">
      <c r="A88" s="982">
        <v>1</v>
      </c>
      <c r="B88" s="1098" t="s">
        <v>415</v>
      </c>
      <c r="C88" s="1098"/>
      <c r="D88" s="1098" t="s">
        <v>1676</v>
      </c>
      <c r="E88" s="1098"/>
      <c r="F88" s="1098"/>
      <c r="G88" s="1098"/>
      <c r="H88" s="1098"/>
      <c r="I88" s="1098"/>
      <c r="J88" s="1098"/>
      <c r="K88" s="1098"/>
      <c r="L88" s="1223" t="s">
        <v>616</v>
      </c>
      <c r="M88" s="1231" t="s">
        <v>1127</v>
      </c>
      <c r="N88" s="1225" t="s">
        <v>351</v>
      </c>
      <c r="O88" s="403">
        <v>0</v>
      </c>
      <c r="P88" s="403">
        <v>0</v>
      </c>
      <c r="Q88" s="403">
        <v>0</v>
      </c>
      <c r="R88" s="1228">
        <v>0</v>
      </c>
      <c r="S88" s="403">
        <v>0</v>
      </c>
      <c r="T88" s="403">
        <v>0</v>
      </c>
      <c r="U88" s="403">
        <v>0</v>
      </c>
      <c r="V88" s="403">
        <v>0</v>
      </c>
      <c r="W88" s="403">
        <v>0</v>
      </c>
      <c r="X88" s="403">
        <v>0</v>
      </c>
      <c r="Y88" s="403">
        <v>0</v>
      </c>
      <c r="Z88" s="403">
        <v>0</v>
      </c>
      <c r="AA88" s="403">
        <v>0</v>
      </c>
      <c r="AB88" s="403">
        <v>0</v>
      </c>
      <c r="AC88" s="403">
        <v>0</v>
      </c>
      <c r="AD88" s="403">
        <v>0</v>
      </c>
      <c r="AE88" s="403">
        <v>0</v>
      </c>
      <c r="AF88" s="403">
        <v>0</v>
      </c>
      <c r="AG88" s="403">
        <v>0</v>
      </c>
      <c r="AH88" s="403">
        <v>0</v>
      </c>
      <c r="AI88" s="403">
        <v>0</v>
      </c>
      <c r="AJ88" s="403">
        <v>0</v>
      </c>
      <c r="AK88" s="403">
        <v>0</v>
      </c>
      <c r="AL88" s="403">
        <v>0</v>
      </c>
      <c r="AM88" s="403">
        <v>0</v>
      </c>
      <c r="AN88" s="1228">
        <v>0</v>
      </c>
      <c r="AO88" s="1228">
        <v>0</v>
      </c>
      <c r="AP88" s="1228">
        <v>0</v>
      </c>
      <c r="AQ88" s="1228">
        <v>0</v>
      </c>
      <c r="AR88" s="1228">
        <v>0</v>
      </c>
      <c r="AS88" s="1228">
        <v>0</v>
      </c>
      <c r="AT88" s="1228">
        <v>0</v>
      </c>
      <c r="AU88" s="1228">
        <v>0</v>
      </c>
      <c r="AV88" s="1228">
        <v>0</v>
      </c>
      <c r="AW88" s="1228">
        <v>0</v>
      </c>
      <c r="AX88" s="951"/>
      <c r="AY88" s="951"/>
      <c r="AZ88" s="951"/>
      <c r="BA88" s="1098"/>
    </row>
    <row r="89" spans="1:53" ht="67.5">
      <c r="A89" s="982">
        <v>1</v>
      </c>
      <c r="B89" s="1098" t="s">
        <v>1422</v>
      </c>
      <c r="C89" s="1098"/>
      <c r="D89" s="1098" t="s">
        <v>1553</v>
      </c>
      <c r="E89" s="1098"/>
      <c r="F89" s="1098"/>
      <c r="G89" s="1098"/>
      <c r="H89" s="1098"/>
      <c r="I89" s="1098"/>
      <c r="J89" s="1098"/>
      <c r="K89" s="1098"/>
      <c r="L89" s="1223" t="s">
        <v>153</v>
      </c>
      <c r="M89" s="1224" t="s">
        <v>465</v>
      </c>
      <c r="N89" s="1225" t="s">
        <v>351</v>
      </c>
      <c r="O89" s="1242"/>
      <c r="P89" s="1242"/>
      <c r="Q89" s="1242"/>
      <c r="R89" s="1228">
        <v>0</v>
      </c>
      <c r="S89" s="1242"/>
      <c r="T89" s="1242"/>
      <c r="U89" s="1242"/>
      <c r="V89" s="1242"/>
      <c r="W89" s="1242"/>
      <c r="X89" s="1242"/>
      <c r="Y89" s="1242"/>
      <c r="Z89" s="1242"/>
      <c r="AA89" s="1242"/>
      <c r="AB89" s="1242"/>
      <c r="AC89" s="1242"/>
      <c r="AD89" s="1242"/>
      <c r="AE89" s="1242"/>
      <c r="AF89" s="1242"/>
      <c r="AG89" s="1242"/>
      <c r="AH89" s="1242"/>
      <c r="AI89" s="1242"/>
      <c r="AJ89" s="1242"/>
      <c r="AK89" s="1242"/>
      <c r="AL89" s="1242"/>
      <c r="AM89" s="1242"/>
      <c r="AN89" s="1228">
        <v>0</v>
      </c>
      <c r="AO89" s="1228">
        <v>0</v>
      </c>
      <c r="AP89" s="1228">
        <v>0</v>
      </c>
      <c r="AQ89" s="1228">
        <v>0</v>
      </c>
      <c r="AR89" s="1228">
        <v>0</v>
      </c>
      <c r="AS89" s="1228">
        <v>0</v>
      </c>
      <c r="AT89" s="1228">
        <v>0</v>
      </c>
      <c r="AU89" s="1228">
        <v>0</v>
      </c>
      <c r="AV89" s="1228">
        <v>0</v>
      </c>
      <c r="AW89" s="1228">
        <v>0</v>
      </c>
      <c r="AX89" s="951"/>
      <c r="AY89" s="951"/>
      <c r="AZ89" s="951"/>
      <c r="BA89" s="1098"/>
    </row>
    <row r="90" spans="1:53" ht="11.25">
      <c r="A90" s="982">
        <v>1</v>
      </c>
      <c r="B90" s="1098" t="s">
        <v>617</v>
      </c>
      <c r="C90" s="1098"/>
      <c r="D90" s="1098" t="s">
        <v>1554</v>
      </c>
      <c r="E90" s="1098"/>
      <c r="F90" s="1098"/>
      <c r="G90" s="1098"/>
      <c r="H90" s="1098"/>
      <c r="I90" s="1098"/>
      <c r="J90" s="1098"/>
      <c r="K90" s="1098"/>
      <c r="L90" s="1223" t="s">
        <v>366</v>
      </c>
      <c r="M90" s="1224" t="s">
        <v>617</v>
      </c>
      <c r="N90" s="1225" t="s">
        <v>351</v>
      </c>
      <c r="O90" s="403">
        <v>0</v>
      </c>
      <c r="P90" s="403">
        <v>0</v>
      </c>
      <c r="Q90" s="403">
        <v>0</v>
      </c>
      <c r="R90" s="1228">
        <v>0</v>
      </c>
      <c r="S90" s="403">
        <v>0</v>
      </c>
      <c r="T90" s="403">
        <v>0</v>
      </c>
      <c r="U90" s="403">
        <v>0</v>
      </c>
      <c r="V90" s="403">
        <v>0</v>
      </c>
      <c r="W90" s="403">
        <v>0</v>
      </c>
      <c r="X90" s="403">
        <v>0</v>
      </c>
      <c r="Y90" s="403">
        <v>0</v>
      </c>
      <c r="Z90" s="403">
        <v>0</v>
      </c>
      <c r="AA90" s="403">
        <v>0</v>
      </c>
      <c r="AB90" s="403">
        <v>0</v>
      </c>
      <c r="AC90" s="403">
        <v>0</v>
      </c>
      <c r="AD90" s="403">
        <v>0</v>
      </c>
      <c r="AE90" s="403">
        <v>0</v>
      </c>
      <c r="AF90" s="403">
        <v>0</v>
      </c>
      <c r="AG90" s="403">
        <v>0</v>
      </c>
      <c r="AH90" s="403">
        <v>0</v>
      </c>
      <c r="AI90" s="403">
        <v>0</v>
      </c>
      <c r="AJ90" s="403">
        <v>0</v>
      </c>
      <c r="AK90" s="403">
        <v>0</v>
      </c>
      <c r="AL90" s="403">
        <v>0</v>
      </c>
      <c r="AM90" s="403">
        <v>0</v>
      </c>
      <c r="AN90" s="1228">
        <v>0</v>
      </c>
      <c r="AO90" s="1228">
        <v>0</v>
      </c>
      <c r="AP90" s="1228">
        <v>0</v>
      </c>
      <c r="AQ90" s="1228">
        <v>0</v>
      </c>
      <c r="AR90" s="1228">
        <v>0</v>
      </c>
      <c r="AS90" s="1228">
        <v>0</v>
      </c>
      <c r="AT90" s="1228">
        <v>0</v>
      </c>
      <c r="AU90" s="1228">
        <v>0</v>
      </c>
      <c r="AV90" s="1228">
        <v>0</v>
      </c>
      <c r="AW90" s="1228">
        <v>0</v>
      </c>
      <c r="AX90" s="951"/>
      <c r="AY90" s="951"/>
      <c r="AZ90" s="951"/>
      <c r="BA90" s="1098"/>
    </row>
    <row r="91" spans="1:53" ht="11.25">
      <c r="A91" s="982">
        <v>1</v>
      </c>
      <c r="B91" s="1098"/>
      <c r="C91" s="1098"/>
      <c r="D91" s="1098" t="s">
        <v>1677</v>
      </c>
      <c r="E91" s="1098"/>
      <c r="F91" s="1098"/>
      <c r="G91" s="1098"/>
      <c r="H91" s="1098"/>
      <c r="I91" s="1098"/>
      <c r="J91" s="1098"/>
      <c r="K91" s="1098"/>
      <c r="L91" s="1223" t="s">
        <v>491</v>
      </c>
      <c r="M91" s="1224" t="s">
        <v>618</v>
      </c>
      <c r="N91" s="1225" t="s">
        <v>351</v>
      </c>
      <c r="O91" s="984">
        <v>0</v>
      </c>
      <c r="P91" s="984">
        <v>0</v>
      </c>
      <c r="Q91" s="984">
        <v>0</v>
      </c>
      <c r="R91" s="1228">
        <v>0</v>
      </c>
      <c r="S91" s="984">
        <v>0</v>
      </c>
      <c r="T91" s="984">
        <v>0</v>
      </c>
      <c r="U91" s="984">
        <v>0</v>
      </c>
      <c r="V91" s="984">
        <v>0</v>
      </c>
      <c r="W91" s="984">
        <v>0</v>
      </c>
      <c r="X91" s="984">
        <v>0</v>
      </c>
      <c r="Y91" s="984">
        <v>0</v>
      </c>
      <c r="Z91" s="984">
        <v>0</v>
      </c>
      <c r="AA91" s="984">
        <v>0</v>
      </c>
      <c r="AB91" s="984">
        <v>0</v>
      </c>
      <c r="AC91" s="984">
        <v>0</v>
      </c>
      <c r="AD91" s="984">
        <v>0</v>
      </c>
      <c r="AE91" s="984">
        <v>0</v>
      </c>
      <c r="AF91" s="984">
        <v>0</v>
      </c>
      <c r="AG91" s="984">
        <v>0</v>
      </c>
      <c r="AH91" s="984">
        <v>0</v>
      </c>
      <c r="AI91" s="984">
        <v>0</v>
      </c>
      <c r="AJ91" s="984">
        <v>0</v>
      </c>
      <c r="AK91" s="984">
        <v>0</v>
      </c>
      <c r="AL91" s="984">
        <v>0</v>
      </c>
      <c r="AM91" s="984">
        <v>0</v>
      </c>
      <c r="AN91" s="1228">
        <v>0</v>
      </c>
      <c r="AO91" s="1228">
        <v>0</v>
      </c>
      <c r="AP91" s="1228">
        <v>0</v>
      </c>
      <c r="AQ91" s="1228">
        <v>0</v>
      </c>
      <c r="AR91" s="1228">
        <v>0</v>
      </c>
      <c r="AS91" s="1228">
        <v>0</v>
      </c>
      <c r="AT91" s="1228">
        <v>0</v>
      </c>
      <c r="AU91" s="1228">
        <v>0</v>
      </c>
      <c r="AV91" s="1228">
        <v>0</v>
      </c>
      <c r="AW91" s="1228">
        <v>0</v>
      </c>
      <c r="AX91" s="951"/>
      <c r="AY91" s="951"/>
      <c r="AZ91" s="951"/>
      <c r="BA91" s="1098"/>
    </row>
    <row r="92" spans="1:53" ht="11.25">
      <c r="A92" s="982">
        <v>1</v>
      </c>
      <c r="B92" s="1098" t="s">
        <v>620</v>
      </c>
      <c r="C92" s="1098"/>
      <c r="D92" s="1098" t="s">
        <v>1678</v>
      </c>
      <c r="E92" s="1098"/>
      <c r="F92" s="1098"/>
      <c r="G92" s="1098"/>
      <c r="H92" s="1098"/>
      <c r="I92" s="1098"/>
      <c r="J92" s="1098"/>
      <c r="K92" s="1098"/>
      <c r="L92" s="1223" t="s">
        <v>619</v>
      </c>
      <c r="M92" s="1231" t="s">
        <v>620</v>
      </c>
      <c r="N92" s="1225" t="s">
        <v>351</v>
      </c>
      <c r="O92" s="1236">
        <v>0</v>
      </c>
      <c r="P92" s="1236">
        <v>0</v>
      </c>
      <c r="Q92" s="1236">
        <v>0</v>
      </c>
      <c r="R92" s="1228">
        <v>0</v>
      </c>
      <c r="S92" s="1236">
        <v>0</v>
      </c>
      <c r="T92" s="1236">
        <v>0</v>
      </c>
      <c r="U92" s="984"/>
      <c r="V92" s="984"/>
      <c r="W92" s="984"/>
      <c r="X92" s="984"/>
      <c r="Y92" s="984"/>
      <c r="Z92" s="984"/>
      <c r="AA92" s="984"/>
      <c r="AB92" s="984"/>
      <c r="AC92" s="984"/>
      <c r="AD92" s="1236">
        <v>0</v>
      </c>
      <c r="AE92" s="984"/>
      <c r="AF92" s="984"/>
      <c r="AG92" s="984"/>
      <c r="AH92" s="984"/>
      <c r="AI92" s="984"/>
      <c r="AJ92" s="984"/>
      <c r="AK92" s="984"/>
      <c r="AL92" s="984"/>
      <c r="AM92" s="984"/>
      <c r="AN92" s="1228">
        <v>0</v>
      </c>
      <c r="AO92" s="1228">
        <v>0</v>
      </c>
      <c r="AP92" s="1228">
        <v>0</v>
      </c>
      <c r="AQ92" s="1228">
        <v>0</v>
      </c>
      <c r="AR92" s="1228">
        <v>0</v>
      </c>
      <c r="AS92" s="1228">
        <v>0</v>
      </c>
      <c r="AT92" s="1228">
        <v>0</v>
      </c>
      <c r="AU92" s="1228">
        <v>0</v>
      </c>
      <c r="AV92" s="1228">
        <v>0</v>
      </c>
      <c r="AW92" s="1228">
        <v>0</v>
      </c>
      <c r="AX92" s="951"/>
      <c r="AY92" s="951"/>
      <c r="AZ92" s="951"/>
      <c r="BA92" s="1098"/>
    </row>
    <row r="93" spans="1:53" ht="11.25">
      <c r="A93" s="982">
        <v>1</v>
      </c>
      <c r="B93" s="1098" t="s">
        <v>621</v>
      </c>
      <c r="C93" s="1098"/>
      <c r="D93" s="1098" t="s">
        <v>1679</v>
      </c>
      <c r="E93" s="1098"/>
      <c r="F93" s="1098"/>
      <c r="G93" s="1098"/>
      <c r="H93" s="1098"/>
      <c r="I93" s="1098"/>
      <c r="J93" s="1098"/>
      <c r="K93" s="1098"/>
      <c r="L93" s="1223" t="s">
        <v>493</v>
      </c>
      <c r="M93" s="1224" t="s">
        <v>621</v>
      </c>
      <c r="N93" s="1225" t="s">
        <v>351</v>
      </c>
      <c r="O93" s="984"/>
      <c r="P93" s="984"/>
      <c r="Q93" s="984"/>
      <c r="R93" s="1228">
        <v>0</v>
      </c>
      <c r="S93" s="984"/>
      <c r="T93" s="984">
        <v>0</v>
      </c>
      <c r="U93" s="984">
        <v>0</v>
      </c>
      <c r="V93" s="984">
        <v>0</v>
      </c>
      <c r="W93" s="984">
        <v>0</v>
      </c>
      <c r="X93" s="984">
        <v>0</v>
      </c>
      <c r="Y93" s="984">
        <v>0</v>
      </c>
      <c r="Z93" s="984">
        <v>0</v>
      </c>
      <c r="AA93" s="984">
        <v>0</v>
      </c>
      <c r="AB93" s="984">
        <v>0</v>
      </c>
      <c r="AC93" s="984">
        <v>0</v>
      </c>
      <c r="AD93" s="984">
        <v>0</v>
      </c>
      <c r="AE93" s="984">
        <v>0</v>
      </c>
      <c r="AF93" s="984">
        <v>0</v>
      </c>
      <c r="AG93" s="984">
        <v>0</v>
      </c>
      <c r="AH93" s="984">
        <v>0</v>
      </c>
      <c r="AI93" s="984">
        <v>0</v>
      </c>
      <c r="AJ93" s="984">
        <v>0</v>
      </c>
      <c r="AK93" s="984">
        <v>0</v>
      </c>
      <c r="AL93" s="984">
        <v>0</v>
      </c>
      <c r="AM93" s="984">
        <v>0</v>
      </c>
      <c r="AN93" s="1228">
        <v>0</v>
      </c>
      <c r="AO93" s="1228">
        <v>0</v>
      </c>
      <c r="AP93" s="1228">
        <v>0</v>
      </c>
      <c r="AQ93" s="1228">
        <v>0</v>
      </c>
      <c r="AR93" s="1228">
        <v>0</v>
      </c>
      <c r="AS93" s="1228">
        <v>0</v>
      </c>
      <c r="AT93" s="1228">
        <v>0</v>
      </c>
      <c r="AU93" s="1228">
        <v>0</v>
      </c>
      <c r="AV93" s="1228">
        <v>0</v>
      </c>
      <c r="AW93" s="1228">
        <v>0</v>
      </c>
      <c r="AX93" s="951"/>
      <c r="AY93" s="951"/>
      <c r="AZ93" s="951"/>
      <c r="BA93" s="1098"/>
    </row>
    <row r="94" spans="1:53" ht="11.25">
      <c r="A94" s="982">
        <v>1</v>
      </c>
      <c r="B94" s="1098" t="s">
        <v>622</v>
      </c>
      <c r="C94" s="1098"/>
      <c r="D94" s="1098" t="s">
        <v>1680</v>
      </c>
      <c r="E94" s="1098"/>
      <c r="F94" s="1098"/>
      <c r="G94" s="1098"/>
      <c r="H94" s="1098"/>
      <c r="I94" s="1098"/>
      <c r="J94" s="1098"/>
      <c r="K94" s="1098"/>
      <c r="L94" s="1223" t="s">
        <v>496</v>
      </c>
      <c r="M94" s="1224" t="s">
        <v>622</v>
      </c>
      <c r="N94" s="1225" t="s">
        <v>351</v>
      </c>
      <c r="O94" s="984"/>
      <c r="P94" s="984"/>
      <c r="Q94" s="984"/>
      <c r="R94" s="1228">
        <v>0</v>
      </c>
      <c r="S94" s="984"/>
      <c r="T94" s="984"/>
      <c r="U94" s="984"/>
      <c r="V94" s="984"/>
      <c r="W94" s="984"/>
      <c r="X94" s="984"/>
      <c r="Y94" s="984"/>
      <c r="Z94" s="984"/>
      <c r="AA94" s="984"/>
      <c r="AB94" s="984"/>
      <c r="AC94" s="984"/>
      <c r="AD94" s="984"/>
      <c r="AE94" s="984"/>
      <c r="AF94" s="984"/>
      <c r="AG94" s="984"/>
      <c r="AH94" s="984"/>
      <c r="AI94" s="984"/>
      <c r="AJ94" s="984"/>
      <c r="AK94" s="984"/>
      <c r="AL94" s="984"/>
      <c r="AM94" s="984"/>
      <c r="AN94" s="1228">
        <v>0</v>
      </c>
      <c r="AO94" s="1228">
        <v>0</v>
      </c>
      <c r="AP94" s="1228">
        <v>0</v>
      </c>
      <c r="AQ94" s="1228">
        <v>0</v>
      </c>
      <c r="AR94" s="1228">
        <v>0</v>
      </c>
      <c r="AS94" s="1228">
        <v>0</v>
      </c>
      <c r="AT94" s="1228">
        <v>0</v>
      </c>
      <c r="AU94" s="1228">
        <v>0</v>
      </c>
      <c r="AV94" s="1228">
        <v>0</v>
      </c>
      <c r="AW94" s="1228">
        <v>0</v>
      </c>
      <c r="AX94" s="951"/>
      <c r="AY94" s="951"/>
      <c r="AZ94" s="951"/>
      <c r="BA94" s="1098"/>
    </row>
    <row r="95" spans="1:53" ht="11.25">
      <c r="A95" s="982">
        <v>1</v>
      </c>
      <c r="B95" s="1098" t="s">
        <v>623</v>
      </c>
      <c r="C95" s="1098"/>
      <c r="D95" s="1098" t="s">
        <v>1681</v>
      </c>
      <c r="E95" s="1098"/>
      <c r="F95" s="1098"/>
      <c r="G95" s="1098"/>
      <c r="H95" s="1098"/>
      <c r="I95" s="1098"/>
      <c r="J95" s="1098"/>
      <c r="K95" s="1098"/>
      <c r="L95" s="1223" t="s">
        <v>499</v>
      </c>
      <c r="M95" s="1224" t="s">
        <v>623</v>
      </c>
      <c r="N95" s="1225" t="s">
        <v>351</v>
      </c>
      <c r="O95" s="984"/>
      <c r="P95" s="984"/>
      <c r="Q95" s="984"/>
      <c r="R95" s="1228">
        <v>0</v>
      </c>
      <c r="S95" s="984"/>
      <c r="T95" s="984"/>
      <c r="U95" s="984"/>
      <c r="V95" s="984"/>
      <c r="W95" s="984"/>
      <c r="X95" s="984"/>
      <c r="Y95" s="984"/>
      <c r="Z95" s="984"/>
      <c r="AA95" s="984"/>
      <c r="AB95" s="984"/>
      <c r="AC95" s="984"/>
      <c r="AD95" s="984"/>
      <c r="AE95" s="984"/>
      <c r="AF95" s="984"/>
      <c r="AG95" s="984"/>
      <c r="AH95" s="984"/>
      <c r="AI95" s="984"/>
      <c r="AJ95" s="984"/>
      <c r="AK95" s="984"/>
      <c r="AL95" s="984"/>
      <c r="AM95" s="984"/>
      <c r="AN95" s="1228">
        <v>0</v>
      </c>
      <c r="AO95" s="1228">
        <v>0</v>
      </c>
      <c r="AP95" s="1228">
        <v>0</v>
      </c>
      <c r="AQ95" s="1228">
        <v>0</v>
      </c>
      <c r="AR95" s="1228">
        <v>0</v>
      </c>
      <c r="AS95" s="1228">
        <v>0</v>
      </c>
      <c r="AT95" s="1228">
        <v>0</v>
      </c>
      <c r="AU95" s="1228">
        <v>0</v>
      </c>
      <c r="AV95" s="1228">
        <v>0</v>
      </c>
      <c r="AW95" s="1228">
        <v>0</v>
      </c>
      <c r="AX95" s="951"/>
      <c r="AY95" s="951"/>
      <c r="AZ95" s="951"/>
      <c r="BA95" s="1098"/>
    </row>
    <row r="96" spans="1:53" ht="11.25">
      <c r="A96" s="982">
        <v>1</v>
      </c>
      <c r="B96" s="1098" t="s">
        <v>625</v>
      </c>
      <c r="C96" s="1098"/>
      <c r="D96" s="1098" t="s">
        <v>1682</v>
      </c>
      <c r="E96" s="1098"/>
      <c r="F96" s="1098"/>
      <c r="G96" s="1098"/>
      <c r="H96" s="1098"/>
      <c r="I96" s="1098"/>
      <c r="J96" s="1098"/>
      <c r="K96" s="1098"/>
      <c r="L96" s="1223" t="s">
        <v>624</v>
      </c>
      <c r="M96" s="1224" t="s">
        <v>625</v>
      </c>
      <c r="N96" s="1225" t="s">
        <v>351</v>
      </c>
      <c r="O96" s="1228">
        <v>0</v>
      </c>
      <c r="P96" s="1228">
        <v>0</v>
      </c>
      <c r="Q96" s="1228">
        <v>0</v>
      </c>
      <c r="R96" s="1228">
        <v>0</v>
      </c>
      <c r="S96" s="1228">
        <v>0</v>
      </c>
      <c r="T96" s="1228">
        <v>0</v>
      </c>
      <c r="U96" s="1228">
        <v>0</v>
      </c>
      <c r="V96" s="1228">
        <v>0</v>
      </c>
      <c r="W96" s="1228">
        <v>0</v>
      </c>
      <c r="X96" s="1228">
        <v>0</v>
      </c>
      <c r="Y96" s="1228">
        <v>0</v>
      </c>
      <c r="Z96" s="1228">
        <v>0</v>
      </c>
      <c r="AA96" s="1228">
        <v>0</v>
      </c>
      <c r="AB96" s="1228">
        <v>0</v>
      </c>
      <c r="AC96" s="1228">
        <v>0</v>
      </c>
      <c r="AD96" s="1228">
        <v>0</v>
      </c>
      <c r="AE96" s="1228">
        <v>0</v>
      </c>
      <c r="AF96" s="1228">
        <v>0</v>
      </c>
      <c r="AG96" s="1228">
        <v>0</v>
      </c>
      <c r="AH96" s="1228">
        <v>0</v>
      </c>
      <c r="AI96" s="1228">
        <v>0</v>
      </c>
      <c r="AJ96" s="1228">
        <v>0</v>
      </c>
      <c r="AK96" s="1228">
        <v>0</v>
      </c>
      <c r="AL96" s="1228">
        <v>0</v>
      </c>
      <c r="AM96" s="1228">
        <v>0</v>
      </c>
      <c r="AN96" s="1228">
        <v>0</v>
      </c>
      <c r="AO96" s="1228">
        <v>0</v>
      </c>
      <c r="AP96" s="1228">
        <v>0</v>
      </c>
      <c r="AQ96" s="1228">
        <v>0</v>
      </c>
      <c r="AR96" s="1228">
        <v>0</v>
      </c>
      <c r="AS96" s="1228">
        <v>0</v>
      </c>
      <c r="AT96" s="1228">
        <v>0</v>
      </c>
      <c r="AU96" s="1228">
        <v>0</v>
      </c>
      <c r="AV96" s="1228">
        <v>0</v>
      </c>
      <c r="AW96" s="1228">
        <v>0</v>
      </c>
      <c r="AX96" s="951"/>
      <c r="AY96" s="951"/>
      <c r="AZ96" s="951"/>
      <c r="BA96" s="1098"/>
    </row>
    <row r="97" spans="1:53" ht="11.25">
      <c r="A97" s="982">
        <v>1</v>
      </c>
      <c r="B97" s="1098"/>
      <c r="C97" s="1098"/>
      <c r="D97" s="1098" t="s">
        <v>1683</v>
      </c>
      <c r="E97" s="1098"/>
      <c r="F97" s="1098"/>
      <c r="G97" s="1098"/>
      <c r="H97" s="1098"/>
      <c r="I97" s="1098"/>
      <c r="J97" s="1098"/>
      <c r="K97" s="1098"/>
      <c r="L97" s="1223" t="s">
        <v>626</v>
      </c>
      <c r="M97" s="1231" t="s">
        <v>627</v>
      </c>
      <c r="N97" s="1225" t="s">
        <v>351</v>
      </c>
      <c r="O97" s="984"/>
      <c r="P97" s="984"/>
      <c r="Q97" s="984"/>
      <c r="R97" s="1228">
        <v>0</v>
      </c>
      <c r="S97" s="984"/>
      <c r="T97" s="984"/>
      <c r="U97" s="984"/>
      <c r="V97" s="984"/>
      <c r="W97" s="984"/>
      <c r="X97" s="984"/>
      <c r="Y97" s="984"/>
      <c r="Z97" s="984"/>
      <c r="AA97" s="984"/>
      <c r="AB97" s="984"/>
      <c r="AC97" s="984"/>
      <c r="AD97" s="984"/>
      <c r="AE97" s="984"/>
      <c r="AF97" s="984"/>
      <c r="AG97" s="984"/>
      <c r="AH97" s="984"/>
      <c r="AI97" s="984"/>
      <c r="AJ97" s="984"/>
      <c r="AK97" s="984"/>
      <c r="AL97" s="984"/>
      <c r="AM97" s="984"/>
      <c r="AN97" s="1228">
        <v>0</v>
      </c>
      <c r="AO97" s="1228">
        <v>0</v>
      </c>
      <c r="AP97" s="1228">
        <v>0</v>
      </c>
      <c r="AQ97" s="1228">
        <v>0</v>
      </c>
      <c r="AR97" s="1228">
        <v>0</v>
      </c>
      <c r="AS97" s="1228">
        <v>0</v>
      </c>
      <c r="AT97" s="1228">
        <v>0</v>
      </c>
      <c r="AU97" s="1228">
        <v>0</v>
      </c>
      <c r="AV97" s="1228">
        <v>0</v>
      </c>
      <c r="AW97" s="1228">
        <v>0</v>
      </c>
      <c r="AX97" s="951"/>
      <c r="AY97" s="951"/>
      <c r="AZ97" s="951"/>
      <c r="BA97" s="1098"/>
    </row>
    <row r="98" spans="1:53" ht="11.25">
      <c r="A98" s="982">
        <v>1</v>
      </c>
      <c r="B98" s="1098"/>
      <c r="C98" s="1098"/>
      <c r="D98" s="1098" t="s">
        <v>1684</v>
      </c>
      <c r="E98" s="1098"/>
      <c r="F98" s="1098"/>
      <c r="G98" s="1098"/>
      <c r="H98" s="1098"/>
      <c r="I98" s="1098"/>
      <c r="J98" s="1098"/>
      <c r="K98" s="1098"/>
      <c r="L98" s="1223" t="s">
        <v>628</v>
      </c>
      <c r="M98" s="1231" t="s">
        <v>629</v>
      </c>
      <c r="N98" s="1225" t="s">
        <v>351</v>
      </c>
      <c r="O98" s="984"/>
      <c r="P98" s="984"/>
      <c r="Q98" s="984"/>
      <c r="R98" s="1228">
        <v>0</v>
      </c>
      <c r="S98" s="984"/>
      <c r="T98" s="984"/>
      <c r="U98" s="984"/>
      <c r="V98" s="984"/>
      <c r="W98" s="984"/>
      <c r="X98" s="984"/>
      <c r="Y98" s="984"/>
      <c r="Z98" s="984"/>
      <c r="AA98" s="984"/>
      <c r="AB98" s="984"/>
      <c r="AC98" s="984"/>
      <c r="AD98" s="984"/>
      <c r="AE98" s="984"/>
      <c r="AF98" s="984"/>
      <c r="AG98" s="984"/>
      <c r="AH98" s="984"/>
      <c r="AI98" s="984"/>
      <c r="AJ98" s="984"/>
      <c r="AK98" s="984"/>
      <c r="AL98" s="984"/>
      <c r="AM98" s="984"/>
      <c r="AN98" s="1228">
        <v>0</v>
      </c>
      <c r="AO98" s="1228">
        <v>0</v>
      </c>
      <c r="AP98" s="1228">
        <v>0</v>
      </c>
      <c r="AQ98" s="1228">
        <v>0</v>
      </c>
      <c r="AR98" s="1228">
        <v>0</v>
      </c>
      <c r="AS98" s="1228">
        <v>0</v>
      </c>
      <c r="AT98" s="1228">
        <v>0</v>
      </c>
      <c r="AU98" s="1228">
        <v>0</v>
      </c>
      <c r="AV98" s="1228">
        <v>0</v>
      </c>
      <c r="AW98" s="1228">
        <v>0</v>
      </c>
      <c r="AX98" s="951"/>
      <c r="AY98" s="951"/>
      <c r="AZ98" s="951"/>
      <c r="BA98" s="1098"/>
    </row>
    <row r="99" spans="1:53" ht="22.5">
      <c r="A99" s="982">
        <v>1</v>
      </c>
      <c r="B99" s="1098" t="s">
        <v>1423</v>
      </c>
      <c r="C99" s="1098"/>
      <c r="D99" s="1098" t="s">
        <v>1685</v>
      </c>
      <c r="E99" s="1098"/>
      <c r="F99" s="1098"/>
      <c r="G99" s="1098"/>
      <c r="H99" s="1098"/>
      <c r="I99" s="1098"/>
      <c r="J99" s="1098"/>
      <c r="K99" s="1098"/>
      <c r="L99" s="1223" t="s">
        <v>630</v>
      </c>
      <c r="M99" s="1224" t="s">
        <v>631</v>
      </c>
      <c r="N99" s="1225" t="s">
        <v>351</v>
      </c>
      <c r="O99" s="984"/>
      <c r="P99" s="984"/>
      <c r="Q99" s="984"/>
      <c r="R99" s="1228">
        <v>0</v>
      </c>
      <c r="S99" s="984"/>
      <c r="T99" s="984"/>
      <c r="U99" s="984"/>
      <c r="V99" s="984"/>
      <c r="W99" s="984"/>
      <c r="X99" s="984"/>
      <c r="Y99" s="984"/>
      <c r="Z99" s="984"/>
      <c r="AA99" s="984"/>
      <c r="AB99" s="984"/>
      <c r="AC99" s="984"/>
      <c r="AD99" s="984"/>
      <c r="AE99" s="984"/>
      <c r="AF99" s="984"/>
      <c r="AG99" s="984"/>
      <c r="AH99" s="984"/>
      <c r="AI99" s="984"/>
      <c r="AJ99" s="984"/>
      <c r="AK99" s="984"/>
      <c r="AL99" s="984"/>
      <c r="AM99" s="984"/>
      <c r="AN99" s="1228">
        <v>0</v>
      </c>
      <c r="AO99" s="1228">
        <v>0</v>
      </c>
      <c r="AP99" s="1228">
        <v>0</v>
      </c>
      <c r="AQ99" s="1228">
        <v>0</v>
      </c>
      <c r="AR99" s="1228">
        <v>0</v>
      </c>
      <c r="AS99" s="1228">
        <v>0</v>
      </c>
      <c r="AT99" s="1228">
        <v>0</v>
      </c>
      <c r="AU99" s="1228">
        <v>0</v>
      </c>
      <c r="AV99" s="1228">
        <v>0</v>
      </c>
      <c r="AW99" s="1228">
        <v>0</v>
      </c>
      <c r="AX99" s="951"/>
      <c r="AY99" s="951"/>
      <c r="AZ99" s="951"/>
      <c r="BA99" s="1098"/>
    </row>
    <row r="100" spans="1:53" s="109" customFormat="1" ht="11.25">
      <c r="A100" s="982">
        <v>1</v>
      </c>
      <c r="B100" s="1098" t="s">
        <v>1073</v>
      </c>
      <c r="C100" s="1098"/>
      <c r="D100" s="1098" t="s">
        <v>1483</v>
      </c>
      <c r="E100" s="1238"/>
      <c r="F100" s="1238"/>
      <c r="G100" s="1238"/>
      <c r="H100" s="1238"/>
      <c r="I100" s="1238"/>
      <c r="J100" s="1238"/>
      <c r="K100" s="1238"/>
      <c r="L100" s="1239" t="s">
        <v>103</v>
      </c>
      <c r="M100" s="1217" t="s">
        <v>632</v>
      </c>
      <c r="N100" s="1241" t="s">
        <v>351</v>
      </c>
      <c r="O100" s="548">
        <v>646.38</v>
      </c>
      <c r="P100" s="548">
        <v>372.4</v>
      </c>
      <c r="Q100" s="548">
        <v>372.4</v>
      </c>
      <c r="R100" s="1219">
        <v>0</v>
      </c>
      <c r="S100" s="548">
        <v>738.89</v>
      </c>
      <c r="T100" s="548">
        <v>521.94799999999998</v>
      </c>
      <c r="U100" s="548">
        <v>650</v>
      </c>
      <c r="V100" s="548">
        <v>680</v>
      </c>
      <c r="W100" s="548">
        <v>750</v>
      </c>
      <c r="X100" s="548">
        <v>800</v>
      </c>
      <c r="Y100" s="548">
        <v>0</v>
      </c>
      <c r="Z100" s="548">
        <v>0</v>
      </c>
      <c r="AA100" s="548">
        <v>0</v>
      </c>
      <c r="AB100" s="548">
        <v>0</v>
      </c>
      <c r="AC100" s="548">
        <v>0</v>
      </c>
      <c r="AD100" s="548">
        <v>521.94799999999998</v>
      </c>
      <c r="AE100" s="548">
        <v>542.83000000000004</v>
      </c>
      <c r="AF100" s="548">
        <v>564.54</v>
      </c>
      <c r="AG100" s="548">
        <v>587.12</v>
      </c>
      <c r="AH100" s="548">
        <v>610.61</v>
      </c>
      <c r="AI100" s="548">
        <v>0</v>
      </c>
      <c r="AJ100" s="548">
        <v>0</v>
      </c>
      <c r="AK100" s="548">
        <v>0</v>
      </c>
      <c r="AL100" s="548">
        <v>0</v>
      </c>
      <c r="AM100" s="548">
        <v>0</v>
      </c>
      <c r="AN100" s="1219">
        <v>-29.360527277402593</v>
      </c>
      <c r="AO100" s="1219">
        <v>4.0007816870646238</v>
      </c>
      <c r="AP100" s="1219">
        <v>3.9994104968406172</v>
      </c>
      <c r="AQ100" s="1219">
        <v>3.9997165834130515</v>
      </c>
      <c r="AR100" s="1219">
        <v>4.0008856792478555</v>
      </c>
      <c r="AS100" s="1219">
        <v>-100</v>
      </c>
      <c r="AT100" s="1219">
        <v>0</v>
      </c>
      <c r="AU100" s="1219">
        <v>0</v>
      </c>
      <c r="AV100" s="1219">
        <v>0</v>
      </c>
      <c r="AW100" s="1219">
        <v>0</v>
      </c>
      <c r="AX100" s="951"/>
      <c r="AY100" s="951"/>
      <c r="AZ100" s="951"/>
      <c r="BA100" s="1238"/>
    </row>
    <row r="101" spans="1:53" s="109" customFormat="1" ht="22.5">
      <c r="A101" s="982">
        <v>1</v>
      </c>
      <c r="B101" s="1098" t="s">
        <v>1074</v>
      </c>
      <c r="C101" s="1098"/>
      <c r="D101" s="1098" t="s">
        <v>1484</v>
      </c>
      <c r="E101" s="1238"/>
      <c r="F101" s="1238"/>
      <c r="G101" s="1238"/>
      <c r="H101" s="1238"/>
      <c r="I101" s="1238"/>
      <c r="J101" s="1238"/>
      <c r="K101" s="1238"/>
      <c r="L101" s="1239" t="s">
        <v>104</v>
      </c>
      <c r="M101" s="1217" t="s">
        <v>633</v>
      </c>
      <c r="N101" s="1241" t="s">
        <v>351</v>
      </c>
      <c r="O101" s="548">
        <v>0</v>
      </c>
      <c r="P101" s="548">
        <v>0</v>
      </c>
      <c r="Q101" s="548">
        <v>0</v>
      </c>
      <c r="R101" s="1219">
        <v>0</v>
      </c>
      <c r="S101" s="548">
        <v>0</v>
      </c>
      <c r="T101" s="548">
        <v>0</v>
      </c>
      <c r="U101" s="548">
        <v>0</v>
      </c>
      <c r="V101" s="548">
        <v>0</v>
      </c>
      <c r="W101" s="548">
        <v>0</v>
      </c>
      <c r="X101" s="548">
        <v>0</v>
      </c>
      <c r="Y101" s="548">
        <v>0</v>
      </c>
      <c r="Z101" s="548">
        <v>0</v>
      </c>
      <c r="AA101" s="548">
        <v>0</v>
      </c>
      <c r="AB101" s="548">
        <v>0</v>
      </c>
      <c r="AC101" s="548">
        <v>0</v>
      </c>
      <c r="AD101" s="548">
        <v>0</v>
      </c>
      <c r="AE101" s="548">
        <v>0</v>
      </c>
      <c r="AF101" s="548">
        <v>0</v>
      </c>
      <c r="AG101" s="548">
        <v>0</v>
      </c>
      <c r="AH101" s="548">
        <v>0</v>
      </c>
      <c r="AI101" s="548">
        <v>0</v>
      </c>
      <c r="AJ101" s="548">
        <v>0</v>
      </c>
      <c r="AK101" s="548">
        <v>0</v>
      </c>
      <c r="AL101" s="548">
        <v>0</v>
      </c>
      <c r="AM101" s="548">
        <v>0</v>
      </c>
      <c r="AN101" s="1219">
        <v>0</v>
      </c>
      <c r="AO101" s="1219">
        <v>0</v>
      </c>
      <c r="AP101" s="1219">
        <v>0</v>
      </c>
      <c r="AQ101" s="1219">
        <v>0</v>
      </c>
      <c r="AR101" s="1219">
        <v>0</v>
      </c>
      <c r="AS101" s="1219">
        <v>0</v>
      </c>
      <c r="AT101" s="1219">
        <v>0</v>
      </c>
      <c r="AU101" s="1219">
        <v>0</v>
      </c>
      <c r="AV101" s="1219">
        <v>0</v>
      </c>
      <c r="AW101" s="1219">
        <v>0</v>
      </c>
      <c r="AX101" s="951"/>
      <c r="AY101" s="951"/>
      <c r="AZ101" s="951"/>
      <c r="BA101" s="1238"/>
    </row>
    <row r="102" spans="1:53" ht="11.25">
      <c r="A102" s="982">
        <v>1</v>
      </c>
      <c r="B102" s="1098"/>
      <c r="C102" s="1098"/>
      <c r="D102" s="1098" t="s">
        <v>1499</v>
      </c>
      <c r="E102" s="1098"/>
      <c r="F102" s="1098"/>
      <c r="G102" s="1098"/>
      <c r="H102" s="1098"/>
      <c r="I102" s="1098"/>
      <c r="J102" s="1098"/>
      <c r="K102" s="1098"/>
      <c r="L102" s="1223" t="s">
        <v>140</v>
      </c>
      <c r="M102" s="1243" t="s">
        <v>1198</v>
      </c>
      <c r="N102" s="1225" t="s">
        <v>351</v>
      </c>
      <c r="O102" s="984">
        <v>0</v>
      </c>
      <c r="P102" s="984">
        <v>0</v>
      </c>
      <c r="Q102" s="984">
        <v>0</v>
      </c>
      <c r="R102" s="1228">
        <v>0</v>
      </c>
      <c r="S102" s="984">
        <v>0</v>
      </c>
      <c r="T102" s="984">
        <v>0</v>
      </c>
      <c r="U102" s="984">
        <v>0</v>
      </c>
      <c r="V102" s="984">
        <v>0</v>
      </c>
      <c r="W102" s="984">
        <v>0</v>
      </c>
      <c r="X102" s="984">
        <v>0</v>
      </c>
      <c r="Y102" s="984">
        <v>0</v>
      </c>
      <c r="Z102" s="984">
        <v>0</v>
      </c>
      <c r="AA102" s="984">
        <v>0</v>
      </c>
      <c r="AB102" s="984">
        <v>0</v>
      </c>
      <c r="AC102" s="984">
        <v>0</v>
      </c>
      <c r="AD102" s="984">
        <v>0</v>
      </c>
      <c r="AE102" s="984">
        <v>0</v>
      </c>
      <c r="AF102" s="984">
        <v>0</v>
      </c>
      <c r="AG102" s="984">
        <v>0</v>
      </c>
      <c r="AH102" s="984">
        <v>0</v>
      </c>
      <c r="AI102" s="984">
        <v>0</v>
      </c>
      <c r="AJ102" s="984">
        <v>0</v>
      </c>
      <c r="AK102" s="984">
        <v>0</v>
      </c>
      <c r="AL102" s="984">
        <v>0</v>
      </c>
      <c r="AM102" s="984">
        <v>0</v>
      </c>
      <c r="AN102" s="1228">
        <v>0</v>
      </c>
      <c r="AO102" s="1228">
        <v>0</v>
      </c>
      <c r="AP102" s="1228">
        <v>0</v>
      </c>
      <c r="AQ102" s="1228">
        <v>0</v>
      </c>
      <c r="AR102" s="1228">
        <v>0</v>
      </c>
      <c r="AS102" s="1228">
        <v>0</v>
      </c>
      <c r="AT102" s="1228">
        <v>0</v>
      </c>
      <c r="AU102" s="1228">
        <v>0</v>
      </c>
      <c r="AV102" s="1228">
        <v>0</v>
      </c>
      <c r="AW102" s="1228">
        <v>0</v>
      </c>
      <c r="AX102" s="951"/>
      <c r="AY102" s="951"/>
      <c r="AZ102" s="951"/>
      <c r="BA102" s="1098"/>
    </row>
    <row r="103" spans="1:53" s="109" customFormat="1" ht="11.25">
      <c r="A103" s="982">
        <v>1</v>
      </c>
      <c r="B103" s="1098" t="s">
        <v>634</v>
      </c>
      <c r="C103" s="1098"/>
      <c r="D103" s="1098" t="s">
        <v>1485</v>
      </c>
      <c r="E103" s="1238"/>
      <c r="F103" s="1238"/>
      <c r="G103" s="1238"/>
      <c r="H103" s="1238"/>
      <c r="I103" s="1238"/>
      <c r="J103" s="1238"/>
      <c r="K103" s="1238"/>
      <c r="L103" s="1239" t="s">
        <v>120</v>
      </c>
      <c r="M103" s="1244" t="s">
        <v>634</v>
      </c>
      <c r="N103" s="1218" t="s">
        <v>351</v>
      </c>
      <c r="O103" s="1219">
        <v>0</v>
      </c>
      <c r="P103" s="1219">
        <v>0</v>
      </c>
      <c r="Q103" s="1219">
        <v>0</v>
      </c>
      <c r="R103" s="548">
        <v>0</v>
      </c>
      <c r="S103" s="1219">
        <v>0</v>
      </c>
      <c r="T103" s="1219">
        <v>0</v>
      </c>
      <c r="U103" s="1219">
        <v>0</v>
      </c>
      <c r="V103" s="1219">
        <v>0</v>
      </c>
      <c r="W103" s="1219">
        <v>0</v>
      </c>
      <c r="X103" s="1219">
        <v>0</v>
      </c>
      <c r="Y103" s="1219">
        <v>0</v>
      </c>
      <c r="Z103" s="1219">
        <v>0</v>
      </c>
      <c r="AA103" s="1219">
        <v>0</v>
      </c>
      <c r="AB103" s="1219">
        <v>0</v>
      </c>
      <c r="AC103" s="1219">
        <v>0</v>
      </c>
      <c r="AD103" s="1219">
        <v>0</v>
      </c>
      <c r="AE103" s="1219">
        <v>0</v>
      </c>
      <c r="AF103" s="1219">
        <v>0</v>
      </c>
      <c r="AG103" s="1219">
        <v>0</v>
      </c>
      <c r="AH103" s="1219">
        <v>0</v>
      </c>
      <c r="AI103" s="1219">
        <v>0</v>
      </c>
      <c r="AJ103" s="1219">
        <v>0</v>
      </c>
      <c r="AK103" s="1219">
        <v>0</v>
      </c>
      <c r="AL103" s="1219">
        <v>0</v>
      </c>
      <c r="AM103" s="1219">
        <v>0</v>
      </c>
      <c r="AN103" s="1219">
        <v>0</v>
      </c>
      <c r="AO103" s="1219">
        <v>0</v>
      </c>
      <c r="AP103" s="1219">
        <v>0</v>
      </c>
      <c r="AQ103" s="1219">
        <v>0</v>
      </c>
      <c r="AR103" s="1219">
        <v>0</v>
      </c>
      <c r="AS103" s="1219">
        <v>0</v>
      </c>
      <c r="AT103" s="1219">
        <v>0</v>
      </c>
      <c r="AU103" s="1219">
        <v>0</v>
      </c>
      <c r="AV103" s="1219">
        <v>0</v>
      </c>
      <c r="AW103" s="1219">
        <v>0</v>
      </c>
      <c r="AX103" s="951"/>
      <c r="AY103" s="951"/>
      <c r="AZ103" s="951"/>
      <c r="BA103" s="1238"/>
    </row>
    <row r="104" spans="1:53" ht="11.25">
      <c r="A104" s="982">
        <v>1</v>
      </c>
      <c r="B104" s="1098"/>
      <c r="C104" s="1098"/>
      <c r="D104" s="1098" t="s">
        <v>1502</v>
      </c>
      <c r="E104" s="1098"/>
      <c r="F104" s="1098"/>
      <c r="G104" s="1098"/>
      <c r="H104" s="1098"/>
      <c r="I104" s="1098"/>
      <c r="J104" s="1098"/>
      <c r="K104" s="1098"/>
      <c r="L104" s="1223" t="s">
        <v>122</v>
      </c>
      <c r="M104" s="1224" t="s">
        <v>635</v>
      </c>
      <c r="N104" s="1225" t="s">
        <v>351</v>
      </c>
      <c r="O104" s="1245">
        <v>0</v>
      </c>
      <c r="P104" s="1245">
        <v>0</v>
      </c>
      <c r="Q104" s="1245">
        <v>0</v>
      </c>
      <c r="R104" s="1228">
        <v>0</v>
      </c>
      <c r="S104" s="1245">
        <v>0</v>
      </c>
      <c r="T104" s="1245">
        <v>0</v>
      </c>
      <c r="U104" s="1245">
        <v>0</v>
      </c>
      <c r="V104" s="1245">
        <v>0</v>
      </c>
      <c r="W104" s="1245">
        <v>0</v>
      </c>
      <c r="X104" s="1245">
        <v>0</v>
      </c>
      <c r="Y104" s="1245">
        <v>0</v>
      </c>
      <c r="Z104" s="1245">
        <v>0</v>
      </c>
      <c r="AA104" s="1245">
        <v>0</v>
      </c>
      <c r="AB104" s="1245">
        <v>0</v>
      </c>
      <c r="AC104" s="1245">
        <v>0</v>
      </c>
      <c r="AD104" s="1245">
        <v>0</v>
      </c>
      <c r="AE104" s="1245">
        <v>0</v>
      </c>
      <c r="AF104" s="1245">
        <v>0</v>
      </c>
      <c r="AG104" s="1245">
        <v>0</v>
      </c>
      <c r="AH104" s="1245">
        <v>0</v>
      </c>
      <c r="AI104" s="1245">
        <v>0</v>
      </c>
      <c r="AJ104" s="1245">
        <v>0</v>
      </c>
      <c r="AK104" s="1245">
        <v>0</v>
      </c>
      <c r="AL104" s="1245">
        <v>0</v>
      </c>
      <c r="AM104" s="1245">
        <v>0</v>
      </c>
      <c r="AN104" s="1228">
        <v>0</v>
      </c>
      <c r="AO104" s="1228">
        <v>0</v>
      </c>
      <c r="AP104" s="1228">
        <v>0</v>
      </c>
      <c r="AQ104" s="1228">
        <v>0</v>
      </c>
      <c r="AR104" s="1228">
        <v>0</v>
      </c>
      <c r="AS104" s="1228">
        <v>0</v>
      </c>
      <c r="AT104" s="1228">
        <v>0</v>
      </c>
      <c r="AU104" s="1228">
        <v>0</v>
      </c>
      <c r="AV104" s="1228">
        <v>0</v>
      </c>
      <c r="AW104" s="1228">
        <v>0</v>
      </c>
      <c r="AX104" s="951"/>
      <c r="AY104" s="951"/>
      <c r="AZ104" s="951"/>
      <c r="BA104" s="1098"/>
    </row>
    <row r="105" spans="1:53" ht="11.25">
      <c r="A105" s="982">
        <v>1</v>
      </c>
      <c r="B105" s="1098"/>
      <c r="C105" s="1098"/>
      <c r="D105" s="1098" t="s">
        <v>1503</v>
      </c>
      <c r="E105" s="1098"/>
      <c r="F105" s="1098"/>
      <c r="G105" s="1098"/>
      <c r="H105" s="1098"/>
      <c r="I105" s="1098"/>
      <c r="J105" s="1098"/>
      <c r="K105" s="1098"/>
      <c r="L105" s="1223" t="s">
        <v>123</v>
      </c>
      <c r="M105" s="1224" t="s">
        <v>636</v>
      </c>
      <c r="N105" s="1225" t="s">
        <v>351</v>
      </c>
      <c r="O105" s="1245">
        <v>0</v>
      </c>
      <c r="P105" s="1245">
        <v>0</v>
      </c>
      <c r="Q105" s="1245">
        <v>0</v>
      </c>
      <c r="R105" s="1228">
        <v>0</v>
      </c>
      <c r="S105" s="1245">
        <v>0</v>
      </c>
      <c r="T105" s="1245">
        <v>0</v>
      </c>
      <c r="U105" s="1245">
        <v>0</v>
      </c>
      <c r="V105" s="1245">
        <v>0</v>
      </c>
      <c r="W105" s="1245">
        <v>0</v>
      </c>
      <c r="X105" s="1245">
        <v>0</v>
      </c>
      <c r="Y105" s="1245">
        <v>0</v>
      </c>
      <c r="Z105" s="1245">
        <v>0</v>
      </c>
      <c r="AA105" s="1245">
        <v>0</v>
      </c>
      <c r="AB105" s="1245">
        <v>0</v>
      </c>
      <c r="AC105" s="1245">
        <v>0</v>
      </c>
      <c r="AD105" s="1245">
        <v>0</v>
      </c>
      <c r="AE105" s="1245">
        <v>0</v>
      </c>
      <c r="AF105" s="1245">
        <v>0</v>
      </c>
      <c r="AG105" s="1245">
        <v>0</v>
      </c>
      <c r="AH105" s="1245">
        <v>0</v>
      </c>
      <c r="AI105" s="1245">
        <v>0</v>
      </c>
      <c r="AJ105" s="1245">
        <v>0</v>
      </c>
      <c r="AK105" s="1245">
        <v>0</v>
      </c>
      <c r="AL105" s="1245">
        <v>0</v>
      </c>
      <c r="AM105" s="1245">
        <v>0</v>
      </c>
      <c r="AN105" s="1228">
        <v>0</v>
      </c>
      <c r="AO105" s="1228">
        <v>0</v>
      </c>
      <c r="AP105" s="1228">
        <v>0</v>
      </c>
      <c r="AQ105" s="1228">
        <v>0</v>
      </c>
      <c r="AR105" s="1228">
        <v>0</v>
      </c>
      <c r="AS105" s="1228">
        <v>0</v>
      </c>
      <c r="AT105" s="1228">
        <v>0</v>
      </c>
      <c r="AU105" s="1228">
        <v>0</v>
      </c>
      <c r="AV105" s="1228">
        <v>0</v>
      </c>
      <c r="AW105" s="1228">
        <v>0</v>
      </c>
      <c r="AX105" s="951"/>
      <c r="AY105" s="951"/>
      <c r="AZ105" s="951"/>
      <c r="BA105" s="1098"/>
    </row>
    <row r="106" spans="1:53" ht="11.25">
      <c r="A106" s="982">
        <v>1</v>
      </c>
      <c r="B106" s="1098"/>
      <c r="C106" s="1098"/>
      <c r="D106" s="1098" t="s">
        <v>1543</v>
      </c>
      <c r="E106" s="1098"/>
      <c r="F106" s="1098"/>
      <c r="G106" s="1098"/>
      <c r="H106" s="1098"/>
      <c r="I106" s="1098"/>
      <c r="J106" s="1098"/>
      <c r="K106" s="1098"/>
      <c r="L106" s="1223" t="s">
        <v>377</v>
      </c>
      <c r="M106" s="1224" t="s">
        <v>637</v>
      </c>
      <c r="N106" s="1225" t="s">
        <v>351</v>
      </c>
      <c r="O106" s="1245">
        <v>0</v>
      </c>
      <c r="P106" s="1245">
        <v>0</v>
      </c>
      <c r="Q106" s="1245">
        <v>0</v>
      </c>
      <c r="R106" s="1228">
        <v>0</v>
      </c>
      <c r="S106" s="1245">
        <v>0</v>
      </c>
      <c r="T106" s="1245">
        <v>0</v>
      </c>
      <c r="U106" s="1245">
        <v>0</v>
      </c>
      <c r="V106" s="1245">
        <v>0</v>
      </c>
      <c r="W106" s="1245">
        <v>0</v>
      </c>
      <c r="X106" s="1245">
        <v>0</v>
      </c>
      <c r="Y106" s="1245">
        <v>0</v>
      </c>
      <c r="Z106" s="1245">
        <v>0</v>
      </c>
      <c r="AA106" s="1245">
        <v>0</v>
      </c>
      <c r="AB106" s="1245">
        <v>0</v>
      </c>
      <c r="AC106" s="1245">
        <v>0</v>
      </c>
      <c r="AD106" s="1245">
        <v>0</v>
      </c>
      <c r="AE106" s="1245">
        <v>0</v>
      </c>
      <c r="AF106" s="1245">
        <v>0</v>
      </c>
      <c r="AG106" s="1245">
        <v>0</v>
      </c>
      <c r="AH106" s="1245">
        <v>0</v>
      </c>
      <c r="AI106" s="1245">
        <v>0</v>
      </c>
      <c r="AJ106" s="1245">
        <v>0</v>
      </c>
      <c r="AK106" s="1245">
        <v>0</v>
      </c>
      <c r="AL106" s="1245">
        <v>0</v>
      </c>
      <c r="AM106" s="1245">
        <v>0</v>
      </c>
      <c r="AN106" s="1228">
        <v>0</v>
      </c>
      <c r="AO106" s="1228">
        <v>0</v>
      </c>
      <c r="AP106" s="1228">
        <v>0</v>
      </c>
      <c r="AQ106" s="1228">
        <v>0</v>
      </c>
      <c r="AR106" s="1228">
        <v>0</v>
      </c>
      <c r="AS106" s="1228">
        <v>0</v>
      </c>
      <c r="AT106" s="1228">
        <v>0</v>
      </c>
      <c r="AU106" s="1228">
        <v>0</v>
      </c>
      <c r="AV106" s="1228">
        <v>0</v>
      </c>
      <c r="AW106" s="1228">
        <v>0</v>
      </c>
      <c r="AX106" s="951"/>
      <c r="AY106" s="951"/>
      <c r="AZ106" s="951"/>
      <c r="BA106" s="1098"/>
    </row>
    <row r="107" spans="1:53" ht="22.5">
      <c r="A107" s="982">
        <v>1</v>
      </c>
      <c r="B107" s="1098" t="s">
        <v>1424</v>
      </c>
      <c r="C107" s="1098"/>
      <c r="D107" s="1098" t="s">
        <v>1560</v>
      </c>
      <c r="E107" s="1098"/>
      <c r="F107" s="1098"/>
      <c r="G107" s="1098"/>
      <c r="H107" s="1098"/>
      <c r="I107" s="1098"/>
      <c r="J107" s="1098"/>
      <c r="K107" s="1098"/>
      <c r="L107" s="1223" t="s">
        <v>378</v>
      </c>
      <c r="M107" s="1224" t="s">
        <v>638</v>
      </c>
      <c r="N107" s="1225" t="s">
        <v>351</v>
      </c>
      <c r="O107" s="984"/>
      <c r="P107" s="984"/>
      <c r="Q107" s="984"/>
      <c r="R107" s="1228">
        <v>0</v>
      </c>
      <c r="S107" s="984"/>
      <c r="T107" s="984"/>
      <c r="U107" s="984"/>
      <c r="V107" s="984"/>
      <c r="W107" s="984"/>
      <c r="X107" s="984"/>
      <c r="Y107" s="984"/>
      <c r="Z107" s="984"/>
      <c r="AA107" s="984"/>
      <c r="AB107" s="984"/>
      <c r="AC107" s="984"/>
      <c r="AD107" s="984"/>
      <c r="AE107" s="984"/>
      <c r="AF107" s="984"/>
      <c r="AG107" s="984"/>
      <c r="AH107" s="984"/>
      <c r="AI107" s="984"/>
      <c r="AJ107" s="984"/>
      <c r="AK107" s="984"/>
      <c r="AL107" s="984"/>
      <c r="AM107" s="984"/>
      <c r="AN107" s="1228">
        <v>0</v>
      </c>
      <c r="AO107" s="1228">
        <v>0</v>
      </c>
      <c r="AP107" s="1228">
        <v>0</v>
      </c>
      <c r="AQ107" s="1228">
        <v>0</v>
      </c>
      <c r="AR107" s="1228">
        <v>0</v>
      </c>
      <c r="AS107" s="1228">
        <v>0</v>
      </c>
      <c r="AT107" s="1228">
        <v>0</v>
      </c>
      <c r="AU107" s="1228">
        <v>0</v>
      </c>
      <c r="AV107" s="1228">
        <v>0</v>
      </c>
      <c r="AW107" s="1228">
        <v>0</v>
      </c>
      <c r="AX107" s="951"/>
      <c r="AY107" s="951"/>
      <c r="AZ107" s="951"/>
      <c r="BA107" s="1098"/>
    </row>
    <row r="108" spans="1:53" ht="11.25">
      <c r="A108" s="982">
        <v>1</v>
      </c>
      <c r="B108" s="1098" t="s">
        <v>639</v>
      </c>
      <c r="C108" s="1098"/>
      <c r="D108" s="1098" t="s">
        <v>1486</v>
      </c>
      <c r="E108" s="1098"/>
      <c r="F108" s="1098"/>
      <c r="G108" s="1098"/>
      <c r="H108" s="1098"/>
      <c r="I108" s="1098"/>
      <c r="J108" s="1098"/>
      <c r="K108" s="1098"/>
      <c r="L108" s="1223" t="s">
        <v>124</v>
      </c>
      <c r="M108" s="1246" t="s">
        <v>639</v>
      </c>
      <c r="N108" s="1225" t="s">
        <v>351</v>
      </c>
      <c r="O108" s="984"/>
      <c r="P108" s="984"/>
      <c r="Q108" s="984"/>
      <c r="R108" s="1228">
        <v>0</v>
      </c>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1228">
        <v>0</v>
      </c>
      <c r="AO108" s="1228">
        <v>0</v>
      </c>
      <c r="AP108" s="1228">
        <v>0</v>
      </c>
      <c r="AQ108" s="1228">
        <v>0</v>
      </c>
      <c r="AR108" s="1228">
        <v>0</v>
      </c>
      <c r="AS108" s="1228">
        <v>0</v>
      </c>
      <c r="AT108" s="1228">
        <v>0</v>
      </c>
      <c r="AU108" s="1228">
        <v>0</v>
      </c>
      <c r="AV108" s="1228">
        <v>0</v>
      </c>
      <c r="AW108" s="1228">
        <v>0</v>
      </c>
      <c r="AX108" s="951"/>
      <c r="AY108" s="951"/>
      <c r="AZ108" s="951"/>
      <c r="BA108" s="1098"/>
    </row>
    <row r="109" spans="1:53" s="109" customFormat="1" ht="11.25">
      <c r="A109" s="982">
        <v>1</v>
      </c>
      <c r="B109" s="1098" t="s">
        <v>1497</v>
      </c>
      <c r="C109" s="1098"/>
      <c r="D109" s="555" t="s">
        <v>1701</v>
      </c>
      <c r="E109" s="1238"/>
      <c r="F109" s="1238"/>
      <c r="G109" s="1238"/>
      <c r="H109" s="1238"/>
      <c r="I109" s="1238"/>
      <c r="J109" s="1238"/>
      <c r="K109" s="1238"/>
      <c r="L109" s="1239" t="s">
        <v>125</v>
      </c>
      <c r="M109" s="1247" t="s">
        <v>1612</v>
      </c>
      <c r="N109" s="1241" t="s">
        <v>351</v>
      </c>
      <c r="O109" s="1220"/>
      <c r="P109" s="1220"/>
      <c r="Q109" s="1220"/>
      <c r="R109" s="1219">
        <v>0</v>
      </c>
      <c r="S109" s="1220"/>
      <c r="T109" s="984">
        <v>0</v>
      </c>
      <c r="U109" s="1220"/>
      <c r="V109" s="1220"/>
      <c r="W109" s="1220"/>
      <c r="X109" s="1220"/>
      <c r="Y109" s="1220"/>
      <c r="Z109" s="1220"/>
      <c r="AA109" s="1220"/>
      <c r="AB109" s="1220"/>
      <c r="AC109" s="1220"/>
      <c r="AD109" s="984">
        <v>115.93000000000006</v>
      </c>
      <c r="AE109" s="1220">
        <v>130</v>
      </c>
      <c r="AF109" s="1220">
        <v>105</v>
      </c>
      <c r="AG109" s="1220">
        <v>80</v>
      </c>
      <c r="AH109" s="1220">
        <v>70</v>
      </c>
      <c r="AI109" s="1220"/>
      <c r="AJ109" s="1220"/>
      <c r="AK109" s="1220"/>
      <c r="AL109" s="1220"/>
      <c r="AM109" s="1220"/>
      <c r="AN109" s="1219">
        <v>0</v>
      </c>
      <c r="AO109" s="1219">
        <v>12.136634175795677</v>
      </c>
      <c r="AP109" s="1219">
        <v>-19.230769230769234</v>
      </c>
      <c r="AQ109" s="1219">
        <v>-23.809523809523807</v>
      </c>
      <c r="AR109" s="1219">
        <v>-12.5</v>
      </c>
      <c r="AS109" s="1219">
        <v>-100</v>
      </c>
      <c r="AT109" s="1219">
        <v>0</v>
      </c>
      <c r="AU109" s="1219">
        <v>0</v>
      </c>
      <c r="AV109" s="1219">
        <v>0</v>
      </c>
      <c r="AW109" s="1219">
        <v>0</v>
      </c>
      <c r="AX109" s="1230"/>
      <c r="AY109" s="1230"/>
      <c r="AZ109" s="1230"/>
      <c r="BA109" s="1238"/>
    </row>
    <row r="110" spans="1:53" ht="11.25">
      <c r="A110" s="982">
        <v>1</v>
      </c>
      <c r="B110" s="1098"/>
      <c r="C110" s="1098"/>
      <c r="D110" s="1098"/>
      <c r="E110" s="1098"/>
      <c r="F110" s="1098"/>
      <c r="G110" s="1098"/>
      <c r="H110" s="1098"/>
      <c r="I110" s="1098"/>
      <c r="J110" s="1098"/>
      <c r="K110" s="1098"/>
      <c r="L110" s="1223"/>
      <c r="M110" s="1246" t="s">
        <v>1700</v>
      </c>
      <c r="N110" s="1225"/>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559"/>
      <c r="AY110" s="559"/>
      <c r="AZ110" s="559"/>
      <c r="BA110" s="1098"/>
    </row>
    <row r="111" spans="1:53" ht="22.5">
      <c r="A111" s="982">
        <v>1</v>
      </c>
      <c r="B111" s="1098" t="s">
        <v>1483</v>
      </c>
      <c r="C111" s="1098"/>
      <c r="D111" s="1098" t="s">
        <v>1487</v>
      </c>
      <c r="E111" s="1098"/>
      <c r="F111" s="1098"/>
      <c r="G111" s="1098"/>
      <c r="H111" s="1098"/>
      <c r="I111" s="1098"/>
      <c r="J111" s="1098"/>
      <c r="K111" s="1098"/>
      <c r="L111" s="1223" t="s">
        <v>181</v>
      </c>
      <c r="M111" s="1224" t="s">
        <v>640</v>
      </c>
      <c r="N111" s="1225" t="s">
        <v>351</v>
      </c>
      <c r="O111" s="984"/>
      <c r="P111" s="984"/>
      <c r="Q111" s="984"/>
      <c r="R111" s="1228">
        <v>0</v>
      </c>
      <c r="S111" s="984"/>
      <c r="T111" s="984">
        <v>0</v>
      </c>
      <c r="U111" s="984"/>
      <c r="V111" s="984"/>
      <c r="W111" s="984"/>
      <c r="X111" s="984"/>
      <c r="Y111" s="984"/>
      <c r="Z111" s="984"/>
      <c r="AA111" s="984"/>
      <c r="AB111" s="984"/>
      <c r="AC111" s="984"/>
      <c r="AD111" s="984">
        <v>0</v>
      </c>
      <c r="AE111" s="984"/>
      <c r="AF111" s="984"/>
      <c r="AG111" s="984"/>
      <c r="AH111" s="984"/>
      <c r="AI111" s="984"/>
      <c r="AJ111" s="984"/>
      <c r="AK111" s="984"/>
      <c r="AL111" s="984"/>
      <c r="AM111" s="984"/>
      <c r="AN111" s="403"/>
      <c r="AO111" s="403"/>
      <c r="AP111" s="403"/>
      <c r="AQ111" s="403"/>
      <c r="AR111" s="403"/>
      <c r="AS111" s="403"/>
      <c r="AT111" s="403"/>
      <c r="AU111" s="403"/>
      <c r="AV111" s="403"/>
      <c r="AW111" s="403"/>
      <c r="AX111" s="951"/>
      <c r="AY111" s="951"/>
      <c r="AZ111" s="951"/>
      <c r="BA111" s="1098"/>
    </row>
    <row r="112" spans="1:53" ht="101.25">
      <c r="A112" s="982">
        <v>1</v>
      </c>
      <c r="B112" s="1098" t="s">
        <v>1484</v>
      </c>
      <c r="C112" s="1098"/>
      <c r="D112" s="1098" t="s">
        <v>1494</v>
      </c>
      <c r="E112" s="1098"/>
      <c r="F112" s="1098"/>
      <c r="G112" s="1098"/>
      <c r="H112" s="1098"/>
      <c r="I112" s="1098"/>
      <c r="J112" s="1098"/>
      <c r="K112" s="1098"/>
      <c r="L112" s="1223" t="s">
        <v>182</v>
      </c>
      <c r="M112" s="1224" t="s">
        <v>641</v>
      </c>
      <c r="N112" s="1225" t="s">
        <v>351</v>
      </c>
      <c r="O112" s="984"/>
      <c r="P112" s="984"/>
      <c r="Q112" s="984"/>
      <c r="R112" s="1228">
        <v>0</v>
      </c>
      <c r="S112" s="984"/>
      <c r="T112" s="984">
        <v>0</v>
      </c>
      <c r="U112" s="984"/>
      <c r="V112" s="984"/>
      <c r="W112" s="984"/>
      <c r="X112" s="984"/>
      <c r="Y112" s="984"/>
      <c r="Z112" s="984"/>
      <c r="AA112" s="984"/>
      <c r="AB112" s="984"/>
      <c r="AC112" s="984"/>
      <c r="AD112" s="984">
        <v>0</v>
      </c>
      <c r="AE112" s="984"/>
      <c r="AF112" s="984"/>
      <c r="AG112" s="984"/>
      <c r="AH112" s="984"/>
      <c r="AI112" s="984"/>
      <c r="AJ112" s="984"/>
      <c r="AK112" s="984"/>
      <c r="AL112" s="984"/>
      <c r="AM112" s="984"/>
      <c r="AN112" s="403"/>
      <c r="AO112" s="403"/>
      <c r="AP112" s="403"/>
      <c r="AQ112" s="403"/>
      <c r="AR112" s="403"/>
      <c r="AS112" s="403"/>
      <c r="AT112" s="403"/>
      <c r="AU112" s="403"/>
      <c r="AV112" s="403"/>
      <c r="AW112" s="403"/>
      <c r="AX112" s="951"/>
      <c r="AY112" s="951"/>
      <c r="AZ112" s="951"/>
      <c r="BA112" s="1098"/>
    </row>
    <row r="113" spans="1:53" ht="45">
      <c r="A113" s="982">
        <v>1</v>
      </c>
      <c r="B113" s="1098"/>
      <c r="C113" s="1098"/>
      <c r="D113" s="1098" t="s">
        <v>1495</v>
      </c>
      <c r="E113" s="1098"/>
      <c r="F113" s="1098"/>
      <c r="G113" s="1098"/>
      <c r="H113" s="1098"/>
      <c r="I113" s="1098"/>
      <c r="J113" s="1098"/>
      <c r="K113" s="1098"/>
      <c r="L113" s="1223" t="s">
        <v>385</v>
      </c>
      <c r="M113" s="1224" t="s">
        <v>1187</v>
      </c>
      <c r="N113" s="1225" t="s">
        <v>351</v>
      </c>
      <c r="O113" s="984"/>
      <c r="P113" s="984"/>
      <c r="Q113" s="984"/>
      <c r="R113" s="1228">
        <v>0</v>
      </c>
      <c r="S113" s="984"/>
      <c r="T113" s="984">
        <v>0</v>
      </c>
      <c r="U113" s="984"/>
      <c r="V113" s="984"/>
      <c r="W113" s="984"/>
      <c r="X113" s="984"/>
      <c r="Y113" s="984"/>
      <c r="Z113" s="984"/>
      <c r="AA113" s="984"/>
      <c r="AB113" s="984"/>
      <c r="AC113" s="984"/>
      <c r="AD113" s="984">
        <v>115.93000000000006</v>
      </c>
      <c r="AE113" s="984"/>
      <c r="AF113" s="984"/>
      <c r="AG113" s="984"/>
      <c r="AH113" s="984"/>
      <c r="AI113" s="984"/>
      <c r="AJ113" s="984"/>
      <c r="AK113" s="984"/>
      <c r="AL113" s="984"/>
      <c r="AM113" s="984"/>
      <c r="AN113" s="403"/>
      <c r="AO113" s="403"/>
      <c r="AP113" s="403"/>
      <c r="AQ113" s="403"/>
      <c r="AR113" s="403"/>
      <c r="AS113" s="403"/>
      <c r="AT113" s="403"/>
      <c r="AU113" s="403"/>
      <c r="AV113" s="403"/>
      <c r="AW113" s="403"/>
      <c r="AX113" s="951"/>
      <c r="AY113" s="951"/>
      <c r="AZ113" s="951"/>
      <c r="BA113" s="1098"/>
    </row>
    <row r="114" spans="1:53" ht="90">
      <c r="A114" s="982">
        <v>1</v>
      </c>
      <c r="B114" s="1098" t="s">
        <v>1485</v>
      </c>
      <c r="C114" s="1200" t="b">
        <v>0</v>
      </c>
      <c r="D114" s="1098" t="s">
        <v>1498</v>
      </c>
      <c r="E114" s="1098"/>
      <c r="F114" s="1098"/>
      <c r="G114" s="1098"/>
      <c r="H114" s="1098"/>
      <c r="I114" s="1098"/>
      <c r="J114" s="1098"/>
      <c r="K114" s="1098"/>
      <c r="L114" s="1223" t="s">
        <v>386</v>
      </c>
      <c r="M114" s="1248" t="s">
        <v>1478</v>
      </c>
      <c r="N114" s="1234" t="s">
        <v>351</v>
      </c>
      <c r="O114" s="984"/>
      <c r="P114" s="984"/>
      <c r="Q114" s="984"/>
      <c r="R114" s="1228">
        <v>0</v>
      </c>
      <c r="S114" s="984"/>
      <c r="T114" s="984">
        <v>0</v>
      </c>
      <c r="U114" s="984"/>
      <c r="V114" s="984"/>
      <c r="W114" s="984"/>
      <c r="X114" s="984"/>
      <c r="Y114" s="984"/>
      <c r="Z114" s="984"/>
      <c r="AA114" s="984"/>
      <c r="AB114" s="984"/>
      <c r="AC114" s="984"/>
      <c r="AD114" s="984">
        <v>0</v>
      </c>
      <c r="AE114" s="984"/>
      <c r="AF114" s="984"/>
      <c r="AG114" s="984"/>
      <c r="AH114" s="984"/>
      <c r="AI114" s="984"/>
      <c r="AJ114" s="984"/>
      <c r="AK114" s="984"/>
      <c r="AL114" s="984"/>
      <c r="AM114" s="984"/>
      <c r="AN114" s="403"/>
      <c r="AO114" s="403"/>
      <c r="AP114" s="403"/>
      <c r="AQ114" s="403"/>
      <c r="AR114" s="403"/>
      <c r="AS114" s="403"/>
      <c r="AT114" s="403"/>
      <c r="AU114" s="403"/>
      <c r="AV114" s="403"/>
      <c r="AW114" s="403"/>
      <c r="AX114" s="951"/>
      <c r="AY114" s="951"/>
      <c r="AZ114" s="951"/>
      <c r="BA114" s="1098"/>
    </row>
    <row r="115" spans="1:53" ht="56.25">
      <c r="A115" s="982">
        <v>1</v>
      </c>
      <c r="B115" s="1098" t="s">
        <v>1486</v>
      </c>
      <c r="C115" s="1200" t="b">
        <v>0</v>
      </c>
      <c r="D115" s="1098" t="s">
        <v>1623</v>
      </c>
      <c r="E115" s="1098"/>
      <c r="F115" s="1098"/>
      <c r="G115" s="1098"/>
      <c r="H115" s="1098"/>
      <c r="I115" s="1098"/>
      <c r="J115" s="1098"/>
      <c r="K115" s="1098"/>
      <c r="L115" s="1223" t="s">
        <v>387</v>
      </c>
      <c r="M115" s="1224" t="s">
        <v>1479</v>
      </c>
      <c r="N115" s="1234" t="s">
        <v>351</v>
      </c>
      <c r="O115" s="984"/>
      <c r="P115" s="984"/>
      <c r="Q115" s="984"/>
      <c r="R115" s="1228">
        <v>0</v>
      </c>
      <c r="S115" s="984"/>
      <c r="T115" s="984">
        <v>0</v>
      </c>
      <c r="U115" s="984"/>
      <c r="V115" s="984"/>
      <c r="W115" s="984"/>
      <c r="X115" s="984"/>
      <c r="Y115" s="984"/>
      <c r="Z115" s="984"/>
      <c r="AA115" s="984"/>
      <c r="AB115" s="984"/>
      <c r="AC115" s="984"/>
      <c r="AD115" s="984">
        <v>0</v>
      </c>
      <c r="AE115" s="984"/>
      <c r="AF115" s="984"/>
      <c r="AG115" s="984"/>
      <c r="AH115" s="984"/>
      <c r="AI115" s="984"/>
      <c r="AJ115" s="984"/>
      <c r="AK115" s="984"/>
      <c r="AL115" s="984"/>
      <c r="AM115" s="984"/>
      <c r="AN115" s="403"/>
      <c r="AO115" s="403"/>
      <c r="AP115" s="403"/>
      <c r="AQ115" s="403"/>
      <c r="AR115" s="403"/>
      <c r="AS115" s="403"/>
      <c r="AT115" s="403"/>
      <c r="AU115" s="403"/>
      <c r="AV115" s="403"/>
      <c r="AW115" s="403"/>
      <c r="AX115" s="951"/>
      <c r="AY115" s="951"/>
      <c r="AZ115" s="951"/>
      <c r="BA115" s="1098"/>
    </row>
    <row r="116" spans="1:53" ht="11.25">
      <c r="A116" s="982">
        <v>1</v>
      </c>
      <c r="B116" s="1098" t="s">
        <v>1487</v>
      </c>
      <c r="C116" s="1098"/>
      <c r="D116" s="1098" t="s">
        <v>1624</v>
      </c>
      <c r="E116" s="1098"/>
      <c r="F116" s="1098"/>
      <c r="G116" s="1098"/>
      <c r="H116" s="1098"/>
      <c r="I116" s="1098"/>
      <c r="J116" s="1098"/>
      <c r="K116" s="1098"/>
      <c r="L116" s="1223" t="s">
        <v>1702</v>
      </c>
      <c r="M116" s="1224" t="s">
        <v>644</v>
      </c>
      <c r="N116" s="1225" t="s">
        <v>351</v>
      </c>
      <c r="O116" s="984"/>
      <c r="P116" s="984"/>
      <c r="Q116" s="984"/>
      <c r="R116" s="1228">
        <v>0</v>
      </c>
      <c r="S116" s="984"/>
      <c r="T116" s="984">
        <v>0</v>
      </c>
      <c r="U116" s="984"/>
      <c r="V116" s="984"/>
      <c r="W116" s="984"/>
      <c r="X116" s="984"/>
      <c r="Y116" s="984"/>
      <c r="Z116" s="984"/>
      <c r="AA116" s="984"/>
      <c r="AB116" s="984"/>
      <c r="AC116" s="984"/>
      <c r="AD116" s="984">
        <v>0</v>
      </c>
      <c r="AE116" s="984"/>
      <c r="AF116" s="984"/>
      <c r="AG116" s="984"/>
      <c r="AH116" s="984"/>
      <c r="AI116" s="984"/>
      <c r="AJ116" s="984"/>
      <c r="AK116" s="984"/>
      <c r="AL116" s="984"/>
      <c r="AM116" s="984"/>
      <c r="AN116" s="403"/>
      <c r="AO116" s="403"/>
      <c r="AP116" s="403"/>
      <c r="AQ116" s="403"/>
      <c r="AR116" s="403"/>
      <c r="AS116" s="403"/>
      <c r="AT116" s="403"/>
      <c r="AU116" s="403"/>
      <c r="AV116" s="403"/>
      <c r="AW116" s="403"/>
      <c r="AX116" s="951"/>
      <c r="AY116" s="951"/>
      <c r="AZ116" s="951"/>
      <c r="BA116" s="1098"/>
    </row>
    <row r="117" spans="1:53" ht="11.25">
      <c r="A117" s="982">
        <v>1</v>
      </c>
      <c r="B117" s="1098" t="s">
        <v>1494</v>
      </c>
      <c r="C117" s="1098"/>
      <c r="D117" s="1098" t="s">
        <v>1625</v>
      </c>
      <c r="E117" s="1098"/>
      <c r="F117" s="1098"/>
      <c r="G117" s="1098"/>
      <c r="H117" s="1098"/>
      <c r="I117" s="1098"/>
      <c r="J117" s="1098"/>
      <c r="K117" s="1098"/>
      <c r="L117" s="1223" t="s">
        <v>1703</v>
      </c>
      <c r="M117" s="1224" t="s">
        <v>645</v>
      </c>
      <c r="N117" s="1225" t="s">
        <v>351</v>
      </c>
      <c r="O117" s="984">
        <v>0</v>
      </c>
      <c r="P117" s="984">
        <v>0</v>
      </c>
      <c r="Q117" s="984">
        <v>0</v>
      </c>
      <c r="R117" s="1228">
        <v>0</v>
      </c>
      <c r="S117" s="984">
        <v>0</v>
      </c>
      <c r="T117" s="984">
        <v>0</v>
      </c>
      <c r="U117" s="984">
        <v>0</v>
      </c>
      <c r="V117" s="984">
        <v>0</v>
      </c>
      <c r="W117" s="984">
        <v>0</v>
      </c>
      <c r="X117" s="984">
        <v>0</v>
      </c>
      <c r="Y117" s="984">
        <v>0</v>
      </c>
      <c r="Z117" s="984">
        <v>0</v>
      </c>
      <c r="AA117" s="984">
        <v>0</v>
      </c>
      <c r="AB117" s="984">
        <v>0</v>
      </c>
      <c r="AC117" s="984">
        <v>0</v>
      </c>
      <c r="AD117" s="984">
        <v>0</v>
      </c>
      <c r="AE117" s="984">
        <v>0</v>
      </c>
      <c r="AF117" s="984">
        <v>0</v>
      </c>
      <c r="AG117" s="984">
        <v>0</v>
      </c>
      <c r="AH117" s="984">
        <v>0</v>
      </c>
      <c r="AI117" s="984">
        <v>0</v>
      </c>
      <c r="AJ117" s="984">
        <v>0</v>
      </c>
      <c r="AK117" s="984">
        <v>0</v>
      </c>
      <c r="AL117" s="984">
        <v>0</v>
      </c>
      <c r="AM117" s="984">
        <v>0</v>
      </c>
      <c r="AN117" s="1228">
        <v>0</v>
      </c>
      <c r="AO117" s="1228">
        <v>0</v>
      </c>
      <c r="AP117" s="1228">
        <v>0</v>
      </c>
      <c r="AQ117" s="1228">
        <v>0</v>
      </c>
      <c r="AR117" s="1228">
        <v>0</v>
      </c>
      <c r="AS117" s="1228">
        <v>0</v>
      </c>
      <c r="AT117" s="1228">
        <v>0</v>
      </c>
      <c r="AU117" s="1228">
        <v>0</v>
      </c>
      <c r="AV117" s="1228">
        <v>0</v>
      </c>
      <c r="AW117" s="1228">
        <v>0</v>
      </c>
      <c r="AX117" s="951"/>
      <c r="AY117" s="951"/>
      <c r="AZ117" s="951"/>
      <c r="BA117" s="1098"/>
    </row>
    <row r="118" spans="1:53" ht="22.5">
      <c r="A118" s="982">
        <v>1</v>
      </c>
      <c r="B118" s="1098" t="s">
        <v>1504</v>
      </c>
      <c r="C118" s="1098"/>
      <c r="D118" s="1098" t="s">
        <v>1686</v>
      </c>
      <c r="E118" s="1098"/>
      <c r="F118" s="1098"/>
      <c r="G118" s="1098"/>
      <c r="H118" s="1098"/>
      <c r="I118" s="1098"/>
      <c r="J118" s="1098"/>
      <c r="K118" s="1098"/>
      <c r="L118" s="1223" t="s">
        <v>1704</v>
      </c>
      <c r="M118" s="1237" t="s">
        <v>646</v>
      </c>
      <c r="N118" s="1225" t="s">
        <v>351</v>
      </c>
      <c r="O118" s="984"/>
      <c r="P118" s="984"/>
      <c r="Q118" s="984"/>
      <c r="R118" s="1228">
        <v>0</v>
      </c>
      <c r="S118" s="984"/>
      <c r="T118" s="984">
        <v>0</v>
      </c>
      <c r="U118" s="984"/>
      <c r="V118" s="984"/>
      <c r="W118" s="984"/>
      <c r="X118" s="984"/>
      <c r="Y118" s="984"/>
      <c r="Z118" s="984"/>
      <c r="AA118" s="984"/>
      <c r="AB118" s="984"/>
      <c r="AC118" s="984"/>
      <c r="AD118" s="984">
        <v>0</v>
      </c>
      <c r="AE118" s="984"/>
      <c r="AF118" s="984"/>
      <c r="AG118" s="984"/>
      <c r="AH118" s="984"/>
      <c r="AI118" s="984"/>
      <c r="AJ118" s="984"/>
      <c r="AK118" s="984"/>
      <c r="AL118" s="984"/>
      <c r="AM118" s="984"/>
      <c r="AN118" s="403"/>
      <c r="AO118" s="403"/>
      <c r="AP118" s="403"/>
      <c r="AQ118" s="403"/>
      <c r="AR118" s="403"/>
      <c r="AS118" s="403"/>
      <c r="AT118" s="403"/>
      <c r="AU118" s="403"/>
      <c r="AV118" s="403"/>
      <c r="AW118" s="403"/>
      <c r="AX118" s="951"/>
      <c r="AY118" s="951"/>
      <c r="AZ118" s="951"/>
      <c r="BA118" s="1098"/>
    </row>
    <row r="119" spans="1:53" ht="22.5">
      <c r="A119" s="982">
        <v>1</v>
      </c>
      <c r="B119" s="1098" t="s">
        <v>1505</v>
      </c>
      <c r="C119" s="1098"/>
      <c r="D119" s="1098" t="s">
        <v>1687</v>
      </c>
      <c r="E119" s="1098"/>
      <c r="F119" s="1098"/>
      <c r="G119" s="1098"/>
      <c r="H119" s="1098"/>
      <c r="I119" s="1098"/>
      <c r="J119" s="1098"/>
      <c r="K119" s="1098"/>
      <c r="L119" s="1223" t="s">
        <v>1705</v>
      </c>
      <c r="M119" s="1231" t="s">
        <v>647</v>
      </c>
      <c r="N119" s="1225" t="s">
        <v>351</v>
      </c>
      <c r="O119" s="984"/>
      <c r="P119" s="984"/>
      <c r="Q119" s="984"/>
      <c r="R119" s="1228">
        <v>0</v>
      </c>
      <c r="S119" s="984"/>
      <c r="T119" s="984">
        <v>0</v>
      </c>
      <c r="U119" s="984"/>
      <c r="V119" s="984"/>
      <c r="W119" s="984"/>
      <c r="X119" s="984"/>
      <c r="Y119" s="984"/>
      <c r="Z119" s="984"/>
      <c r="AA119" s="984"/>
      <c r="AB119" s="984"/>
      <c r="AC119" s="984"/>
      <c r="AD119" s="984">
        <v>0</v>
      </c>
      <c r="AE119" s="984"/>
      <c r="AF119" s="984"/>
      <c r="AG119" s="984"/>
      <c r="AH119" s="984"/>
      <c r="AI119" s="984"/>
      <c r="AJ119" s="984"/>
      <c r="AK119" s="984"/>
      <c r="AL119" s="984"/>
      <c r="AM119" s="984"/>
      <c r="AN119" s="403"/>
      <c r="AO119" s="403"/>
      <c r="AP119" s="403"/>
      <c r="AQ119" s="403"/>
      <c r="AR119" s="403"/>
      <c r="AS119" s="403"/>
      <c r="AT119" s="403"/>
      <c r="AU119" s="403"/>
      <c r="AV119" s="403"/>
      <c r="AW119" s="403"/>
      <c r="AX119" s="951"/>
      <c r="AY119" s="951"/>
      <c r="AZ119" s="951"/>
      <c r="BA119" s="1098"/>
    </row>
    <row r="120" spans="1:53" ht="11.25">
      <c r="A120" s="982">
        <v>1</v>
      </c>
      <c r="B120" s="1098" t="s">
        <v>1495</v>
      </c>
      <c r="C120" s="1098"/>
      <c r="D120" s="1098" t="s">
        <v>1626</v>
      </c>
      <c r="E120" s="1098"/>
      <c r="F120" s="1098"/>
      <c r="G120" s="1098"/>
      <c r="H120" s="1098"/>
      <c r="I120" s="1098"/>
      <c r="J120" s="1098"/>
      <c r="K120" s="1098"/>
      <c r="L120" s="1223" t="s">
        <v>1706</v>
      </c>
      <c r="M120" s="1224" t="s">
        <v>648</v>
      </c>
      <c r="N120" s="1225" t="s">
        <v>351</v>
      </c>
      <c r="O120" s="984"/>
      <c r="P120" s="984"/>
      <c r="Q120" s="984"/>
      <c r="R120" s="1228">
        <v>0</v>
      </c>
      <c r="S120" s="984"/>
      <c r="T120" s="984">
        <v>0</v>
      </c>
      <c r="U120" s="984"/>
      <c r="V120" s="984"/>
      <c r="W120" s="984"/>
      <c r="X120" s="984"/>
      <c r="Y120" s="984"/>
      <c r="Z120" s="984"/>
      <c r="AA120" s="984"/>
      <c r="AB120" s="984"/>
      <c r="AC120" s="984"/>
      <c r="AD120" s="984">
        <v>0</v>
      </c>
      <c r="AE120" s="984"/>
      <c r="AF120" s="984"/>
      <c r="AG120" s="984"/>
      <c r="AH120" s="984"/>
      <c r="AI120" s="984"/>
      <c r="AJ120" s="984"/>
      <c r="AK120" s="984"/>
      <c r="AL120" s="984"/>
      <c r="AM120" s="984"/>
      <c r="AN120" s="403"/>
      <c r="AO120" s="403"/>
      <c r="AP120" s="403"/>
      <c r="AQ120" s="403"/>
      <c r="AR120" s="403"/>
      <c r="AS120" s="403"/>
      <c r="AT120" s="403"/>
      <c r="AU120" s="403"/>
      <c r="AV120" s="403"/>
      <c r="AW120" s="403"/>
      <c r="AX120" s="951"/>
      <c r="AY120" s="951"/>
      <c r="AZ120" s="951"/>
      <c r="BA120" s="1098"/>
    </row>
    <row r="121" spans="1:53" ht="11.25">
      <c r="A121" s="982">
        <v>1</v>
      </c>
      <c r="B121" s="1098" t="s">
        <v>1496</v>
      </c>
      <c r="C121" s="1098"/>
      <c r="D121" s="1098" t="s">
        <v>1627</v>
      </c>
      <c r="E121" s="1098"/>
      <c r="F121" s="1098"/>
      <c r="G121" s="1098"/>
      <c r="H121" s="1098"/>
      <c r="I121" s="1098"/>
      <c r="J121" s="1098"/>
      <c r="K121" s="1098"/>
      <c r="L121" s="1223" t="s">
        <v>1707</v>
      </c>
      <c r="M121" s="1224" t="s">
        <v>649</v>
      </c>
      <c r="N121" s="1225" t="s">
        <v>351</v>
      </c>
      <c r="O121" s="984"/>
      <c r="P121" s="984"/>
      <c r="Q121" s="984"/>
      <c r="R121" s="1228">
        <v>0</v>
      </c>
      <c r="S121" s="984"/>
      <c r="T121" s="984">
        <v>0</v>
      </c>
      <c r="U121" s="984"/>
      <c r="V121" s="984"/>
      <c r="W121" s="984"/>
      <c r="X121" s="984"/>
      <c r="Y121" s="984"/>
      <c r="Z121" s="984"/>
      <c r="AA121" s="984"/>
      <c r="AB121" s="984"/>
      <c r="AC121" s="984"/>
      <c r="AD121" s="984">
        <v>0</v>
      </c>
      <c r="AE121" s="984"/>
      <c r="AF121" s="984"/>
      <c r="AG121" s="984"/>
      <c r="AH121" s="984"/>
      <c r="AI121" s="984"/>
      <c r="AJ121" s="984"/>
      <c r="AK121" s="984"/>
      <c r="AL121" s="984"/>
      <c r="AM121" s="984"/>
      <c r="AN121" s="403"/>
      <c r="AO121" s="403"/>
      <c r="AP121" s="403"/>
      <c r="AQ121" s="403"/>
      <c r="AR121" s="403"/>
      <c r="AS121" s="403"/>
      <c r="AT121" s="403"/>
      <c r="AU121" s="403"/>
      <c r="AV121" s="403"/>
      <c r="AW121" s="403"/>
      <c r="AX121" s="951"/>
      <c r="AY121" s="951"/>
      <c r="AZ121" s="951"/>
      <c r="BA121" s="1098"/>
    </row>
    <row r="122" spans="1:53" s="109" customFormat="1" ht="11.25">
      <c r="A122" s="982">
        <v>1</v>
      </c>
      <c r="B122" s="1238"/>
      <c r="C122" s="1238"/>
      <c r="D122" s="1238" t="s">
        <v>1496</v>
      </c>
      <c r="E122" s="1238"/>
      <c r="F122" s="1238"/>
      <c r="G122" s="1238"/>
      <c r="H122" s="1238"/>
      <c r="I122" s="1238"/>
      <c r="J122" s="1238"/>
      <c r="K122" s="1238"/>
      <c r="L122" s="1239" t="s">
        <v>126</v>
      </c>
      <c r="M122" s="1244" t="s">
        <v>642</v>
      </c>
      <c r="N122" s="1241" t="s">
        <v>351</v>
      </c>
      <c r="O122" s="1220"/>
      <c r="P122" s="1220"/>
      <c r="Q122" s="1220"/>
      <c r="R122" s="1219">
        <v>0</v>
      </c>
      <c r="S122" s="1220"/>
      <c r="T122" s="1220"/>
      <c r="U122" s="1220"/>
      <c r="V122" s="1220"/>
      <c r="W122" s="1220"/>
      <c r="X122" s="1220"/>
      <c r="Y122" s="1220"/>
      <c r="Z122" s="1220"/>
      <c r="AA122" s="1220"/>
      <c r="AB122" s="1220"/>
      <c r="AC122" s="1220"/>
      <c r="AD122" s="1220"/>
      <c r="AE122" s="1220"/>
      <c r="AF122" s="1220"/>
      <c r="AG122" s="1220"/>
      <c r="AH122" s="1220"/>
      <c r="AI122" s="1220"/>
      <c r="AJ122" s="1220"/>
      <c r="AK122" s="1220"/>
      <c r="AL122" s="1220"/>
      <c r="AM122" s="1220"/>
      <c r="AN122" s="548"/>
      <c r="AO122" s="548"/>
      <c r="AP122" s="548"/>
      <c r="AQ122" s="548"/>
      <c r="AR122" s="548"/>
      <c r="AS122" s="548"/>
      <c r="AT122" s="548"/>
      <c r="AU122" s="548"/>
      <c r="AV122" s="548"/>
      <c r="AW122" s="548"/>
      <c r="AX122" s="1230"/>
      <c r="AY122" s="1230"/>
      <c r="AZ122" s="1230"/>
      <c r="BA122" s="1238"/>
    </row>
    <row r="123" spans="1:53" ht="11.25">
      <c r="A123" s="982">
        <v>1</v>
      </c>
      <c r="B123" s="1098"/>
      <c r="C123" s="1098"/>
      <c r="D123" s="1098" t="s">
        <v>1508</v>
      </c>
      <c r="E123" s="1098"/>
      <c r="F123" s="1098"/>
      <c r="G123" s="1098"/>
      <c r="H123" s="1098"/>
      <c r="I123" s="1098"/>
      <c r="J123" s="1098"/>
      <c r="K123" s="1098"/>
      <c r="L123" s="1223" t="s">
        <v>141</v>
      </c>
      <c r="M123" s="1224" t="s">
        <v>1197</v>
      </c>
      <c r="N123" s="1225" t="s">
        <v>137</v>
      </c>
      <c r="O123" s="403">
        <v>0</v>
      </c>
      <c r="P123" s="403">
        <v>0</v>
      </c>
      <c r="Q123" s="403">
        <v>0</v>
      </c>
      <c r="R123" s="1228">
        <v>0</v>
      </c>
      <c r="S123" s="403">
        <v>0</v>
      </c>
      <c r="T123" s="403">
        <v>0</v>
      </c>
      <c r="U123" s="403">
        <v>0</v>
      </c>
      <c r="V123" s="403">
        <v>0</v>
      </c>
      <c r="W123" s="403">
        <v>0</v>
      </c>
      <c r="X123" s="403">
        <v>0</v>
      </c>
      <c r="Y123" s="403">
        <v>0</v>
      </c>
      <c r="Z123" s="403">
        <v>0</v>
      </c>
      <c r="AA123" s="403">
        <v>0</v>
      </c>
      <c r="AB123" s="403">
        <v>0</v>
      </c>
      <c r="AC123" s="403">
        <v>0</v>
      </c>
      <c r="AD123" s="403">
        <v>0</v>
      </c>
      <c r="AE123" s="403">
        <v>0</v>
      </c>
      <c r="AF123" s="403">
        <v>0</v>
      </c>
      <c r="AG123" s="403">
        <v>0</v>
      </c>
      <c r="AH123" s="403">
        <v>0</v>
      </c>
      <c r="AI123" s="403">
        <v>0</v>
      </c>
      <c r="AJ123" s="403">
        <v>0</v>
      </c>
      <c r="AK123" s="403">
        <v>0</v>
      </c>
      <c r="AL123" s="403">
        <v>0</v>
      </c>
      <c r="AM123" s="403">
        <v>0</v>
      </c>
      <c r="AN123" s="403"/>
      <c r="AO123" s="403"/>
      <c r="AP123" s="403"/>
      <c r="AQ123" s="403"/>
      <c r="AR123" s="403"/>
      <c r="AS123" s="403"/>
      <c r="AT123" s="403"/>
      <c r="AU123" s="403"/>
      <c r="AV123" s="403"/>
      <c r="AW123" s="403"/>
      <c r="AX123" s="951"/>
      <c r="AY123" s="951"/>
      <c r="AZ123" s="951"/>
      <c r="BA123" s="1098"/>
    </row>
    <row r="124" spans="1:53" s="109" customFormat="1" ht="11.25">
      <c r="A124" s="982">
        <v>1</v>
      </c>
      <c r="B124" s="1238"/>
      <c r="C124" s="1098"/>
      <c r="D124" s="1098" t="s">
        <v>1497</v>
      </c>
      <c r="E124" s="1238"/>
      <c r="F124" s="1238"/>
      <c r="G124" s="1238"/>
      <c r="H124" s="1238"/>
      <c r="I124" s="1238"/>
      <c r="J124" s="1238"/>
      <c r="K124" s="1238"/>
      <c r="L124" s="1239" t="s">
        <v>127</v>
      </c>
      <c r="M124" s="1244" t="s">
        <v>643</v>
      </c>
      <c r="N124" s="1218" t="s">
        <v>351</v>
      </c>
      <c r="O124" s="1249">
        <v>1401.69</v>
      </c>
      <c r="P124" s="1219">
        <v>1176.96</v>
      </c>
      <c r="Q124" s="1219">
        <v>1245.2339999999999</v>
      </c>
      <c r="R124" s="1219">
        <v>68.273999999999887</v>
      </c>
      <c r="S124" s="1219">
        <v>1543.4499999999998</v>
      </c>
      <c r="T124" s="1219">
        <v>1678.576</v>
      </c>
      <c r="U124" s="1219">
        <v>1806.828</v>
      </c>
      <c r="V124" s="1219">
        <v>1837.328</v>
      </c>
      <c r="W124" s="1219">
        <v>1907.828</v>
      </c>
      <c r="X124" s="1219">
        <v>1958.328</v>
      </c>
      <c r="Y124" s="1219">
        <v>1146.828</v>
      </c>
      <c r="Z124" s="1219">
        <v>1146.828</v>
      </c>
      <c r="AA124" s="1219">
        <v>1146.828</v>
      </c>
      <c r="AB124" s="1219">
        <v>1146.828</v>
      </c>
      <c r="AC124" s="1219">
        <v>1146.828</v>
      </c>
      <c r="AD124" s="1219">
        <v>1463.1264000000001</v>
      </c>
      <c r="AE124" s="1219">
        <v>1513.42</v>
      </c>
      <c r="AF124" s="1219">
        <v>1563.57</v>
      </c>
      <c r="AG124" s="1219">
        <v>1615.4299999999998</v>
      </c>
      <c r="AH124" s="1219">
        <v>1669.0700000000002</v>
      </c>
      <c r="AI124" s="1219">
        <v>1048.6600000000001</v>
      </c>
      <c r="AJ124" s="1219">
        <v>1048.6600000000001</v>
      </c>
      <c r="AK124" s="1219">
        <v>1048.6600000000001</v>
      </c>
      <c r="AL124" s="1219">
        <v>1048.6600000000001</v>
      </c>
      <c r="AM124" s="1219">
        <v>1048.6600000000001</v>
      </c>
      <c r="AN124" s="1219">
        <v>-5.2041595127797935</v>
      </c>
      <c r="AO124" s="1219">
        <v>3.4374063648909594</v>
      </c>
      <c r="AP124" s="1219">
        <v>3.3136868813680178</v>
      </c>
      <c r="AQ124" s="1219">
        <v>3.3167686768101139</v>
      </c>
      <c r="AR124" s="1219">
        <v>3.3204781389475455</v>
      </c>
      <c r="AS124" s="1219">
        <v>-37.170999418838036</v>
      </c>
      <c r="AT124" s="1219">
        <v>0</v>
      </c>
      <c r="AU124" s="1219">
        <v>0</v>
      </c>
      <c r="AV124" s="1219">
        <v>0</v>
      </c>
      <c r="AW124" s="1219">
        <v>0</v>
      </c>
      <c r="AX124" s="951"/>
      <c r="AY124" s="951"/>
      <c r="AZ124" s="951"/>
      <c r="BA124" s="1238"/>
    </row>
    <row r="125" spans="1:53" s="109" customFormat="1" ht="11.25">
      <c r="A125" s="982">
        <v>1</v>
      </c>
      <c r="B125" s="1238"/>
      <c r="C125" s="1098"/>
      <c r="D125" s="1098" t="s">
        <v>1628</v>
      </c>
      <c r="E125" s="1238"/>
      <c r="F125" s="1238"/>
      <c r="G125" s="1238"/>
      <c r="H125" s="1238"/>
      <c r="I125" s="1238"/>
      <c r="J125" s="1238"/>
      <c r="K125" s="1238"/>
      <c r="L125" s="1239" t="s">
        <v>128</v>
      </c>
      <c r="M125" s="1244" t="s">
        <v>650</v>
      </c>
      <c r="N125" s="1241" t="s">
        <v>351</v>
      </c>
      <c r="O125" s="1249">
        <v>1401.69</v>
      </c>
      <c r="P125" s="1219">
        <v>1176.96</v>
      </c>
      <c r="Q125" s="1219">
        <v>1245.2339999999999</v>
      </c>
      <c r="R125" s="1219">
        <v>68.273999999999887</v>
      </c>
      <c r="S125" s="1219">
        <v>1543.4499999999998</v>
      </c>
      <c r="T125" s="1219">
        <v>1678.576</v>
      </c>
      <c r="U125" s="1219">
        <v>1806.828</v>
      </c>
      <c r="V125" s="1219">
        <v>1837.328</v>
      </c>
      <c r="W125" s="1219">
        <v>1907.828</v>
      </c>
      <c r="X125" s="1219">
        <v>1958.328</v>
      </c>
      <c r="Y125" s="1219">
        <v>1146.828</v>
      </c>
      <c r="Z125" s="1219">
        <v>1146.828</v>
      </c>
      <c r="AA125" s="1219">
        <v>1146.828</v>
      </c>
      <c r="AB125" s="1219">
        <v>1146.828</v>
      </c>
      <c r="AC125" s="1219">
        <v>1146.828</v>
      </c>
      <c r="AD125" s="1219">
        <v>1579.0564000000002</v>
      </c>
      <c r="AE125" s="1219">
        <v>1643.42</v>
      </c>
      <c r="AF125" s="1219">
        <v>1668.57</v>
      </c>
      <c r="AG125" s="1219">
        <v>1695.4299999999998</v>
      </c>
      <c r="AH125" s="1219">
        <v>1739.0700000000002</v>
      </c>
      <c r="AI125" s="1219">
        <v>1048.6600000000001</v>
      </c>
      <c r="AJ125" s="1219">
        <v>1048.6600000000001</v>
      </c>
      <c r="AK125" s="1219">
        <v>1048.6600000000001</v>
      </c>
      <c r="AL125" s="1219">
        <v>1048.6600000000001</v>
      </c>
      <c r="AM125" s="1219">
        <v>1048.6600000000001</v>
      </c>
      <c r="AN125" s="1219">
        <v>2.3069357607956431</v>
      </c>
      <c r="AO125" s="1219">
        <v>4.0760798664316171</v>
      </c>
      <c r="AP125" s="1219">
        <v>1.5303452556254558</v>
      </c>
      <c r="AQ125" s="1219">
        <v>1.6097616521931895</v>
      </c>
      <c r="AR125" s="1219">
        <v>2.5739782827955344</v>
      </c>
      <c r="AS125" s="1219">
        <v>-39.699954573421422</v>
      </c>
      <c r="AT125" s="1219">
        <v>0</v>
      </c>
      <c r="AU125" s="1219">
        <v>0</v>
      </c>
      <c r="AV125" s="1219">
        <v>0</v>
      </c>
      <c r="AW125" s="1219">
        <v>0</v>
      </c>
      <c r="AX125" s="951"/>
      <c r="AY125" s="951"/>
      <c r="AZ125" s="951"/>
      <c r="BA125" s="1238"/>
    </row>
    <row r="126" spans="1:53" ht="15">
      <c r="A126" s="982">
        <v>1</v>
      </c>
      <c r="B126" s="1098"/>
      <c r="C126" s="1200" t="b">
        <v>0</v>
      </c>
      <c r="D126" s="1250" t="s">
        <v>1688</v>
      </c>
      <c r="E126" s="1098"/>
      <c r="F126" s="1098"/>
      <c r="G126" s="1098"/>
      <c r="H126" s="1098"/>
      <c r="I126" s="1098"/>
      <c r="J126" s="1098"/>
      <c r="K126" s="1098"/>
      <c r="L126" s="1223" t="s">
        <v>1196</v>
      </c>
      <c r="M126" s="1224" t="s">
        <v>1360</v>
      </c>
      <c r="N126" s="1225" t="s">
        <v>351</v>
      </c>
      <c r="O126" s="984"/>
      <c r="P126" s="984"/>
      <c r="Q126" s="984"/>
      <c r="R126" s="1228">
        <v>0</v>
      </c>
      <c r="S126" s="984"/>
      <c r="T126" s="984"/>
      <c r="U126" s="984"/>
      <c r="V126" s="984"/>
      <c r="W126" s="984"/>
      <c r="X126" s="984"/>
      <c r="Y126" s="984"/>
      <c r="Z126" s="984"/>
      <c r="AA126" s="984"/>
      <c r="AB126" s="984"/>
      <c r="AC126" s="984"/>
      <c r="AD126" s="984"/>
      <c r="AE126" s="984"/>
      <c r="AF126" s="984"/>
      <c r="AG126" s="984"/>
      <c r="AH126" s="984"/>
      <c r="AI126" s="984"/>
      <c r="AJ126" s="984"/>
      <c r="AK126" s="984"/>
      <c r="AL126" s="984"/>
      <c r="AM126" s="984"/>
      <c r="AN126" s="403"/>
      <c r="AO126" s="403"/>
      <c r="AP126" s="403"/>
      <c r="AQ126" s="403"/>
      <c r="AR126" s="403"/>
      <c r="AS126" s="403"/>
      <c r="AT126" s="403"/>
      <c r="AU126" s="403"/>
      <c r="AV126" s="403"/>
      <c r="AW126" s="403"/>
      <c r="AX126" s="951"/>
      <c r="AY126" s="951"/>
      <c r="AZ126" s="951"/>
      <c r="BA126" s="1098"/>
    </row>
    <row r="127" spans="1:53" ht="15">
      <c r="A127" s="982">
        <v>1</v>
      </c>
      <c r="B127" s="1098"/>
      <c r="C127" s="1200" t="b">
        <v>0</v>
      </c>
      <c r="D127" s="1250" t="s">
        <v>1689</v>
      </c>
      <c r="E127" s="1098"/>
      <c r="F127" s="1098"/>
      <c r="G127" s="1098"/>
      <c r="H127" s="1098"/>
      <c r="I127" s="1098"/>
      <c r="J127" s="1098"/>
      <c r="K127" s="1098"/>
      <c r="L127" s="1223" t="s">
        <v>1252</v>
      </c>
      <c r="M127" s="1224" t="s">
        <v>1361</v>
      </c>
      <c r="N127" s="1225" t="s">
        <v>351</v>
      </c>
      <c r="O127" s="984"/>
      <c r="P127" s="984"/>
      <c r="Q127" s="984"/>
      <c r="R127" s="1228">
        <v>0</v>
      </c>
      <c r="S127" s="984"/>
      <c r="T127" s="984"/>
      <c r="U127" s="984"/>
      <c r="V127" s="984"/>
      <c r="W127" s="984"/>
      <c r="X127" s="984"/>
      <c r="Y127" s="984"/>
      <c r="Z127" s="984"/>
      <c r="AA127" s="984"/>
      <c r="AB127" s="984"/>
      <c r="AC127" s="984"/>
      <c r="AD127" s="984"/>
      <c r="AE127" s="984"/>
      <c r="AF127" s="984"/>
      <c r="AG127" s="984"/>
      <c r="AH127" s="984"/>
      <c r="AI127" s="984"/>
      <c r="AJ127" s="984"/>
      <c r="AK127" s="984"/>
      <c r="AL127" s="984"/>
      <c r="AM127" s="984"/>
      <c r="AN127" s="403"/>
      <c r="AO127" s="403"/>
      <c r="AP127" s="403"/>
      <c r="AQ127" s="403"/>
      <c r="AR127" s="403"/>
      <c r="AS127" s="403"/>
      <c r="AT127" s="403"/>
      <c r="AU127" s="403"/>
      <c r="AV127" s="403"/>
      <c r="AW127" s="403"/>
      <c r="AX127" s="951"/>
      <c r="AY127" s="951"/>
      <c r="AZ127" s="951"/>
      <c r="BA127" s="1098"/>
    </row>
    <row r="128" spans="1:53" s="109" customFormat="1" ht="11.25">
      <c r="A128" s="982">
        <v>1</v>
      </c>
      <c r="B128" s="1098" t="s">
        <v>1176</v>
      </c>
      <c r="C128" s="1098"/>
      <c r="D128" s="1098" t="s">
        <v>1629</v>
      </c>
      <c r="E128" s="1238"/>
      <c r="F128" s="1238"/>
      <c r="G128" s="1238"/>
      <c r="H128" s="1238"/>
      <c r="I128" s="1238"/>
      <c r="J128" s="1238"/>
      <c r="K128" s="1238"/>
      <c r="L128" s="1239" t="s">
        <v>129</v>
      </c>
      <c r="M128" s="1244" t="s">
        <v>651</v>
      </c>
      <c r="N128" s="1241" t="s">
        <v>310</v>
      </c>
      <c r="O128" s="1251">
        <v>40</v>
      </c>
      <c r="P128" s="1251">
        <v>40</v>
      </c>
      <c r="Q128" s="1251">
        <v>40</v>
      </c>
      <c r="R128" s="1251">
        <v>0</v>
      </c>
      <c r="S128" s="1251">
        <v>40</v>
      </c>
      <c r="T128" s="1251">
        <v>40</v>
      </c>
      <c r="U128" s="1251">
        <v>40</v>
      </c>
      <c r="V128" s="1251">
        <v>40</v>
      </c>
      <c r="W128" s="1251">
        <v>40</v>
      </c>
      <c r="X128" s="1251">
        <v>40</v>
      </c>
      <c r="Y128" s="1251">
        <v>40</v>
      </c>
      <c r="Z128" s="1251">
        <v>40</v>
      </c>
      <c r="AA128" s="1251">
        <v>40</v>
      </c>
      <c r="AB128" s="1251">
        <v>40</v>
      </c>
      <c r="AC128" s="1251">
        <v>40</v>
      </c>
      <c r="AD128" s="1251">
        <v>40</v>
      </c>
      <c r="AE128" s="1251">
        <v>40</v>
      </c>
      <c r="AF128" s="1251">
        <v>40</v>
      </c>
      <c r="AG128" s="1251">
        <v>40</v>
      </c>
      <c r="AH128" s="1251">
        <v>40</v>
      </c>
      <c r="AI128" s="1251">
        <v>0</v>
      </c>
      <c r="AJ128" s="1251">
        <v>0</v>
      </c>
      <c r="AK128" s="1251">
        <v>0</v>
      </c>
      <c r="AL128" s="1251">
        <v>0</v>
      </c>
      <c r="AM128" s="1251">
        <v>0</v>
      </c>
      <c r="AN128" s="548"/>
      <c r="AO128" s="548"/>
      <c r="AP128" s="548"/>
      <c r="AQ128" s="548"/>
      <c r="AR128" s="548"/>
      <c r="AS128" s="548"/>
      <c r="AT128" s="548"/>
      <c r="AU128" s="548"/>
      <c r="AV128" s="548"/>
      <c r="AW128" s="548"/>
      <c r="AX128" s="951"/>
      <c r="AY128" s="951"/>
      <c r="AZ128" s="951"/>
      <c r="BA128" s="1238"/>
    </row>
    <row r="129" spans="1:53" ht="11.25">
      <c r="A129" s="982">
        <v>1</v>
      </c>
      <c r="B129" s="1098" t="s">
        <v>1172</v>
      </c>
      <c r="C129" s="1098"/>
      <c r="D129" s="1098" t="s">
        <v>1690</v>
      </c>
      <c r="E129" s="1098"/>
      <c r="F129" s="1098"/>
      <c r="G129" s="1098"/>
      <c r="H129" s="1098"/>
      <c r="I129" s="1098"/>
      <c r="J129" s="1098"/>
      <c r="K129" s="1098"/>
      <c r="L129" s="1223" t="s">
        <v>1708</v>
      </c>
      <c r="M129" s="1248" t="s">
        <v>1102</v>
      </c>
      <c r="N129" s="1225" t="s">
        <v>310</v>
      </c>
      <c r="O129" s="1252">
        <v>20</v>
      </c>
      <c r="P129" s="1252">
        <v>20</v>
      </c>
      <c r="Q129" s="1252">
        <v>20</v>
      </c>
      <c r="R129" s="1227">
        <v>0</v>
      </c>
      <c r="S129" s="1252">
        <v>20</v>
      </c>
      <c r="T129" s="1252">
        <v>20</v>
      </c>
      <c r="U129" s="1252">
        <v>20</v>
      </c>
      <c r="V129" s="1252">
        <v>20</v>
      </c>
      <c r="W129" s="1252">
        <v>20</v>
      </c>
      <c r="X129" s="1252">
        <v>20</v>
      </c>
      <c r="Y129" s="1252">
        <v>20</v>
      </c>
      <c r="Z129" s="1252">
        <v>20</v>
      </c>
      <c r="AA129" s="1252">
        <v>20</v>
      </c>
      <c r="AB129" s="1252">
        <v>20</v>
      </c>
      <c r="AC129" s="1252">
        <v>20</v>
      </c>
      <c r="AD129" s="1252">
        <v>20</v>
      </c>
      <c r="AE129" s="1252">
        <v>20</v>
      </c>
      <c r="AF129" s="1252">
        <v>20</v>
      </c>
      <c r="AG129" s="1252">
        <v>20</v>
      </c>
      <c r="AH129" s="1252">
        <v>20</v>
      </c>
      <c r="AI129" s="1252">
        <v>0</v>
      </c>
      <c r="AJ129" s="1252">
        <v>0</v>
      </c>
      <c r="AK129" s="1252">
        <v>0</v>
      </c>
      <c r="AL129" s="1252">
        <v>0</v>
      </c>
      <c r="AM129" s="1252">
        <v>0</v>
      </c>
      <c r="AN129" s="403"/>
      <c r="AO129" s="403"/>
      <c r="AP129" s="403"/>
      <c r="AQ129" s="403"/>
      <c r="AR129" s="403"/>
      <c r="AS129" s="403"/>
      <c r="AT129" s="403"/>
      <c r="AU129" s="403"/>
      <c r="AV129" s="403"/>
      <c r="AW129" s="403"/>
      <c r="AX129" s="951"/>
      <c r="AY129" s="951"/>
      <c r="AZ129" s="951"/>
      <c r="BA129" s="1098"/>
    </row>
    <row r="130" spans="1:53" ht="11.25">
      <c r="A130" s="982">
        <v>1</v>
      </c>
      <c r="B130" s="1098" t="s">
        <v>1167</v>
      </c>
      <c r="C130" s="1098"/>
      <c r="D130" s="1098" t="s">
        <v>1691</v>
      </c>
      <c r="E130" s="1098"/>
      <c r="F130" s="1098"/>
      <c r="G130" s="1098"/>
      <c r="H130" s="1098"/>
      <c r="I130" s="1098"/>
      <c r="J130" s="1098"/>
      <c r="K130" s="1098"/>
      <c r="L130" s="1223" t="s">
        <v>1709</v>
      </c>
      <c r="M130" s="1248" t="s">
        <v>1101</v>
      </c>
      <c r="N130" s="1225" t="s">
        <v>652</v>
      </c>
      <c r="O130" s="1245">
        <v>34.85</v>
      </c>
      <c r="P130" s="1245">
        <v>38.04</v>
      </c>
      <c r="Q130" s="1245">
        <v>34.85</v>
      </c>
      <c r="R130" s="1228">
        <v>-3.1899999999999977</v>
      </c>
      <c r="S130" s="1245">
        <v>38.18</v>
      </c>
      <c r="T130" s="1245">
        <v>47.99</v>
      </c>
      <c r="U130" s="1245">
        <v>47.99</v>
      </c>
      <c r="V130" s="1245">
        <v>47.99</v>
      </c>
      <c r="W130" s="1245">
        <v>47.99</v>
      </c>
      <c r="X130" s="1245">
        <v>47.99</v>
      </c>
      <c r="Y130" s="1245"/>
      <c r="Z130" s="1245"/>
      <c r="AA130" s="1245"/>
      <c r="AB130" s="1245"/>
      <c r="AC130" s="1245"/>
      <c r="AD130" s="1245">
        <v>38.18</v>
      </c>
      <c r="AE130" s="1245">
        <v>40.79</v>
      </c>
      <c r="AF130" s="1245">
        <v>41.39</v>
      </c>
      <c r="AG130" s="1245">
        <v>42.038499999999999</v>
      </c>
      <c r="AH130" s="1245">
        <v>42.73299999999999</v>
      </c>
      <c r="AI130" s="1245"/>
      <c r="AJ130" s="1245"/>
      <c r="AK130" s="1245"/>
      <c r="AL130" s="1245"/>
      <c r="AM130" s="1245"/>
      <c r="AN130" s="403"/>
      <c r="AO130" s="403"/>
      <c r="AP130" s="403"/>
      <c r="AQ130" s="403"/>
      <c r="AR130" s="403"/>
      <c r="AS130" s="403"/>
      <c r="AT130" s="403"/>
      <c r="AU130" s="403"/>
      <c r="AV130" s="403"/>
      <c r="AW130" s="403"/>
      <c r="AX130" s="951"/>
      <c r="AY130" s="951"/>
      <c r="AZ130" s="951"/>
      <c r="BA130" s="1098"/>
    </row>
    <row r="131" spans="1:53" ht="11.25">
      <c r="A131" s="982">
        <v>1</v>
      </c>
      <c r="B131" s="1098" t="s">
        <v>1173</v>
      </c>
      <c r="C131" s="1098"/>
      <c r="D131" s="1098" t="s">
        <v>1692</v>
      </c>
      <c r="E131" s="1098"/>
      <c r="F131" s="1098"/>
      <c r="G131" s="1098"/>
      <c r="H131" s="1098"/>
      <c r="I131" s="1098"/>
      <c r="J131" s="1098"/>
      <c r="K131" s="1098"/>
      <c r="L131" s="1223" t="s">
        <v>1710</v>
      </c>
      <c r="M131" s="1248" t="s">
        <v>1103</v>
      </c>
      <c r="N131" s="1225" t="s">
        <v>310</v>
      </c>
      <c r="O131" s="1253">
        <v>20</v>
      </c>
      <c r="P131" s="1253">
        <v>20</v>
      </c>
      <c r="Q131" s="1253">
        <v>20</v>
      </c>
      <c r="R131" s="1227">
        <v>0</v>
      </c>
      <c r="S131" s="1253">
        <v>20</v>
      </c>
      <c r="T131" s="1253">
        <v>20</v>
      </c>
      <c r="U131" s="1253">
        <v>20</v>
      </c>
      <c r="V131" s="1253">
        <v>20</v>
      </c>
      <c r="W131" s="1253">
        <v>20</v>
      </c>
      <c r="X131" s="1253">
        <v>20</v>
      </c>
      <c r="Y131" s="1253">
        <v>20</v>
      </c>
      <c r="Z131" s="1253">
        <v>20</v>
      </c>
      <c r="AA131" s="1253">
        <v>20</v>
      </c>
      <c r="AB131" s="1253">
        <v>20</v>
      </c>
      <c r="AC131" s="1253">
        <v>20</v>
      </c>
      <c r="AD131" s="1253">
        <v>20</v>
      </c>
      <c r="AE131" s="1253">
        <v>20</v>
      </c>
      <c r="AF131" s="1253">
        <v>20</v>
      </c>
      <c r="AG131" s="1253">
        <v>20</v>
      </c>
      <c r="AH131" s="1253">
        <v>20</v>
      </c>
      <c r="AI131" s="1253">
        <v>0</v>
      </c>
      <c r="AJ131" s="1253">
        <v>0</v>
      </c>
      <c r="AK131" s="1253">
        <v>0</v>
      </c>
      <c r="AL131" s="1253">
        <v>0</v>
      </c>
      <c r="AM131" s="1253">
        <v>0</v>
      </c>
      <c r="AN131" s="403"/>
      <c r="AO131" s="403"/>
      <c r="AP131" s="403"/>
      <c r="AQ131" s="403"/>
      <c r="AR131" s="403"/>
      <c r="AS131" s="403"/>
      <c r="AT131" s="403"/>
      <c r="AU131" s="403"/>
      <c r="AV131" s="403"/>
      <c r="AW131" s="403"/>
      <c r="AX131" s="951"/>
      <c r="AY131" s="951"/>
      <c r="AZ131" s="951"/>
      <c r="BA131" s="1098"/>
    </row>
    <row r="132" spans="1:53" ht="11.25">
      <c r="A132" s="982">
        <v>1</v>
      </c>
      <c r="B132" s="1098" t="s">
        <v>1168</v>
      </c>
      <c r="C132" s="1098"/>
      <c r="D132" s="1098" t="s">
        <v>1693</v>
      </c>
      <c r="E132" s="1098"/>
      <c r="F132" s="1098"/>
      <c r="G132" s="1098"/>
      <c r="H132" s="1098"/>
      <c r="I132" s="1098"/>
      <c r="J132" s="1098"/>
      <c r="K132" s="1098"/>
      <c r="L132" s="1223" t="s">
        <v>1711</v>
      </c>
      <c r="M132" s="1248" t="s">
        <v>1104</v>
      </c>
      <c r="N132" s="1225" t="s">
        <v>652</v>
      </c>
      <c r="O132" s="1245">
        <v>35.24</v>
      </c>
      <c r="P132" s="1245">
        <v>39.14</v>
      </c>
      <c r="Q132" s="1245">
        <v>35.24</v>
      </c>
      <c r="R132" s="1228">
        <v>-3.8999999999999986</v>
      </c>
      <c r="S132" s="1245">
        <v>38.18</v>
      </c>
      <c r="T132" s="1245">
        <v>47.99</v>
      </c>
      <c r="U132" s="1245">
        <v>47.99</v>
      </c>
      <c r="V132" s="1245">
        <v>47.99</v>
      </c>
      <c r="W132" s="1245">
        <v>47.99</v>
      </c>
      <c r="X132" s="1245">
        <v>47.99</v>
      </c>
      <c r="Y132" s="1245">
        <v>0</v>
      </c>
      <c r="Z132" s="1245">
        <v>0</v>
      </c>
      <c r="AA132" s="1245">
        <v>0</v>
      </c>
      <c r="AB132" s="1245">
        <v>0</v>
      </c>
      <c r="AC132" s="1245">
        <v>0</v>
      </c>
      <c r="AD132" s="1245">
        <v>40.79</v>
      </c>
      <c r="AE132" s="1245">
        <v>41.39</v>
      </c>
      <c r="AF132" s="1245">
        <v>42.038499999999999</v>
      </c>
      <c r="AG132" s="1245">
        <v>42.73299999999999</v>
      </c>
      <c r="AH132" s="1245">
        <v>44.23</v>
      </c>
      <c r="AI132" s="1245">
        <v>0</v>
      </c>
      <c r="AJ132" s="1245">
        <v>0</v>
      </c>
      <c r="AK132" s="1245">
        <v>0</v>
      </c>
      <c r="AL132" s="1245">
        <v>0</v>
      </c>
      <c r="AM132" s="1245">
        <v>0</v>
      </c>
      <c r="AN132" s="403"/>
      <c r="AO132" s="403"/>
      <c r="AP132" s="403"/>
      <c r="AQ132" s="403"/>
      <c r="AR132" s="403"/>
      <c r="AS132" s="403"/>
      <c r="AT132" s="403"/>
      <c r="AU132" s="403"/>
      <c r="AV132" s="403"/>
      <c r="AW132" s="403"/>
      <c r="AX132" s="951"/>
      <c r="AY132" s="951"/>
      <c r="AZ132" s="951"/>
      <c r="BA132" s="1098"/>
    </row>
    <row r="133" spans="1:53" ht="11.25">
      <c r="A133" s="982">
        <v>1</v>
      </c>
      <c r="B133" s="1098"/>
      <c r="C133" s="1098"/>
      <c r="D133" s="1098" t="s">
        <v>1694</v>
      </c>
      <c r="E133" s="1098"/>
      <c r="F133" s="1098"/>
      <c r="G133" s="1098"/>
      <c r="H133" s="1098"/>
      <c r="I133" s="1098"/>
      <c r="J133" s="1098"/>
      <c r="K133" s="1098"/>
      <c r="L133" s="1223" t="s">
        <v>1712</v>
      </c>
      <c r="M133" s="1224" t="s">
        <v>653</v>
      </c>
      <c r="N133" s="1225" t="s">
        <v>137</v>
      </c>
      <c r="O133" s="1236">
        <v>101.11908177905309</v>
      </c>
      <c r="P133" s="1236">
        <v>102.89169295478445</v>
      </c>
      <c r="Q133" s="1236">
        <v>101.11908177905309</v>
      </c>
      <c r="R133" s="403"/>
      <c r="S133" s="1236">
        <v>100</v>
      </c>
      <c r="T133" s="1236">
        <v>100</v>
      </c>
      <c r="U133" s="1236">
        <v>100</v>
      </c>
      <c r="V133" s="1236">
        <v>100</v>
      </c>
      <c r="W133" s="1236">
        <v>100</v>
      </c>
      <c r="X133" s="1236">
        <v>100</v>
      </c>
      <c r="Y133" s="1236">
        <v>0</v>
      </c>
      <c r="Z133" s="1236">
        <v>0</v>
      </c>
      <c r="AA133" s="1236">
        <v>0</v>
      </c>
      <c r="AB133" s="1236">
        <v>0</v>
      </c>
      <c r="AC133" s="1236">
        <v>0</v>
      </c>
      <c r="AD133" s="1236">
        <v>106.83603981141958</v>
      </c>
      <c r="AE133" s="1236">
        <v>101.47094876195146</v>
      </c>
      <c r="AF133" s="1236">
        <v>101.56680357574292</v>
      </c>
      <c r="AG133" s="1236">
        <v>101.65205704294871</v>
      </c>
      <c r="AH133" s="1236">
        <v>103.50314745044815</v>
      </c>
      <c r="AI133" s="1236">
        <v>0</v>
      </c>
      <c r="AJ133" s="1236">
        <v>0</v>
      </c>
      <c r="AK133" s="1236">
        <v>0</v>
      </c>
      <c r="AL133" s="1236">
        <v>0</v>
      </c>
      <c r="AM133" s="1236">
        <v>0</v>
      </c>
      <c r="AN133" s="403"/>
      <c r="AO133" s="403"/>
      <c r="AP133" s="403"/>
      <c r="AQ133" s="403"/>
      <c r="AR133" s="403"/>
      <c r="AS133" s="403"/>
      <c r="AT133" s="403"/>
      <c r="AU133" s="403"/>
      <c r="AV133" s="403"/>
      <c r="AW133" s="403"/>
      <c r="AX133" s="951"/>
      <c r="AY133" s="951"/>
      <c r="AZ133" s="951"/>
      <c r="BA133" s="1098"/>
    </row>
    <row r="134" spans="1:53" ht="11.25">
      <c r="A134" s="982">
        <v>1</v>
      </c>
      <c r="B134" s="1098"/>
      <c r="C134" s="1098"/>
      <c r="D134" s="1098" t="s">
        <v>1695</v>
      </c>
      <c r="E134" s="1098"/>
      <c r="F134" s="1098"/>
      <c r="G134" s="1098"/>
      <c r="H134" s="1098"/>
      <c r="I134" s="1098"/>
      <c r="J134" s="1098"/>
      <c r="K134" s="1098"/>
      <c r="L134" s="1223" t="s">
        <v>1713</v>
      </c>
      <c r="M134" s="1224" t="s">
        <v>654</v>
      </c>
      <c r="N134" s="1225" t="s">
        <v>652</v>
      </c>
      <c r="O134" s="1245">
        <v>35.042250000000003</v>
      </c>
      <c r="P134" s="1245">
        <v>29.423999999999999</v>
      </c>
      <c r="Q134" s="1245">
        <v>31.130849999999999</v>
      </c>
      <c r="R134" s="1228">
        <v>1.7068499999999993</v>
      </c>
      <c r="S134" s="1245">
        <v>38.586249999999993</v>
      </c>
      <c r="T134" s="1245">
        <v>41.964399999999998</v>
      </c>
      <c r="U134" s="1245">
        <v>45.170699999999997</v>
      </c>
      <c r="V134" s="1245">
        <v>45.933199999999999</v>
      </c>
      <c r="W134" s="1245">
        <v>47.695700000000002</v>
      </c>
      <c r="X134" s="1245">
        <v>48.958199999999998</v>
      </c>
      <c r="Y134" s="1245">
        <v>28.6707</v>
      </c>
      <c r="Z134" s="1245">
        <v>28.6707</v>
      </c>
      <c r="AA134" s="1245">
        <v>28.6707</v>
      </c>
      <c r="AB134" s="1245">
        <v>28.6707</v>
      </c>
      <c r="AC134" s="1245">
        <v>28.6707</v>
      </c>
      <c r="AD134" s="1245">
        <v>39.476410000000001</v>
      </c>
      <c r="AE134" s="1245">
        <v>41.085500000000003</v>
      </c>
      <c r="AF134" s="1245">
        <v>41.71425</v>
      </c>
      <c r="AG134" s="1245">
        <v>42.385749999999994</v>
      </c>
      <c r="AH134" s="1245">
        <v>43.476750000000003</v>
      </c>
      <c r="AI134" s="1245">
        <v>0</v>
      </c>
      <c r="AJ134" s="1245">
        <v>0</v>
      </c>
      <c r="AK134" s="1245">
        <v>0</v>
      </c>
      <c r="AL134" s="1245">
        <v>0</v>
      </c>
      <c r="AM134" s="1245">
        <v>0</v>
      </c>
      <c r="AN134" s="403"/>
      <c r="AO134" s="403"/>
      <c r="AP134" s="403"/>
      <c r="AQ134" s="403"/>
      <c r="AR134" s="403"/>
      <c r="AS134" s="403"/>
      <c r="AT134" s="403"/>
      <c r="AU134" s="403"/>
      <c r="AV134" s="403"/>
      <c r="AW134" s="403"/>
      <c r="AX134" s="951"/>
      <c r="AY134" s="951"/>
      <c r="AZ134" s="951"/>
      <c r="BA134" s="1098"/>
    </row>
    <row r="135" spans="1:53" s="109" customFormat="1" ht="11.25">
      <c r="A135" s="982">
        <v>1</v>
      </c>
      <c r="B135" s="1238"/>
      <c r="C135" s="1098"/>
      <c r="D135" s="1098" t="s">
        <v>1630</v>
      </c>
      <c r="E135" s="1238"/>
      <c r="F135" s="1238"/>
      <c r="G135" s="1238"/>
      <c r="H135" s="1238"/>
      <c r="I135" s="1238"/>
      <c r="J135" s="1238"/>
      <c r="K135" s="1238"/>
      <c r="L135" s="1239" t="s">
        <v>130</v>
      </c>
      <c r="M135" s="1244" t="s">
        <v>1368</v>
      </c>
      <c r="N135" s="1241" t="s">
        <v>351</v>
      </c>
      <c r="O135" s="1249">
        <v>1384.1688750000001</v>
      </c>
      <c r="P135" s="1249">
        <v>1162.248</v>
      </c>
      <c r="Q135" s="1249">
        <v>1229.6685749999999</v>
      </c>
      <c r="R135" s="1219">
        <v>0</v>
      </c>
      <c r="S135" s="1249">
        <v>1524.1568749999997</v>
      </c>
      <c r="T135" s="1249">
        <v>1657.5937999999999</v>
      </c>
      <c r="U135" s="1249">
        <v>1784.2426499999999</v>
      </c>
      <c r="V135" s="1249">
        <v>1814.3614</v>
      </c>
      <c r="W135" s="1249">
        <v>1883.9801500000001</v>
      </c>
      <c r="X135" s="1249">
        <v>1933.8489</v>
      </c>
      <c r="Y135" s="1249">
        <v>1132.4926499999999</v>
      </c>
      <c r="Z135" s="1249">
        <v>1132.4926499999999</v>
      </c>
      <c r="AA135" s="1249">
        <v>1132.4926499999999</v>
      </c>
      <c r="AB135" s="1249">
        <v>1132.4926499999999</v>
      </c>
      <c r="AC135" s="1249">
        <v>1132.4926499999999</v>
      </c>
      <c r="AD135" s="1249">
        <v>1559.3181950000001</v>
      </c>
      <c r="AE135" s="1249">
        <v>1622.8772500000002</v>
      </c>
      <c r="AF135" s="1249">
        <v>1647.7128749999999</v>
      </c>
      <c r="AG135" s="1249">
        <v>1674.2371249999999</v>
      </c>
      <c r="AH135" s="1249">
        <v>1717.331625</v>
      </c>
      <c r="AI135" s="1249">
        <v>0</v>
      </c>
      <c r="AJ135" s="1249">
        <v>0</v>
      </c>
      <c r="AK135" s="1249">
        <v>0</v>
      </c>
      <c r="AL135" s="1249">
        <v>0</v>
      </c>
      <c r="AM135" s="1249">
        <v>0</v>
      </c>
      <c r="AN135" s="1219">
        <v>2.3069357607956462</v>
      </c>
      <c r="AO135" s="1219">
        <v>4.076079866431634</v>
      </c>
      <c r="AP135" s="1219">
        <v>1.5303452556254458</v>
      </c>
      <c r="AQ135" s="1219">
        <v>1.6097616521931917</v>
      </c>
      <c r="AR135" s="1219">
        <v>2.5739782827955242</v>
      </c>
      <c r="AS135" s="1219">
        <v>-100</v>
      </c>
      <c r="AT135" s="1219">
        <v>0</v>
      </c>
      <c r="AU135" s="1219">
        <v>0</v>
      </c>
      <c r="AV135" s="1219">
        <v>0</v>
      </c>
      <c r="AW135" s="1219">
        <v>0</v>
      </c>
      <c r="AX135" s="951"/>
      <c r="AY135" s="951"/>
      <c r="AZ135" s="951"/>
      <c r="BA135" s="1238"/>
    </row>
    <row r="136" spans="1:53" s="109" customFormat="1" ht="11.25">
      <c r="A136" s="982">
        <v>1</v>
      </c>
      <c r="B136" s="1098" t="s">
        <v>1177</v>
      </c>
      <c r="C136" s="1098"/>
      <c r="D136" s="1098" t="s">
        <v>1631</v>
      </c>
      <c r="E136" s="1238"/>
      <c r="F136" s="1238"/>
      <c r="G136" s="1238"/>
      <c r="H136" s="1238"/>
      <c r="I136" s="1238"/>
      <c r="J136" s="1238"/>
      <c r="K136" s="1238"/>
      <c r="L136" s="1239" t="s">
        <v>131</v>
      </c>
      <c r="M136" s="1244" t="s">
        <v>655</v>
      </c>
      <c r="N136" s="1241" t="s">
        <v>310</v>
      </c>
      <c r="O136" s="1251">
        <v>39.5</v>
      </c>
      <c r="P136" s="1251">
        <v>39.5</v>
      </c>
      <c r="Q136" s="1251">
        <v>39.5</v>
      </c>
      <c r="R136" s="1251">
        <v>0</v>
      </c>
      <c r="S136" s="1251">
        <v>39.5</v>
      </c>
      <c r="T136" s="1251">
        <v>39.5</v>
      </c>
      <c r="U136" s="1251">
        <v>39.5</v>
      </c>
      <c r="V136" s="1251">
        <v>39.5</v>
      </c>
      <c r="W136" s="1251">
        <v>39.5</v>
      </c>
      <c r="X136" s="1251">
        <v>39.5</v>
      </c>
      <c r="Y136" s="1251">
        <v>39.5</v>
      </c>
      <c r="Z136" s="1251">
        <v>39.5</v>
      </c>
      <c r="AA136" s="1251">
        <v>39.5</v>
      </c>
      <c r="AB136" s="1251">
        <v>39.5</v>
      </c>
      <c r="AC136" s="1251">
        <v>39.5</v>
      </c>
      <c r="AD136" s="1251">
        <v>39.5</v>
      </c>
      <c r="AE136" s="1251">
        <v>39.5</v>
      </c>
      <c r="AF136" s="1251">
        <v>39.5</v>
      </c>
      <c r="AG136" s="1251">
        <v>39.5</v>
      </c>
      <c r="AH136" s="1251">
        <v>39.5</v>
      </c>
      <c r="AI136" s="1251">
        <v>0</v>
      </c>
      <c r="AJ136" s="1251">
        <v>0</v>
      </c>
      <c r="AK136" s="1251">
        <v>0</v>
      </c>
      <c r="AL136" s="1251">
        <v>0</v>
      </c>
      <c r="AM136" s="1251">
        <v>0</v>
      </c>
      <c r="AN136" s="548"/>
      <c r="AO136" s="548"/>
      <c r="AP136" s="548"/>
      <c r="AQ136" s="548"/>
      <c r="AR136" s="548"/>
      <c r="AS136" s="548"/>
      <c r="AT136" s="548"/>
      <c r="AU136" s="548"/>
      <c r="AV136" s="548"/>
      <c r="AW136" s="548"/>
      <c r="AX136" s="951"/>
      <c r="AY136" s="951"/>
      <c r="AZ136" s="951"/>
      <c r="BA136" s="1238"/>
    </row>
    <row r="137" spans="1:53" ht="11.25">
      <c r="A137" s="982">
        <v>1</v>
      </c>
      <c r="B137" s="1098" t="s">
        <v>1174</v>
      </c>
      <c r="C137" s="1098"/>
      <c r="D137" s="1098" t="s">
        <v>1696</v>
      </c>
      <c r="E137" s="1098"/>
      <c r="F137" s="1098"/>
      <c r="G137" s="1098"/>
      <c r="H137" s="1098"/>
      <c r="I137" s="1098"/>
      <c r="J137" s="1098"/>
      <c r="K137" s="1098"/>
      <c r="L137" s="1254" t="s">
        <v>1714</v>
      </c>
      <c r="M137" s="1248" t="s">
        <v>1161</v>
      </c>
      <c r="N137" s="1255" t="s">
        <v>310</v>
      </c>
      <c r="O137" s="1252">
        <v>19.75</v>
      </c>
      <c r="P137" s="1252">
        <v>19.75</v>
      </c>
      <c r="Q137" s="1252">
        <v>19.75</v>
      </c>
      <c r="R137" s="1227">
        <v>0</v>
      </c>
      <c r="S137" s="1252">
        <v>19.75</v>
      </c>
      <c r="T137" s="1252">
        <v>19.75</v>
      </c>
      <c r="U137" s="1252">
        <v>19.75</v>
      </c>
      <c r="V137" s="1252">
        <v>19.75</v>
      </c>
      <c r="W137" s="1252">
        <v>19.75</v>
      </c>
      <c r="X137" s="1252">
        <v>19.75</v>
      </c>
      <c r="Y137" s="1252">
        <v>19.75</v>
      </c>
      <c r="Z137" s="1252">
        <v>19.75</v>
      </c>
      <c r="AA137" s="1252">
        <v>19.75</v>
      </c>
      <c r="AB137" s="1252">
        <v>19.75</v>
      </c>
      <c r="AC137" s="1252">
        <v>19.75</v>
      </c>
      <c r="AD137" s="1252">
        <v>19.75</v>
      </c>
      <c r="AE137" s="1252">
        <v>19.75</v>
      </c>
      <c r="AF137" s="1252">
        <v>19.75</v>
      </c>
      <c r="AG137" s="1252">
        <v>19.75</v>
      </c>
      <c r="AH137" s="1252">
        <v>19.75</v>
      </c>
      <c r="AI137" s="1252">
        <v>0</v>
      </c>
      <c r="AJ137" s="1252">
        <v>0</v>
      </c>
      <c r="AK137" s="1252">
        <v>0</v>
      </c>
      <c r="AL137" s="1252">
        <v>0</v>
      </c>
      <c r="AM137" s="1252">
        <v>0</v>
      </c>
      <c r="AN137" s="403"/>
      <c r="AO137" s="403"/>
      <c r="AP137" s="403"/>
      <c r="AQ137" s="403"/>
      <c r="AR137" s="403"/>
      <c r="AS137" s="403"/>
      <c r="AT137" s="403"/>
      <c r="AU137" s="403"/>
      <c r="AV137" s="403"/>
      <c r="AW137" s="403"/>
      <c r="AX137" s="951"/>
      <c r="AY137" s="951"/>
      <c r="AZ137" s="951"/>
      <c r="BA137" s="1098"/>
    </row>
    <row r="138" spans="1:53" ht="11.25">
      <c r="A138" s="982">
        <v>1</v>
      </c>
      <c r="B138" s="1098" t="s">
        <v>1170</v>
      </c>
      <c r="C138" s="1098"/>
      <c r="D138" s="1098" t="s">
        <v>1697</v>
      </c>
      <c r="E138" s="1098"/>
      <c r="F138" s="1098"/>
      <c r="G138" s="1098"/>
      <c r="H138" s="1098"/>
      <c r="I138" s="1098"/>
      <c r="J138" s="1098"/>
      <c r="K138" s="1098"/>
      <c r="L138" s="1254" t="s">
        <v>1715</v>
      </c>
      <c r="M138" s="1248" t="s">
        <v>1162</v>
      </c>
      <c r="N138" s="1255" t="s">
        <v>652</v>
      </c>
      <c r="O138" s="1245">
        <v>34.85</v>
      </c>
      <c r="P138" s="1245">
        <v>38.04</v>
      </c>
      <c r="Q138" s="1245">
        <v>34.85</v>
      </c>
      <c r="R138" s="1228">
        <v>-3.1899999999999977</v>
      </c>
      <c r="S138" s="1245">
        <v>38.18</v>
      </c>
      <c r="T138" s="1245">
        <v>47.99</v>
      </c>
      <c r="U138" s="1245">
        <v>47.99</v>
      </c>
      <c r="V138" s="1245">
        <v>47.99</v>
      </c>
      <c r="W138" s="1245">
        <v>47.99</v>
      </c>
      <c r="X138" s="1245">
        <v>47.99</v>
      </c>
      <c r="Y138" s="1245">
        <v>0</v>
      </c>
      <c r="Z138" s="1245">
        <v>0</v>
      </c>
      <c r="AA138" s="1245">
        <v>0</v>
      </c>
      <c r="AB138" s="1245">
        <v>0</v>
      </c>
      <c r="AC138" s="1245">
        <v>0</v>
      </c>
      <c r="AD138" s="1245">
        <v>38.18</v>
      </c>
      <c r="AE138" s="1245">
        <v>40.79</v>
      </c>
      <c r="AF138" s="1245">
        <v>41.39</v>
      </c>
      <c r="AG138" s="1245">
        <v>42.038499999999999</v>
      </c>
      <c r="AH138" s="1245">
        <v>42.73299999999999</v>
      </c>
      <c r="AI138" s="1245">
        <v>0</v>
      </c>
      <c r="AJ138" s="1245">
        <v>0</v>
      </c>
      <c r="AK138" s="1245">
        <v>0</v>
      </c>
      <c r="AL138" s="1245">
        <v>0</v>
      </c>
      <c r="AM138" s="1245">
        <v>0</v>
      </c>
      <c r="AN138" s="403"/>
      <c r="AO138" s="403"/>
      <c r="AP138" s="403"/>
      <c r="AQ138" s="403"/>
      <c r="AR138" s="403"/>
      <c r="AS138" s="403"/>
      <c r="AT138" s="403"/>
      <c r="AU138" s="403"/>
      <c r="AV138" s="403"/>
      <c r="AW138" s="403"/>
      <c r="AX138" s="951"/>
      <c r="AY138" s="951"/>
      <c r="AZ138" s="951"/>
      <c r="BA138" s="1098"/>
    </row>
    <row r="139" spans="1:53" ht="11.25">
      <c r="A139" s="982">
        <v>1</v>
      </c>
      <c r="B139" s="1098" t="s">
        <v>1175</v>
      </c>
      <c r="C139" s="1098"/>
      <c r="D139" s="1098" t="s">
        <v>1698</v>
      </c>
      <c r="E139" s="1098"/>
      <c r="F139" s="1098"/>
      <c r="G139" s="1098"/>
      <c r="H139" s="1098"/>
      <c r="I139" s="1098"/>
      <c r="J139" s="1098"/>
      <c r="K139" s="1098"/>
      <c r="L139" s="1254" t="s">
        <v>1716</v>
      </c>
      <c r="M139" s="1248" t="s">
        <v>1163</v>
      </c>
      <c r="N139" s="1255" t="s">
        <v>310</v>
      </c>
      <c r="O139" s="1253">
        <v>19.75</v>
      </c>
      <c r="P139" s="1253">
        <v>19.75</v>
      </c>
      <c r="Q139" s="1253">
        <v>19.75</v>
      </c>
      <c r="R139" s="1227">
        <v>0</v>
      </c>
      <c r="S139" s="1253">
        <v>19.75</v>
      </c>
      <c r="T139" s="1253">
        <v>19.75</v>
      </c>
      <c r="U139" s="1253">
        <v>19.75</v>
      </c>
      <c r="V139" s="1253">
        <v>19.75</v>
      </c>
      <c r="W139" s="1253">
        <v>19.75</v>
      </c>
      <c r="X139" s="1253">
        <v>19.75</v>
      </c>
      <c r="Y139" s="1253">
        <v>19.75</v>
      </c>
      <c r="Z139" s="1253">
        <v>19.75</v>
      </c>
      <c r="AA139" s="1253">
        <v>19.75</v>
      </c>
      <c r="AB139" s="1253">
        <v>19.75</v>
      </c>
      <c r="AC139" s="1253">
        <v>19.75</v>
      </c>
      <c r="AD139" s="1253">
        <v>19.75</v>
      </c>
      <c r="AE139" s="1253">
        <v>19.75</v>
      </c>
      <c r="AF139" s="1253">
        <v>19.75</v>
      </c>
      <c r="AG139" s="1253">
        <v>19.75</v>
      </c>
      <c r="AH139" s="1253">
        <v>19.75</v>
      </c>
      <c r="AI139" s="1253">
        <v>0</v>
      </c>
      <c r="AJ139" s="1253">
        <v>0</v>
      </c>
      <c r="AK139" s="1253">
        <v>0</v>
      </c>
      <c r="AL139" s="1253">
        <v>0</v>
      </c>
      <c r="AM139" s="1253">
        <v>0</v>
      </c>
      <c r="AN139" s="403"/>
      <c r="AO139" s="403"/>
      <c r="AP139" s="403"/>
      <c r="AQ139" s="403"/>
      <c r="AR139" s="403"/>
      <c r="AS139" s="403"/>
      <c r="AT139" s="403"/>
      <c r="AU139" s="403"/>
      <c r="AV139" s="403"/>
      <c r="AW139" s="403"/>
      <c r="AX139" s="951"/>
      <c r="AY139" s="951"/>
      <c r="AZ139" s="951"/>
      <c r="BA139" s="1098"/>
    </row>
    <row r="140" spans="1:53" ht="11.25">
      <c r="A140" s="982">
        <v>1</v>
      </c>
      <c r="B140" s="1098" t="s">
        <v>1169</v>
      </c>
      <c r="C140" s="1098"/>
      <c r="D140" s="1098" t="s">
        <v>1699</v>
      </c>
      <c r="E140" s="1098"/>
      <c r="F140" s="1098"/>
      <c r="G140" s="1098"/>
      <c r="H140" s="1098"/>
      <c r="I140" s="1098"/>
      <c r="J140" s="1098"/>
      <c r="K140" s="1098"/>
      <c r="L140" s="1254" t="s">
        <v>1717</v>
      </c>
      <c r="M140" s="1248" t="s">
        <v>1164</v>
      </c>
      <c r="N140" s="1255" t="s">
        <v>652</v>
      </c>
      <c r="O140" s="1245">
        <v>35.24</v>
      </c>
      <c r="P140" s="1245">
        <v>39.14</v>
      </c>
      <c r="Q140" s="1245">
        <v>35.24</v>
      </c>
      <c r="R140" s="1228">
        <v>-3.8999999999999986</v>
      </c>
      <c r="S140" s="1245">
        <v>38.18</v>
      </c>
      <c r="T140" s="1245">
        <v>47.99</v>
      </c>
      <c r="U140" s="1245">
        <v>47.99</v>
      </c>
      <c r="V140" s="1245">
        <v>47.99</v>
      </c>
      <c r="W140" s="1245">
        <v>47.99</v>
      </c>
      <c r="X140" s="1245">
        <v>47.99</v>
      </c>
      <c r="Y140" s="1245">
        <v>0</v>
      </c>
      <c r="Z140" s="1245">
        <v>0</v>
      </c>
      <c r="AA140" s="1245">
        <v>0</v>
      </c>
      <c r="AB140" s="1245">
        <v>0</v>
      </c>
      <c r="AC140" s="1245">
        <v>0</v>
      </c>
      <c r="AD140" s="1245">
        <v>40.79</v>
      </c>
      <c r="AE140" s="1245">
        <v>41.39</v>
      </c>
      <c r="AF140" s="1245">
        <v>42.038499999999999</v>
      </c>
      <c r="AG140" s="1245">
        <v>42.73299999999999</v>
      </c>
      <c r="AH140" s="1245">
        <v>44.23</v>
      </c>
      <c r="AI140" s="1245">
        <v>0</v>
      </c>
      <c r="AJ140" s="1245">
        <v>0</v>
      </c>
      <c r="AK140" s="1245">
        <v>0</v>
      </c>
      <c r="AL140" s="1245">
        <v>0</v>
      </c>
      <c r="AM140" s="1245">
        <v>0</v>
      </c>
      <c r="AN140" s="403"/>
      <c r="AO140" s="403"/>
      <c r="AP140" s="403"/>
      <c r="AQ140" s="403"/>
      <c r="AR140" s="403"/>
      <c r="AS140" s="403"/>
      <c r="AT140" s="403"/>
      <c r="AU140" s="403"/>
      <c r="AV140" s="403"/>
      <c r="AW140" s="403"/>
      <c r="AX140" s="951"/>
      <c r="AY140" s="951"/>
      <c r="AZ140" s="951"/>
      <c r="BA140" s="1098"/>
    </row>
    <row r="141" spans="1:53">
      <c r="A141" s="1098"/>
      <c r="B141" s="1098"/>
      <c r="C141" s="1098"/>
      <c r="D141" s="1098"/>
      <c r="E141" s="1098"/>
      <c r="F141" s="1098"/>
      <c r="G141" s="1098"/>
      <c r="H141" s="1098"/>
      <c r="I141" s="1098"/>
      <c r="J141" s="1098"/>
      <c r="K141" s="1098"/>
      <c r="L141" s="1204"/>
      <c r="M141" s="1205"/>
      <c r="N141" s="1204"/>
      <c r="O141" s="1098"/>
      <c r="P141" s="1098"/>
      <c r="Q141" s="1098"/>
      <c r="R141" s="1098"/>
      <c r="S141" s="1098"/>
      <c r="T141" s="1098"/>
      <c r="U141" s="1098"/>
      <c r="V141" s="1098"/>
      <c r="W141" s="1098"/>
      <c r="X141" s="1098"/>
      <c r="Y141" s="1098"/>
      <c r="Z141" s="1098"/>
      <c r="AA141" s="1098"/>
      <c r="AB141" s="1098"/>
      <c r="AC141" s="1098"/>
      <c r="AD141" s="1098"/>
      <c r="AE141" s="1098"/>
      <c r="AF141" s="1098"/>
      <c r="AG141" s="1098"/>
      <c r="AH141" s="1098"/>
      <c r="AI141" s="1098"/>
      <c r="AJ141" s="1098"/>
      <c r="AK141" s="1098"/>
      <c r="AL141" s="1098"/>
      <c r="AM141" s="1098"/>
      <c r="AN141" s="1098"/>
      <c r="AO141" s="1098"/>
      <c r="AP141" s="1098"/>
      <c r="AQ141" s="1098"/>
      <c r="AR141" s="1098"/>
      <c r="AS141" s="1098"/>
      <c r="AT141" s="1098"/>
      <c r="AU141" s="1098"/>
      <c r="AV141" s="1098"/>
      <c r="AW141" s="1098"/>
      <c r="AX141" s="1098"/>
      <c r="AY141" s="1098"/>
      <c r="AZ141" s="1098"/>
      <c r="BA141" s="1098"/>
    </row>
    <row r="142" spans="1:53" ht="15" customHeight="1">
      <c r="A142" s="1098"/>
      <c r="B142" s="1098"/>
      <c r="C142" s="1098"/>
      <c r="D142" s="1098"/>
      <c r="E142" s="1098"/>
      <c r="F142" s="1098"/>
      <c r="G142" s="1098"/>
      <c r="H142" s="1098"/>
      <c r="I142" s="1098"/>
      <c r="J142" s="1098"/>
      <c r="K142" s="1098"/>
      <c r="L142" s="1152" t="s">
        <v>1425</v>
      </c>
      <c r="M142" s="1152"/>
      <c r="N142" s="1152"/>
      <c r="O142" s="1152"/>
      <c r="P142" s="1152"/>
      <c r="Q142" s="1152"/>
      <c r="R142" s="1152"/>
      <c r="S142" s="1152"/>
      <c r="T142" s="1152"/>
      <c r="U142" s="1152"/>
      <c r="V142" s="1152"/>
      <c r="W142" s="1152"/>
      <c r="X142" s="1152"/>
      <c r="Y142" s="1152"/>
      <c r="Z142" s="1152"/>
      <c r="AA142" s="1152"/>
      <c r="AB142" s="1152"/>
      <c r="AC142" s="1152"/>
      <c r="AD142" s="1152"/>
      <c r="AE142" s="1152"/>
      <c r="AF142" s="1152"/>
      <c r="AG142" s="1152"/>
      <c r="AH142" s="1152"/>
      <c r="AI142" s="1152"/>
      <c r="AJ142" s="1152"/>
      <c r="AK142" s="1152"/>
      <c r="AL142" s="1152"/>
      <c r="AM142" s="1152"/>
      <c r="AN142" s="1152"/>
      <c r="AO142" s="1152"/>
      <c r="AP142" s="1152"/>
      <c r="AQ142" s="1152"/>
      <c r="AR142" s="1152"/>
      <c r="AS142" s="1152"/>
      <c r="AT142" s="1152"/>
      <c r="AU142" s="1152"/>
      <c r="AV142" s="1152"/>
      <c r="AW142" s="1152"/>
      <c r="AX142" s="1152"/>
      <c r="AY142" s="1152"/>
      <c r="AZ142" s="1152"/>
      <c r="BA142" s="1098"/>
    </row>
    <row r="143" spans="1:53" ht="26.25" customHeight="1">
      <c r="A143" s="1098"/>
      <c r="B143" s="1098"/>
      <c r="C143" s="1098"/>
      <c r="D143" s="1098"/>
      <c r="E143" s="1098"/>
      <c r="F143" s="1098"/>
      <c r="G143" s="1098"/>
      <c r="H143" s="1098"/>
      <c r="I143" s="1098"/>
      <c r="J143" s="1098"/>
      <c r="K143" s="807"/>
      <c r="L143" s="1203" t="s">
        <v>3008</v>
      </c>
      <c r="M143" s="1170"/>
      <c r="N143" s="1170"/>
      <c r="O143" s="1170"/>
      <c r="P143" s="1170"/>
      <c r="Q143" s="1170"/>
      <c r="R143" s="1170"/>
      <c r="S143" s="1170"/>
      <c r="T143" s="1170"/>
      <c r="U143" s="1170"/>
      <c r="V143" s="1170"/>
      <c r="W143" s="1170"/>
      <c r="X143" s="1170"/>
      <c r="Y143" s="1170"/>
      <c r="Z143" s="1170"/>
      <c r="AA143" s="1170"/>
      <c r="AB143" s="1170"/>
      <c r="AC143" s="1170"/>
      <c r="AD143" s="1170"/>
      <c r="AE143" s="1170"/>
      <c r="AF143" s="1170"/>
      <c r="AG143" s="1170"/>
      <c r="AH143" s="1170"/>
      <c r="AI143" s="1170"/>
      <c r="AJ143" s="1170"/>
      <c r="AK143" s="1170"/>
      <c r="AL143" s="1170"/>
      <c r="AM143" s="1170"/>
      <c r="AN143" s="1170"/>
      <c r="AO143" s="1170"/>
      <c r="AP143" s="1170"/>
      <c r="AQ143" s="1170"/>
      <c r="AR143" s="1170"/>
      <c r="AS143" s="1170"/>
      <c r="AT143" s="1170"/>
      <c r="AU143" s="1170"/>
      <c r="AV143" s="1170"/>
      <c r="AW143" s="1170"/>
      <c r="AX143" s="1170"/>
      <c r="AY143" s="1170"/>
      <c r="AZ143" s="1170"/>
      <c r="BA143" s="1098"/>
    </row>
    <row r="144" spans="1:53" ht="97.5" customHeight="1">
      <c r="A144" s="1098"/>
      <c r="B144" s="1098"/>
      <c r="C144" s="1098"/>
      <c r="D144" s="1098"/>
      <c r="E144" s="1098"/>
      <c r="F144" s="1098"/>
      <c r="G144" s="1098"/>
      <c r="H144" s="1098"/>
      <c r="I144" s="1098"/>
      <c r="J144" s="1098"/>
      <c r="K144" s="807" t="s">
        <v>3087</v>
      </c>
      <c r="L144" s="1203" t="s">
        <v>3009</v>
      </c>
      <c r="M144" s="1170"/>
      <c r="N144" s="1170"/>
      <c r="O144" s="1170"/>
      <c r="P144" s="1170"/>
      <c r="Q144" s="1170"/>
      <c r="R144" s="1170"/>
      <c r="S144" s="1170"/>
      <c r="T144" s="1170"/>
      <c r="U144" s="1170"/>
      <c r="V144" s="1170"/>
      <c r="W144" s="1170"/>
      <c r="X144" s="1170"/>
      <c r="Y144" s="1170"/>
      <c r="Z144" s="1170"/>
      <c r="AA144" s="1170"/>
      <c r="AB144" s="1170"/>
      <c r="AC144" s="1170"/>
      <c r="AD144" s="1170"/>
      <c r="AE144" s="1170"/>
      <c r="AF144" s="1170"/>
      <c r="AG144" s="1170"/>
      <c r="AH144" s="1170"/>
      <c r="AI144" s="1170"/>
      <c r="AJ144" s="1170"/>
      <c r="AK144" s="1170"/>
      <c r="AL144" s="1170"/>
      <c r="AM144" s="1170"/>
      <c r="AN144" s="1170"/>
      <c r="AO144" s="1170"/>
      <c r="AP144" s="1170"/>
      <c r="AQ144" s="1170"/>
      <c r="AR144" s="1170"/>
      <c r="AS144" s="1170"/>
      <c r="AT144" s="1170"/>
      <c r="AU144" s="1170"/>
      <c r="AV144" s="1170"/>
      <c r="AW144" s="1170"/>
      <c r="AX144" s="1170"/>
      <c r="AY144" s="1170"/>
      <c r="AZ144" s="1170"/>
      <c r="BA144" s="1098"/>
    </row>
    <row r="145" spans="1:53" ht="40.5" customHeight="1">
      <c r="A145" s="1098"/>
      <c r="B145" s="1098"/>
      <c r="C145" s="1098"/>
      <c r="D145" s="1098"/>
      <c r="E145" s="1098"/>
      <c r="F145" s="1098"/>
      <c r="G145" s="1098"/>
      <c r="H145" s="1098"/>
      <c r="I145" s="1098"/>
      <c r="J145" s="1098"/>
      <c r="K145" s="807" t="s">
        <v>3087</v>
      </c>
      <c r="L145" s="1203" t="s">
        <v>2999</v>
      </c>
      <c r="M145" s="1170"/>
      <c r="N145" s="1170"/>
      <c r="O145" s="1170"/>
      <c r="P145" s="1170"/>
      <c r="Q145" s="1170"/>
      <c r="R145" s="1170"/>
      <c r="S145" s="1170"/>
      <c r="T145" s="1170"/>
      <c r="U145" s="1170"/>
      <c r="V145" s="1170"/>
      <c r="W145" s="1170"/>
      <c r="X145" s="1170"/>
      <c r="Y145" s="1170"/>
      <c r="Z145" s="1170"/>
      <c r="AA145" s="1170"/>
      <c r="AB145" s="1170"/>
      <c r="AC145" s="1170"/>
      <c r="AD145" s="1170"/>
      <c r="AE145" s="1170"/>
      <c r="AF145" s="1170"/>
      <c r="AG145" s="1170"/>
      <c r="AH145" s="1170"/>
      <c r="AI145" s="1170"/>
      <c r="AJ145" s="1170"/>
      <c r="AK145" s="1170"/>
      <c r="AL145" s="1170"/>
      <c r="AM145" s="1170"/>
      <c r="AN145" s="1170"/>
      <c r="AO145" s="1170"/>
      <c r="AP145" s="1170"/>
      <c r="AQ145" s="1170"/>
      <c r="AR145" s="1170"/>
      <c r="AS145" s="1170"/>
      <c r="AT145" s="1170"/>
      <c r="AU145" s="1170"/>
      <c r="AV145" s="1170"/>
      <c r="AW145" s="1170"/>
      <c r="AX145" s="1170"/>
      <c r="AY145" s="1170"/>
      <c r="AZ145" s="1170"/>
      <c r="BA145" s="1098"/>
    </row>
  </sheetData>
  <sheetProtection formatColumns="0" formatRows="0" autoFilter="0"/>
  <mergeCells count="11">
    <mergeCell ref="L143:AZ143"/>
    <mergeCell ref="AZ14:AZ15"/>
    <mergeCell ref="AX14:AX15"/>
    <mergeCell ref="AY14:AY15"/>
    <mergeCell ref="L142:AZ142"/>
    <mergeCell ref="L14:L15"/>
    <mergeCell ref="M14:M15"/>
    <mergeCell ref="N14:N15"/>
    <mergeCell ref="AN15:AW15"/>
    <mergeCell ref="L144:AZ144"/>
    <mergeCell ref="L145:AZ145"/>
  </mergeCells>
  <phoneticPr fontId="13" type="noConversion"/>
  <dataValidations count="2">
    <dataValidation type="textLength" operator="lessThanOrEqual" allowBlank="1" showInputMessage="1" showErrorMessage="1" errorTitle="Ошибка" error="Допускается ввод не более 900 символов!" sqref="AX17:AZ65 AX66:AZ140">
      <formula1>900</formula1>
    </dataValidation>
    <dataValidation type="decimal" allowBlank="1" showErrorMessage="1" errorTitle="Ошибка" error="Допускается ввод только действительных чисел!" sqref="O137:Q140 S86:AM86 O86:Q86 S137:AM140 S97:AM99 O97:Q99 O89:Q89 S107:AM122 S73:AM74 O73:Q74 AE25:AM27 S89:AM89 AD37:AD38 O126:Q127 O37:Q38 AE52:AM63 O63:Q63 O27:Q27 S29:AM35 O18:Q18 S126:AM127 O21:Q23 AD27 S63:T63 S37:T38 U37:AC41 S27:T27 S18:T18 AD18 AE37:AM41 AE44:AM50 S21:AM23 U25:AC27 U52:AC53 U62:AC63 O93:Q95 O129:Q134 S129:AM134 O29:Q35 AD63 O107:Q122 O91:Q91 S93:T95 S91:T91 U91:AC95 AE91:AM95 AD91 AD93:AD9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61"/>
  <sheetViews>
    <sheetView showGridLines="0" view="pageBreakPreview" zoomScale="70" zoomScaleNormal="100" zoomScaleSheetLayoutView="70" workbookViewId="0">
      <pane xSplit="13" ySplit="16" topLeftCell="Q17" activePane="bottomRight" state="frozen"/>
      <selection activeCell="K1" sqref="K1"/>
      <selection pane="topRight" activeCell="N1" sqref="N1"/>
      <selection pane="bottomLeft" activeCell="K17" sqref="K17"/>
      <selection pane="bottomRight" activeCell="FH63" sqref="FH63"/>
    </sheetView>
  </sheetViews>
  <sheetFormatPr defaultColWidth="9.140625" defaultRowHeight="11.25"/>
  <cols>
    <col min="1" max="2" width="2.7109375" style="295" hidden="1" customWidth="1"/>
    <col min="3" max="4" width="14.5703125" style="295" hidden="1" customWidth="1"/>
    <col min="5" max="5" width="2.7109375" style="295" hidden="1" customWidth="1"/>
    <col min="6" max="6" width="8.42578125" style="295" hidden="1" customWidth="1"/>
    <col min="7" max="7" width="12.85546875" style="295" hidden="1" customWidth="1"/>
    <col min="8" max="10" width="2.7109375" style="295" hidden="1" customWidth="1"/>
    <col min="11" max="11" width="3.7109375" style="295" hidden="1" customWidth="1"/>
    <col min="12" max="12" width="56.7109375" style="294" customWidth="1"/>
    <col min="13" max="13" width="13.28515625" style="297" customWidth="1"/>
    <col min="14" max="28" width="14.85546875" style="295" customWidth="1"/>
    <col min="29" max="43" width="14.85546875" style="295" hidden="1" customWidth="1"/>
    <col min="44" max="46" width="14.85546875" style="588" hidden="1" customWidth="1"/>
    <col min="47" max="163" width="14.85546875" style="589" hidden="1" customWidth="1"/>
    <col min="164" max="16384" width="9.140625" style="295"/>
  </cols>
  <sheetData>
    <row r="1" spans="1:163" hidden="1">
      <c r="A1" s="1180"/>
      <c r="B1" s="1180"/>
      <c r="C1" s="1180"/>
      <c r="D1" s="1180"/>
      <c r="E1" s="1180"/>
      <c r="F1" s="1180"/>
      <c r="G1" s="1180"/>
      <c r="H1" s="1180"/>
      <c r="I1" s="1180"/>
      <c r="J1" s="1180"/>
      <c r="K1" s="1180"/>
      <c r="L1" s="1256"/>
      <c r="M1" s="1257"/>
      <c r="N1" s="1180">
        <v>2024</v>
      </c>
      <c r="O1" s="1180">
        <v>2024</v>
      </c>
      <c r="P1" s="1180">
        <v>2024</v>
      </c>
      <c r="Q1" s="1180">
        <v>2025</v>
      </c>
      <c r="R1" s="1180">
        <v>2025</v>
      </c>
      <c r="S1" s="1180">
        <v>2025</v>
      </c>
      <c r="T1" s="1180">
        <v>2026</v>
      </c>
      <c r="U1" s="1180">
        <v>2026</v>
      </c>
      <c r="V1" s="1180">
        <v>2026</v>
      </c>
      <c r="W1" s="1180">
        <v>2027</v>
      </c>
      <c r="X1" s="1180">
        <v>2027</v>
      </c>
      <c r="Y1" s="1180">
        <v>2027</v>
      </c>
      <c r="Z1" s="1180">
        <v>2028</v>
      </c>
      <c r="AA1" s="1180">
        <v>2028</v>
      </c>
      <c r="AB1" s="1180">
        <v>2028</v>
      </c>
      <c r="AC1" s="1180">
        <v>2029</v>
      </c>
      <c r="AD1" s="1180">
        <v>2029</v>
      </c>
      <c r="AE1" s="1180">
        <v>2029</v>
      </c>
      <c r="AF1" s="1180">
        <v>2030</v>
      </c>
      <c r="AG1" s="1180">
        <v>2030</v>
      </c>
      <c r="AH1" s="1180">
        <v>2030</v>
      </c>
      <c r="AI1" s="1180">
        <v>2031</v>
      </c>
      <c r="AJ1" s="1180">
        <v>2031</v>
      </c>
      <c r="AK1" s="1180">
        <v>2031</v>
      </c>
      <c r="AL1" s="1180">
        <v>2032</v>
      </c>
      <c r="AM1" s="1180">
        <v>2032</v>
      </c>
      <c r="AN1" s="1180">
        <v>2032</v>
      </c>
      <c r="AO1" s="1180">
        <v>2033</v>
      </c>
      <c r="AP1" s="1180">
        <v>2033</v>
      </c>
      <c r="AQ1" s="1180">
        <v>2033</v>
      </c>
      <c r="AR1" s="1180">
        <v>2034</v>
      </c>
      <c r="AS1" s="1180">
        <v>2034</v>
      </c>
      <c r="AT1" s="1180">
        <v>2034</v>
      </c>
      <c r="AU1" s="1180">
        <v>2035</v>
      </c>
      <c r="AV1" s="1180">
        <v>2035</v>
      </c>
      <c r="AW1" s="1180">
        <v>2035</v>
      </c>
      <c r="AX1" s="1180">
        <v>2036</v>
      </c>
      <c r="AY1" s="1180">
        <v>2036</v>
      </c>
      <c r="AZ1" s="1180">
        <v>2036</v>
      </c>
      <c r="BA1" s="1180">
        <v>2037</v>
      </c>
      <c r="BB1" s="1180">
        <v>2037</v>
      </c>
      <c r="BC1" s="1180">
        <v>2037</v>
      </c>
      <c r="BD1" s="1180">
        <v>2038</v>
      </c>
      <c r="BE1" s="1180">
        <v>2038</v>
      </c>
      <c r="BF1" s="1180">
        <v>2038</v>
      </c>
      <c r="BG1" s="1180">
        <v>2039</v>
      </c>
      <c r="BH1" s="1180">
        <v>2039</v>
      </c>
      <c r="BI1" s="1180">
        <v>2039</v>
      </c>
      <c r="BJ1" s="1180">
        <v>2040</v>
      </c>
      <c r="BK1" s="1180">
        <v>2040</v>
      </c>
      <c r="BL1" s="1180">
        <v>2040</v>
      </c>
      <c r="BM1" s="1180">
        <v>2041</v>
      </c>
      <c r="BN1" s="1180">
        <v>2041</v>
      </c>
      <c r="BO1" s="1180">
        <v>2041</v>
      </c>
      <c r="BP1" s="1180">
        <v>2042</v>
      </c>
      <c r="BQ1" s="1180">
        <v>2042</v>
      </c>
      <c r="BR1" s="1180">
        <v>2042</v>
      </c>
      <c r="BS1" s="1180">
        <v>2043</v>
      </c>
      <c r="BT1" s="1180">
        <v>2043</v>
      </c>
      <c r="BU1" s="1180">
        <v>2043</v>
      </c>
      <c r="BV1" s="1180">
        <v>2044</v>
      </c>
      <c r="BW1" s="1180">
        <v>2044</v>
      </c>
      <c r="BX1" s="1180">
        <v>2044</v>
      </c>
      <c r="BY1" s="1180">
        <v>2045</v>
      </c>
      <c r="BZ1" s="1180">
        <v>2045</v>
      </c>
      <c r="CA1" s="1180">
        <v>2045</v>
      </c>
      <c r="CB1" s="1180">
        <v>2046</v>
      </c>
      <c r="CC1" s="1180">
        <v>2046</v>
      </c>
      <c r="CD1" s="1180">
        <v>2046</v>
      </c>
      <c r="CE1" s="1180">
        <v>2047</v>
      </c>
      <c r="CF1" s="1180">
        <v>2047</v>
      </c>
      <c r="CG1" s="1180">
        <v>2047</v>
      </c>
      <c r="CH1" s="1180">
        <v>2048</v>
      </c>
      <c r="CI1" s="1180">
        <v>2048</v>
      </c>
      <c r="CJ1" s="1180">
        <v>2048</v>
      </c>
      <c r="CK1" s="1180">
        <v>2049</v>
      </c>
      <c r="CL1" s="1180">
        <v>2049</v>
      </c>
      <c r="CM1" s="1180">
        <v>2049</v>
      </c>
      <c r="CN1" s="1180">
        <v>2050</v>
      </c>
      <c r="CO1" s="1180">
        <v>2050</v>
      </c>
      <c r="CP1" s="1180">
        <v>2050</v>
      </c>
      <c r="CQ1" s="1180">
        <v>2051</v>
      </c>
      <c r="CR1" s="1180">
        <v>2051</v>
      </c>
      <c r="CS1" s="1180">
        <v>2051</v>
      </c>
      <c r="CT1" s="1180">
        <v>2052</v>
      </c>
      <c r="CU1" s="1180">
        <v>2052</v>
      </c>
      <c r="CV1" s="1180">
        <v>2052</v>
      </c>
      <c r="CW1" s="1180">
        <v>2053</v>
      </c>
      <c r="CX1" s="1180">
        <v>2053</v>
      </c>
      <c r="CY1" s="1180">
        <v>2053</v>
      </c>
      <c r="CZ1" s="1180">
        <v>2054</v>
      </c>
      <c r="DA1" s="1180">
        <v>2054</v>
      </c>
      <c r="DB1" s="1180">
        <v>2054</v>
      </c>
      <c r="DC1" s="1180">
        <v>2055</v>
      </c>
      <c r="DD1" s="1180">
        <v>2055</v>
      </c>
      <c r="DE1" s="1180">
        <v>2055</v>
      </c>
      <c r="DF1" s="1180">
        <v>2056</v>
      </c>
      <c r="DG1" s="1180">
        <v>2056</v>
      </c>
      <c r="DH1" s="1180">
        <v>2056</v>
      </c>
      <c r="DI1" s="1180">
        <v>2057</v>
      </c>
      <c r="DJ1" s="1180">
        <v>2057</v>
      </c>
      <c r="DK1" s="1180">
        <v>2057</v>
      </c>
      <c r="DL1" s="1180">
        <v>2058</v>
      </c>
      <c r="DM1" s="1180">
        <v>2058</v>
      </c>
      <c r="DN1" s="1180">
        <v>2058</v>
      </c>
      <c r="DO1" s="1180">
        <v>2059</v>
      </c>
      <c r="DP1" s="1180">
        <v>2059</v>
      </c>
      <c r="DQ1" s="1180">
        <v>2059</v>
      </c>
      <c r="DR1" s="1180">
        <v>2060</v>
      </c>
      <c r="DS1" s="1180">
        <v>2060</v>
      </c>
      <c r="DT1" s="1180">
        <v>2060</v>
      </c>
      <c r="DU1" s="1180">
        <v>2061</v>
      </c>
      <c r="DV1" s="1180">
        <v>2061</v>
      </c>
      <c r="DW1" s="1180">
        <v>2061</v>
      </c>
      <c r="DX1" s="1180">
        <v>2062</v>
      </c>
      <c r="DY1" s="1180">
        <v>2062</v>
      </c>
      <c r="DZ1" s="1180">
        <v>2062</v>
      </c>
      <c r="EA1" s="1180">
        <v>2063</v>
      </c>
      <c r="EB1" s="1180">
        <v>2063</v>
      </c>
      <c r="EC1" s="1180">
        <v>2063</v>
      </c>
      <c r="ED1" s="1180">
        <v>2064</v>
      </c>
      <c r="EE1" s="1180">
        <v>2064</v>
      </c>
      <c r="EF1" s="1180">
        <v>2064</v>
      </c>
      <c r="EG1" s="1180">
        <v>2065</v>
      </c>
      <c r="EH1" s="1180">
        <v>2065</v>
      </c>
      <c r="EI1" s="1180">
        <v>2065</v>
      </c>
      <c r="EJ1" s="1180">
        <v>2066</v>
      </c>
      <c r="EK1" s="1180">
        <v>2066</v>
      </c>
      <c r="EL1" s="1180">
        <v>2066</v>
      </c>
      <c r="EM1" s="1180">
        <v>2067</v>
      </c>
      <c r="EN1" s="1180">
        <v>2067</v>
      </c>
      <c r="EO1" s="1180">
        <v>2067</v>
      </c>
      <c r="EP1" s="1180">
        <v>2068</v>
      </c>
      <c r="EQ1" s="1180">
        <v>2068</v>
      </c>
      <c r="ER1" s="1180">
        <v>2068</v>
      </c>
      <c r="ES1" s="1180">
        <v>2069</v>
      </c>
      <c r="ET1" s="1180">
        <v>2069</v>
      </c>
      <c r="EU1" s="1180">
        <v>2069</v>
      </c>
      <c r="EV1" s="1180">
        <v>2070</v>
      </c>
      <c r="EW1" s="1180">
        <v>2070</v>
      </c>
      <c r="EX1" s="1180">
        <v>2070</v>
      </c>
      <c r="EY1" s="1180">
        <v>2071</v>
      </c>
      <c r="EZ1" s="1180">
        <v>2071</v>
      </c>
      <c r="FA1" s="1180">
        <v>2071</v>
      </c>
      <c r="FB1" s="1180">
        <v>2072</v>
      </c>
      <c r="FC1" s="1180">
        <v>2072</v>
      </c>
      <c r="FD1" s="1180">
        <v>2072</v>
      </c>
      <c r="FE1" s="1180">
        <v>2073</v>
      </c>
      <c r="FF1" s="1180">
        <v>2073</v>
      </c>
      <c r="FG1" s="1180">
        <v>2073</v>
      </c>
    </row>
    <row r="2" spans="1:163" hidden="1">
      <c r="A2" s="1180"/>
      <c r="B2" s="1180"/>
      <c r="C2" s="1180"/>
      <c r="D2" s="1180"/>
      <c r="E2" s="1180"/>
      <c r="F2" s="1180"/>
      <c r="G2" s="1180"/>
      <c r="H2" s="1180"/>
      <c r="I2" s="1180"/>
      <c r="J2" s="1180"/>
      <c r="K2" s="1180"/>
      <c r="L2" s="1256"/>
      <c r="M2" s="1257"/>
      <c r="N2" s="1180" t="s">
        <v>268</v>
      </c>
      <c r="O2" s="1180" t="s">
        <v>267</v>
      </c>
      <c r="P2" s="1180" t="s">
        <v>1359</v>
      </c>
      <c r="Q2" s="1180" t="s">
        <v>268</v>
      </c>
      <c r="R2" s="1180" t="s">
        <v>267</v>
      </c>
      <c r="S2" s="1180" t="s">
        <v>1359</v>
      </c>
      <c r="T2" s="1180" t="s">
        <v>268</v>
      </c>
      <c r="U2" s="1180" t="s">
        <v>267</v>
      </c>
      <c r="V2" s="1180" t="s">
        <v>1359</v>
      </c>
      <c r="W2" s="1180" t="s">
        <v>268</v>
      </c>
      <c r="X2" s="1180" t="s">
        <v>267</v>
      </c>
      <c r="Y2" s="1180" t="s">
        <v>1359</v>
      </c>
      <c r="Z2" s="1180" t="s">
        <v>268</v>
      </c>
      <c r="AA2" s="1180" t="s">
        <v>267</v>
      </c>
      <c r="AB2" s="1180" t="s">
        <v>1359</v>
      </c>
      <c r="AC2" s="1180" t="s">
        <v>268</v>
      </c>
      <c r="AD2" s="1180" t="s">
        <v>267</v>
      </c>
      <c r="AE2" s="1180" t="s">
        <v>1359</v>
      </c>
      <c r="AF2" s="1180" t="s">
        <v>268</v>
      </c>
      <c r="AG2" s="1180" t="s">
        <v>267</v>
      </c>
      <c r="AH2" s="1180" t="s">
        <v>1359</v>
      </c>
      <c r="AI2" s="1180" t="s">
        <v>268</v>
      </c>
      <c r="AJ2" s="1180" t="s">
        <v>267</v>
      </c>
      <c r="AK2" s="1180" t="s">
        <v>1359</v>
      </c>
      <c r="AL2" s="1180" t="s">
        <v>268</v>
      </c>
      <c r="AM2" s="1180" t="s">
        <v>267</v>
      </c>
      <c r="AN2" s="1180" t="s">
        <v>1359</v>
      </c>
      <c r="AO2" s="1180" t="s">
        <v>268</v>
      </c>
      <c r="AP2" s="1180" t="s">
        <v>267</v>
      </c>
      <c r="AQ2" s="1180" t="s">
        <v>1359</v>
      </c>
      <c r="AR2" s="1180" t="s">
        <v>268</v>
      </c>
      <c r="AS2" s="1180" t="s">
        <v>267</v>
      </c>
      <c r="AT2" s="1180" t="s">
        <v>1359</v>
      </c>
      <c r="AU2" s="1180" t="s">
        <v>268</v>
      </c>
      <c r="AV2" s="1180" t="s">
        <v>267</v>
      </c>
      <c r="AW2" s="1180" t="s">
        <v>1359</v>
      </c>
      <c r="AX2" s="1180" t="s">
        <v>268</v>
      </c>
      <c r="AY2" s="1180" t="s">
        <v>267</v>
      </c>
      <c r="AZ2" s="1180" t="s">
        <v>1359</v>
      </c>
      <c r="BA2" s="1180" t="s">
        <v>268</v>
      </c>
      <c r="BB2" s="1180" t="s">
        <v>267</v>
      </c>
      <c r="BC2" s="1180" t="s">
        <v>1359</v>
      </c>
      <c r="BD2" s="1180" t="s">
        <v>268</v>
      </c>
      <c r="BE2" s="1180" t="s">
        <v>267</v>
      </c>
      <c r="BF2" s="1180" t="s">
        <v>1359</v>
      </c>
      <c r="BG2" s="1180" t="s">
        <v>268</v>
      </c>
      <c r="BH2" s="1180" t="s">
        <v>267</v>
      </c>
      <c r="BI2" s="1180" t="s">
        <v>1359</v>
      </c>
      <c r="BJ2" s="1180" t="s">
        <v>268</v>
      </c>
      <c r="BK2" s="1180" t="s">
        <v>267</v>
      </c>
      <c r="BL2" s="1180" t="s">
        <v>1359</v>
      </c>
      <c r="BM2" s="1180" t="s">
        <v>268</v>
      </c>
      <c r="BN2" s="1180" t="s">
        <v>267</v>
      </c>
      <c r="BO2" s="1180" t="s">
        <v>1359</v>
      </c>
      <c r="BP2" s="1180" t="s">
        <v>268</v>
      </c>
      <c r="BQ2" s="1180" t="s">
        <v>267</v>
      </c>
      <c r="BR2" s="1180" t="s">
        <v>1359</v>
      </c>
      <c r="BS2" s="1180" t="s">
        <v>268</v>
      </c>
      <c r="BT2" s="1180" t="s">
        <v>267</v>
      </c>
      <c r="BU2" s="1180" t="s">
        <v>1359</v>
      </c>
      <c r="BV2" s="1180" t="s">
        <v>268</v>
      </c>
      <c r="BW2" s="1180" t="s">
        <v>267</v>
      </c>
      <c r="BX2" s="1180" t="s">
        <v>1359</v>
      </c>
      <c r="BY2" s="1180" t="s">
        <v>268</v>
      </c>
      <c r="BZ2" s="1180" t="s">
        <v>267</v>
      </c>
      <c r="CA2" s="1180" t="s">
        <v>1359</v>
      </c>
      <c r="CB2" s="1180" t="s">
        <v>268</v>
      </c>
      <c r="CC2" s="1180" t="s">
        <v>267</v>
      </c>
      <c r="CD2" s="1180" t="s">
        <v>1359</v>
      </c>
      <c r="CE2" s="1180" t="s">
        <v>268</v>
      </c>
      <c r="CF2" s="1180" t="s">
        <v>267</v>
      </c>
      <c r="CG2" s="1180" t="s">
        <v>1359</v>
      </c>
      <c r="CH2" s="1180" t="s">
        <v>268</v>
      </c>
      <c r="CI2" s="1180" t="s">
        <v>267</v>
      </c>
      <c r="CJ2" s="1180" t="s">
        <v>1359</v>
      </c>
      <c r="CK2" s="1180" t="s">
        <v>268</v>
      </c>
      <c r="CL2" s="1180" t="s">
        <v>267</v>
      </c>
      <c r="CM2" s="1180" t="s">
        <v>1359</v>
      </c>
      <c r="CN2" s="1180" t="s">
        <v>268</v>
      </c>
      <c r="CO2" s="1180" t="s">
        <v>267</v>
      </c>
      <c r="CP2" s="1180" t="s">
        <v>1359</v>
      </c>
      <c r="CQ2" s="1180" t="s">
        <v>268</v>
      </c>
      <c r="CR2" s="1180" t="s">
        <v>267</v>
      </c>
      <c r="CS2" s="1180" t="s">
        <v>1359</v>
      </c>
      <c r="CT2" s="1180" t="s">
        <v>268</v>
      </c>
      <c r="CU2" s="1180" t="s">
        <v>267</v>
      </c>
      <c r="CV2" s="1180" t="s">
        <v>1359</v>
      </c>
      <c r="CW2" s="1180" t="s">
        <v>268</v>
      </c>
      <c r="CX2" s="1180" t="s">
        <v>267</v>
      </c>
      <c r="CY2" s="1180" t="s">
        <v>1359</v>
      </c>
      <c r="CZ2" s="1180" t="s">
        <v>268</v>
      </c>
      <c r="DA2" s="1180" t="s">
        <v>267</v>
      </c>
      <c r="DB2" s="1180" t="s">
        <v>1359</v>
      </c>
      <c r="DC2" s="1180" t="s">
        <v>268</v>
      </c>
      <c r="DD2" s="1180" t="s">
        <v>267</v>
      </c>
      <c r="DE2" s="1180" t="s">
        <v>1359</v>
      </c>
      <c r="DF2" s="1180" t="s">
        <v>268</v>
      </c>
      <c r="DG2" s="1180" t="s">
        <v>267</v>
      </c>
      <c r="DH2" s="1180" t="s">
        <v>1359</v>
      </c>
      <c r="DI2" s="1180" t="s">
        <v>268</v>
      </c>
      <c r="DJ2" s="1180" t="s">
        <v>267</v>
      </c>
      <c r="DK2" s="1180" t="s">
        <v>1359</v>
      </c>
      <c r="DL2" s="1180" t="s">
        <v>268</v>
      </c>
      <c r="DM2" s="1180" t="s">
        <v>267</v>
      </c>
      <c r="DN2" s="1180" t="s">
        <v>1359</v>
      </c>
      <c r="DO2" s="1180" t="s">
        <v>268</v>
      </c>
      <c r="DP2" s="1180" t="s">
        <v>267</v>
      </c>
      <c r="DQ2" s="1180" t="s">
        <v>1359</v>
      </c>
      <c r="DR2" s="1180" t="s">
        <v>268</v>
      </c>
      <c r="DS2" s="1180" t="s">
        <v>267</v>
      </c>
      <c r="DT2" s="1180" t="s">
        <v>1359</v>
      </c>
      <c r="DU2" s="1180" t="s">
        <v>268</v>
      </c>
      <c r="DV2" s="1180" t="s">
        <v>267</v>
      </c>
      <c r="DW2" s="1180" t="s">
        <v>1359</v>
      </c>
      <c r="DX2" s="1180" t="s">
        <v>268</v>
      </c>
      <c r="DY2" s="1180" t="s">
        <v>267</v>
      </c>
      <c r="DZ2" s="1180" t="s">
        <v>1359</v>
      </c>
      <c r="EA2" s="1180" t="s">
        <v>268</v>
      </c>
      <c r="EB2" s="1180" t="s">
        <v>267</v>
      </c>
      <c r="EC2" s="1180" t="s">
        <v>1359</v>
      </c>
      <c r="ED2" s="1180" t="s">
        <v>268</v>
      </c>
      <c r="EE2" s="1180" t="s">
        <v>267</v>
      </c>
      <c r="EF2" s="1180" t="s">
        <v>1359</v>
      </c>
      <c r="EG2" s="1180" t="s">
        <v>268</v>
      </c>
      <c r="EH2" s="1180" t="s">
        <v>267</v>
      </c>
      <c r="EI2" s="1180" t="s">
        <v>1359</v>
      </c>
      <c r="EJ2" s="1180" t="s">
        <v>268</v>
      </c>
      <c r="EK2" s="1180" t="s">
        <v>267</v>
      </c>
      <c r="EL2" s="1180" t="s">
        <v>1359</v>
      </c>
      <c r="EM2" s="1180" t="s">
        <v>268</v>
      </c>
      <c r="EN2" s="1180" t="s">
        <v>267</v>
      </c>
      <c r="EO2" s="1180" t="s">
        <v>1359</v>
      </c>
      <c r="EP2" s="1180" t="s">
        <v>268</v>
      </c>
      <c r="EQ2" s="1180" t="s">
        <v>267</v>
      </c>
      <c r="ER2" s="1180" t="s">
        <v>1359</v>
      </c>
      <c r="ES2" s="1180" t="s">
        <v>268</v>
      </c>
      <c r="ET2" s="1180" t="s">
        <v>267</v>
      </c>
      <c r="EU2" s="1180" t="s">
        <v>1359</v>
      </c>
      <c r="EV2" s="1180" t="s">
        <v>268</v>
      </c>
      <c r="EW2" s="1180" t="s">
        <v>267</v>
      </c>
      <c r="EX2" s="1180" t="s">
        <v>1359</v>
      </c>
      <c r="EY2" s="1180" t="s">
        <v>268</v>
      </c>
      <c r="EZ2" s="1180" t="s">
        <v>267</v>
      </c>
      <c r="FA2" s="1180" t="s">
        <v>1359</v>
      </c>
      <c r="FB2" s="1180" t="s">
        <v>268</v>
      </c>
      <c r="FC2" s="1180" t="s">
        <v>267</v>
      </c>
      <c r="FD2" s="1180" t="s">
        <v>1359</v>
      </c>
      <c r="FE2" s="1180" t="s">
        <v>268</v>
      </c>
      <c r="FF2" s="1180" t="s">
        <v>267</v>
      </c>
      <c r="FG2" s="1180" t="s">
        <v>1359</v>
      </c>
    </row>
    <row r="3" spans="1:163" hidden="1">
      <c r="A3" s="1180"/>
      <c r="B3" s="1180"/>
      <c r="C3" s="1180"/>
      <c r="D3" s="1180"/>
      <c r="E3" s="1180"/>
      <c r="F3" s="1180"/>
      <c r="G3" s="1180"/>
      <c r="H3" s="1180"/>
      <c r="I3" s="1180"/>
      <c r="J3" s="1180"/>
      <c r="K3" s="1180"/>
      <c r="L3" s="1256"/>
      <c r="M3" s="1257"/>
      <c r="N3" s="1180" t="s">
        <v>3037</v>
      </c>
      <c r="O3" s="1180" t="s">
        <v>3038</v>
      </c>
      <c r="P3" s="1180" t="s">
        <v>3089</v>
      </c>
      <c r="Q3" s="1180" t="s">
        <v>3042</v>
      </c>
      <c r="R3" s="1180" t="s">
        <v>3043</v>
      </c>
      <c r="S3" s="1180" t="s">
        <v>3090</v>
      </c>
      <c r="T3" s="1180" t="s">
        <v>3044</v>
      </c>
      <c r="U3" s="1180" t="s">
        <v>3045</v>
      </c>
      <c r="V3" s="1180" t="s">
        <v>3091</v>
      </c>
      <c r="W3" s="1180" t="s">
        <v>3046</v>
      </c>
      <c r="X3" s="1180" t="s">
        <v>3047</v>
      </c>
      <c r="Y3" s="1180" t="s">
        <v>3092</v>
      </c>
      <c r="Z3" s="1180" t="s">
        <v>3048</v>
      </c>
      <c r="AA3" s="1180" t="s">
        <v>3049</v>
      </c>
      <c r="AB3" s="1180" t="s">
        <v>3093</v>
      </c>
      <c r="AC3" s="1180" t="s">
        <v>3050</v>
      </c>
      <c r="AD3" s="1180" t="s">
        <v>3051</v>
      </c>
      <c r="AE3" s="1180" t="s">
        <v>3094</v>
      </c>
      <c r="AF3" s="1180" t="s">
        <v>3052</v>
      </c>
      <c r="AG3" s="1180" t="s">
        <v>3053</v>
      </c>
      <c r="AH3" s="1180" t="s">
        <v>3095</v>
      </c>
      <c r="AI3" s="1180" t="s">
        <v>3054</v>
      </c>
      <c r="AJ3" s="1180" t="s">
        <v>3055</v>
      </c>
      <c r="AK3" s="1180" t="s">
        <v>3096</v>
      </c>
      <c r="AL3" s="1180" t="s">
        <v>3056</v>
      </c>
      <c r="AM3" s="1180" t="s">
        <v>3057</v>
      </c>
      <c r="AN3" s="1180" t="s">
        <v>3097</v>
      </c>
      <c r="AO3" s="1180" t="s">
        <v>3058</v>
      </c>
      <c r="AP3" s="1180" t="s">
        <v>3059</v>
      </c>
      <c r="AQ3" s="1180" t="s">
        <v>3098</v>
      </c>
      <c r="AR3" s="1180" t="s">
        <v>3099</v>
      </c>
      <c r="AS3" s="1180" t="s">
        <v>3100</v>
      </c>
      <c r="AT3" s="1180" t="s">
        <v>3101</v>
      </c>
      <c r="AU3" s="1180" t="s">
        <v>3102</v>
      </c>
      <c r="AV3" s="1180" t="s">
        <v>3103</v>
      </c>
      <c r="AW3" s="1180" t="s">
        <v>3104</v>
      </c>
      <c r="AX3" s="1180" t="s">
        <v>3105</v>
      </c>
      <c r="AY3" s="1180" t="s">
        <v>3106</v>
      </c>
      <c r="AZ3" s="1180" t="s">
        <v>3107</v>
      </c>
      <c r="BA3" s="1180" t="s">
        <v>3108</v>
      </c>
      <c r="BB3" s="1180" t="s">
        <v>3109</v>
      </c>
      <c r="BC3" s="1180" t="s">
        <v>3110</v>
      </c>
      <c r="BD3" s="1180" t="s">
        <v>3111</v>
      </c>
      <c r="BE3" s="1180" t="s">
        <v>3112</v>
      </c>
      <c r="BF3" s="1180" t="s">
        <v>3113</v>
      </c>
      <c r="BG3" s="1180" t="s">
        <v>3114</v>
      </c>
      <c r="BH3" s="1180" t="s">
        <v>3115</v>
      </c>
      <c r="BI3" s="1180" t="s">
        <v>3116</v>
      </c>
      <c r="BJ3" s="1180" t="s">
        <v>3117</v>
      </c>
      <c r="BK3" s="1180" t="s">
        <v>3118</v>
      </c>
      <c r="BL3" s="1180" t="s">
        <v>3119</v>
      </c>
      <c r="BM3" s="1180" t="s">
        <v>3120</v>
      </c>
      <c r="BN3" s="1180" t="s">
        <v>3121</v>
      </c>
      <c r="BO3" s="1180" t="s">
        <v>3122</v>
      </c>
      <c r="BP3" s="1180" t="s">
        <v>3123</v>
      </c>
      <c r="BQ3" s="1180" t="s">
        <v>3124</v>
      </c>
      <c r="BR3" s="1180" t="s">
        <v>3125</v>
      </c>
      <c r="BS3" s="1180" t="s">
        <v>3126</v>
      </c>
      <c r="BT3" s="1180" t="s">
        <v>3127</v>
      </c>
      <c r="BU3" s="1180" t="s">
        <v>3128</v>
      </c>
      <c r="BV3" s="1180" t="s">
        <v>3129</v>
      </c>
      <c r="BW3" s="1180" t="s">
        <v>3130</v>
      </c>
      <c r="BX3" s="1180" t="s">
        <v>3131</v>
      </c>
      <c r="BY3" s="1180" t="s">
        <v>3132</v>
      </c>
      <c r="BZ3" s="1180" t="s">
        <v>3133</v>
      </c>
      <c r="CA3" s="1180" t="s">
        <v>3134</v>
      </c>
      <c r="CB3" s="1180" t="s">
        <v>3135</v>
      </c>
      <c r="CC3" s="1180" t="s">
        <v>3136</v>
      </c>
      <c r="CD3" s="1180" t="s">
        <v>3137</v>
      </c>
      <c r="CE3" s="1180" t="s">
        <v>3138</v>
      </c>
      <c r="CF3" s="1180" t="s">
        <v>3139</v>
      </c>
      <c r="CG3" s="1180" t="s">
        <v>3140</v>
      </c>
      <c r="CH3" s="1180" t="s">
        <v>3141</v>
      </c>
      <c r="CI3" s="1180" t="s">
        <v>3142</v>
      </c>
      <c r="CJ3" s="1180" t="s">
        <v>3143</v>
      </c>
      <c r="CK3" s="1180" t="s">
        <v>3144</v>
      </c>
      <c r="CL3" s="1180" t="s">
        <v>3145</v>
      </c>
      <c r="CM3" s="1180" t="s">
        <v>3146</v>
      </c>
      <c r="CN3" s="1180" t="s">
        <v>3147</v>
      </c>
      <c r="CO3" s="1180" t="s">
        <v>3148</v>
      </c>
      <c r="CP3" s="1180" t="s">
        <v>3149</v>
      </c>
      <c r="CQ3" s="1180" t="s">
        <v>3150</v>
      </c>
      <c r="CR3" s="1180" t="s">
        <v>3151</v>
      </c>
      <c r="CS3" s="1180" t="s">
        <v>3152</v>
      </c>
      <c r="CT3" s="1180" t="s">
        <v>3153</v>
      </c>
      <c r="CU3" s="1180" t="s">
        <v>3154</v>
      </c>
      <c r="CV3" s="1180" t="s">
        <v>3155</v>
      </c>
      <c r="CW3" s="1180" t="s">
        <v>3156</v>
      </c>
      <c r="CX3" s="1180" t="s">
        <v>3157</v>
      </c>
      <c r="CY3" s="1180" t="s">
        <v>3158</v>
      </c>
      <c r="CZ3" s="1180" t="s">
        <v>3159</v>
      </c>
      <c r="DA3" s="1180" t="s">
        <v>3160</v>
      </c>
      <c r="DB3" s="1180" t="s">
        <v>3161</v>
      </c>
      <c r="DC3" s="1180" t="s">
        <v>3162</v>
      </c>
      <c r="DD3" s="1180" t="s">
        <v>3163</v>
      </c>
      <c r="DE3" s="1180" t="s">
        <v>3164</v>
      </c>
      <c r="DF3" s="1180" t="s">
        <v>3165</v>
      </c>
      <c r="DG3" s="1180" t="s">
        <v>3166</v>
      </c>
      <c r="DH3" s="1180" t="s">
        <v>3167</v>
      </c>
      <c r="DI3" s="1180" t="s">
        <v>3168</v>
      </c>
      <c r="DJ3" s="1180" t="s">
        <v>3169</v>
      </c>
      <c r="DK3" s="1180" t="s">
        <v>3170</v>
      </c>
      <c r="DL3" s="1180" t="s">
        <v>3171</v>
      </c>
      <c r="DM3" s="1180" t="s">
        <v>3172</v>
      </c>
      <c r="DN3" s="1180" t="s">
        <v>3173</v>
      </c>
      <c r="DO3" s="1180" t="s">
        <v>3174</v>
      </c>
      <c r="DP3" s="1180" t="s">
        <v>3175</v>
      </c>
      <c r="DQ3" s="1180" t="s">
        <v>3176</v>
      </c>
      <c r="DR3" s="1180" t="s">
        <v>3177</v>
      </c>
      <c r="DS3" s="1180" t="s">
        <v>3178</v>
      </c>
      <c r="DT3" s="1180" t="s">
        <v>3179</v>
      </c>
      <c r="DU3" s="1180" t="s">
        <v>3180</v>
      </c>
      <c r="DV3" s="1180" t="s">
        <v>3181</v>
      </c>
      <c r="DW3" s="1180" t="s">
        <v>3182</v>
      </c>
      <c r="DX3" s="1180" t="s">
        <v>3183</v>
      </c>
      <c r="DY3" s="1180" t="s">
        <v>3184</v>
      </c>
      <c r="DZ3" s="1180" t="s">
        <v>3185</v>
      </c>
      <c r="EA3" s="1180" t="s">
        <v>3186</v>
      </c>
      <c r="EB3" s="1180" t="s">
        <v>3187</v>
      </c>
      <c r="EC3" s="1180" t="s">
        <v>3188</v>
      </c>
      <c r="ED3" s="1180" t="s">
        <v>3189</v>
      </c>
      <c r="EE3" s="1180" t="s">
        <v>3190</v>
      </c>
      <c r="EF3" s="1180" t="s">
        <v>3191</v>
      </c>
      <c r="EG3" s="1180" t="s">
        <v>3192</v>
      </c>
      <c r="EH3" s="1180" t="s">
        <v>3193</v>
      </c>
      <c r="EI3" s="1180" t="s">
        <v>3194</v>
      </c>
      <c r="EJ3" s="1180" t="s">
        <v>3195</v>
      </c>
      <c r="EK3" s="1180" t="s">
        <v>3196</v>
      </c>
      <c r="EL3" s="1180" t="s">
        <v>3197</v>
      </c>
      <c r="EM3" s="1180" t="s">
        <v>3198</v>
      </c>
      <c r="EN3" s="1180" t="s">
        <v>3199</v>
      </c>
      <c r="EO3" s="1180" t="s">
        <v>3200</v>
      </c>
      <c r="EP3" s="1180" t="s">
        <v>3201</v>
      </c>
      <c r="EQ3" s="1180" t="s">
        <v>3202</v>
      </c>
      <c r="ER3" s="1180" t="s">
        <v>3203</v>
      </c>
      <c r="ES3" s="1180" t="s">
        <v>3204</v>
      </c>
      <c r="ET3" s="1180" t="s">
        <v>3205</v>
      </c>
      <c r="EU3" s="1180" t="s">
        <v>3206</v>
      </c>
      <c r="EV3" s="1180" t="s">
        <v>3207</v>
      </c>
      <c r="EW3" s="1180" t="s">
        <v>3208</v>
      </c>
      <c r="EX3" s="1180" t="s">
        <v>3209</v>
      </c>
      <c r="EY3" s="1180" t="s">
        <v>3210</v>
      </c>
      <c r="EZ3" s="1180" t="s">
        <v>3211</v>
      </c>
      <c r="FA3" s="1180" t="s">
        <v>3212</v>
      </c>
      <c r="FB3" s="1180" t="s">
        <v>3213</v>
      </c>
      <c r="FC3" s="1180" t="s">
        <v>3214</v>
      </c>
      <c r="FD3" s="1180" t="s">
        <v>3215</v>
      </c>
      <c r="FE3" s="1180" t="s">
        <v>3216</v>
      </c>
      <c r="FF3" s="1180" t="s">
        <v>3217</v>
      </c>
      <c r="FG3" s="1180" t="s">
        <v>3218</v>
      </c>
    </row>
    <row r="4" spans="1:163" hidden="1">
      <c r="A4" s="1180"/>
      <c r="B4" s="1180"/>
      <c r="C4" s="1180"/>
      <c r="D4" s="1180"/>
      <c r="E4" s="1180"/>
      <c r="F4" s="1180"/>
      <c r="G4" s="1180"/>
      <c r="H4" s="1180"/>
      <c r="I4" s="1180"/>
      <c r="J4" s="1180"/>
      <c r="K4" s="1180"/>
      <c r="L4" s="1256"/>
      <c r="M4" s="1257"/>
      <c r="N4" s="1180"/>
      <c r="O4" s="1180"/>
      <c r="P4" s="1180"/>
      <c r="Q4" s="1180"/>
      <c r="R4" s="1180"/>
      <c r="S4" s="1180"/>
      <c r="T4" s="1180"/>
      <c r="U4" s="1180"/>
      <c r="V4" s="1180"/>
      <c r="W4" s="1180"/>
      <c r="X4" s="1180"/>
      <c r="Y4" s="1180"/>
      <c r="Z4" s="1180"/>
      <c r="AA4" s="1180"/>
      <c r="AB4" s="1180"/>
      <c r="AC4" s="1180"/>
      <c r="AD4" s="1180"/>
      <c r="AE4" s="1180"/>
      <c r="AF4" s="1180"/>
      <c r="AG4" s="1180"/>
      <c r="AH4" s="1180"/>
      <c r="AI4" s="1180"/>
      <c r="AJ4" s="1180"/>
      <c r="AK4" s="1180"/>
      <c r="AL4" s="1180"/>
      <c r="AM4" s="1180"/>
      <c r="AN4" s="1180"/>
      <c r="AO4" s="1180"/>
      <c r="AP4" s="1180"/>
      <c r="AQ4" s="1180"/>
      <c r="AR4" s="1180"/>
      <c r="AS4" s="1180"/>
      <c r="AT4" s="1180"/>
      <c r="AU4" s="1180"/>
      <c r="AV4" s="1180"/>
      <c r="AW4" s="1180"/>
      <c r="AX4" s="1180"/>
      <c r="AY4" s="1180"/>
      <c r="AZ4" s="1180"/>
      <c r="BA4" s="1180"/>
      <c r="BB4" s="1180"/>
      <c r="BC4" s="1180"/>
      <c r="BD4" s="1180"/>
      <c r="BE4" s="1180"/>
      <c r="BF4" s="1180"/>
      <c r="BG4" s="1180"/>
      <c r="BH4" s="1180"/>
      <c r="BI4" s="1180"/>
      <c r="BJ4" s="1180"/>
      <c r="BK4" s="1180"/>
      <c r="BL4" s="1180"/>
      <c r="BM4" s="1180"/>
      <c r="BN4" s="1180"/>
      <c r="BO4" s="1180"/>
      <c r="BP4" s="1180"/>
      <c r="BQ4" s="1180"/>
      <c r="BR4" s="1180"/>
      <c r="BS4" s="1180"/>
      <c r="BT4" s="1180"/>
      <c r="BU4" s="1180"/>
      <c r="BV4" s="1180"/>
      <c r="BW4" s="1180"/>
      <c r="BX4" s="1180"/>
      <c r="BY4" s="1180"/>
      <c r="BZ4" s="1180"/>
      <c r="CA4" s="1180"/>
      <c r="CB4" s="1180"/>
      <c r="CC4" s="1180"/>
      <c r="CD4" s="1180"/>
      <c r="CE4" s="1180"/>
      <c r="CF4" s="1180"/>
      <c r="CG4" s="1180"/>
      <c r="CH4" s="1180"/>
      <c r="CI4" s="1180"/>
      <c r="CJ4" s="1180"/>
      <c r="CK4" s="1180"/>
      <c r="CL4" s="1180"/>
      <c r="CM4" s="1180"/>
      <c r="CN4" s="1180"/>
      <c r="CO4" s="1180"/>
      <c r="CP4" s="1180"/>
      <c r="CQ4" s="1180"/>
      <c r="CR4" s="1180"/>
      <c r="CS4" s="1180"/>
      <c r="CT4" s="1180"/>
      <c r="CU4" s="1180"/>
      <c r="CV4" s="1180"/>
      <c r="CW4" s="1180"/>
      <c r="CX4" s="1180"/>
      <c r="CY4" s="1180"/>
      <c r="CZ4" s="1180"/>
      <c r="DA4" s="1180"/>
      <c r="DB4" s="1180"/>
      <c r="DC4" s="1180"/>
      <c r="DD4" s="1180"/>
      <c r="DE4" s="1180"/>
      <c r="DF4" s="1180"/>
      <c r="DG4" s="1180"/>
      <c r="DH4" s="1180"/>
      <c r="DI4" s="1180"/>
      <c r="DJ4" s="1180"/>
      <c r="DK4" s="1180"/>
      <c r="DL4" s="1180"/>
      <c r="DM4" s="1180"/>
      <c r="DN4" s="1180"/>
      <c r="DO4" s="1180"/>
      <c r="DP4" s="1180"/>
      <c r="DQ4" s="1180"/>
      <c r="DR4" s="1180"/>
      <c r="DS4" s="1180"/>
      <c r="DT4" s="1180"/>
      <c r="DU4" s="1180"/>
      <c r="DV4" s="1180"/>
      <c r="DW4" s="1180"/>
      <c r="DX4" s="1180"/>
      <c r="DY4" s="1180"/>
      <c r="DZ4" s="1180"/>
      <c r="EA4" s="1180"/>
      <c r="EB4" s="1180"/>
      <c r="EC4" s="1180"/>
      <c r="ED4" s="1180"/>
      <c r="EE4" s="1180"/>
      <c r="EF4" s="1180"/>
      <c r="EG4" s="1180"/>
      <c r="EH4" s="1180"/>
      <c r="EI4" s="1180"/>
      <c r="EJ4" s="1180"/>
      <c r="EK4" s="1180"/>
      <c r="EL4" s="1180"/>
      <c r="EM4" s="1180"/>
      <c r="EN4" s="1180"/>
      <c r="EO4" s="1180"/>
      <c r="EP4" s="1180"/>
      <c r="EQ4" s="1180"/>
      <c r="ER4" s="1180"/>
      <c r="ES4" s="1180"/>
      <c r="ET4" s="1180"/>
      <c r="EU4" s="1180"/>
      <c r="EV4" s="1180"/>
      <c r="EW4" s="1180"/>
      <c r="EX4" s="1180"/>
      <c r="EY4" s="1180"/>
      <c r="EZ4" s="1180"/>
      <c r="FA4" s="1180"/>
      <c r="FB4" s="1180"/>
      <c r="FC4" s="1180"/>
      <c r="FD4" s="1180"/>
      <c r="FE4" s="1180"/>
      <c r="FF4" s="1180"/>
      <c r="FG4" s="1180"/>
    </row>
    <row r="5" spans="1:163" hidden="1">
      <c r="A5" s="1180"/>
      <c r="B5" s="1180"/>
      <c r="C5" s="1180"/>
      <c r="D5" s="1180"/>
      <c r="E5" s="1180"/>
      <c r="F5" s="1180"/>
      <c r="G5" s="1180"/>
      <c r="H5" s="1180"/>
      <c r="I5" s="1180"/>
      <c r="J5" s="1180"/>
      <c r="K5" s="1180"/>
      <c r="L5" s="1256"/>
      <c r="M5" s="1257"/>
      <c r="N5" s="1180"/>
      <c r="O5" s="1180"/>
      <c r="P5" s="1180"/>
      <c r="Q5" s="1180"/>
      <c r="R5" s="1180"/>
      <c r="S5" s="1180"/>
      <c r="T5" s="1180"/>
      <c r="U5" s="1180"/>
      <c r="V5" s="1180"/>
      <c r="W5" s="1180"/>
      <c r="X5" s="1180"/>
      <c r="Y5" s="1180"/>
      <c r="Z5" s="1180"/>
      <c r="AA5" s="1180"/>
      <c r="AB5" s="1180"/>
      <c r="AC5" s="1180"/>
      <c r="AD5" s="1180"/>
      <c r="AE5" s="1180"/>
      <c r="AF5" s="1180"/>
      <c r="AG5" s="1180"/>
      <c r="AH5" s="1180"/>
      <c r="AI5" s="1180"/>
      <c r="AJ5" s="1180"/>
      <c r="AK5" s="1180"/>
      <c r="AL5" s="1180"/>
      <c r="AM5" s="1180"/>
      <c r="AN5" s="1180"/>
      <c r="AO5" s="1180"/>
      <c r="AP5" s="1180"/>
      <c r="AQ5" s="1180"/>
      <c r="AR5" s="1180"/>
      <c r="AS5" s="1180"/>
      <c r="AT5" s="1180"/>
      <c r="AU5" s="1180"/>
      <c r="AV5" s="1180"/>
      <c r="AW5" s="1180"/>
      <c r="AX5" s="1180"/>
      <c r="AY5" s="1180"/>
      <c r="AZ5" s="1180"/>
      <c r="BA5" s="1180"/>
      <c r="BB5" s="1180"/>
      <c r="BC5" s="1180"/>
      <c r="BD5" s="1180"/>
      <c r="BE5" s="1180"/>
      <c r="BF5" s="1180"/>
      <c r="BG5" s="1180"/>
      <c r="BH5" s="1180"/>
      <c r="BI5" s="1180"/>
      <c r="BJ5" s="1180"/>
      <c r="BK5" s="1180"/>
      <c r="BL5" s="1180"/>
      <c r="BM5" s="1180"/>
      <c r="BN5" s="1180"/>
      <c r="BO5" s="1180"/>
      <c r="BP5" s="1180"/>
      <c r="BQ5" s="1180"/>
      <c r="BR5" s="1180"/>
      <c r="BS5" s="1180"/>
      <c r="BT5" s="1180"/>
      <c r="BU5" s="1180"/>
      <c r="BV5" s="1180"/>
      <c r="BW5" s="1180"/>
      <c r="BX5" s="1180"/>
      <c r="BY5" s="1180"/>
      <c r="BZ5" s="1180"/>
      <c r="CA5" s="1180"/>
      <c r="CB5" s="1180"/>
      <c r="CC5" s="1180"/>
      <c r="CD5" s="1180"/>
      <c r="CE5" s="1180"/>
      <c r="CF5" s="1180"/>
      <c r="CG5" s="1180"/>
      <c r="CH5" s="1180"/>
      <c r="CI5" s="1180"/>
      <c r="CJ5" s="1180"/>
      <c r="CK5" s="1180"/>
      <c r="CL5" s="1180"/>
      <c r="CM5" s="1180"/>
      <c r="CN5" s="1180"/>
      <c r="CO5" s="1180"/>
      <c r="CP5" s="1180"/>
      <c r="CQ5" s="1180"/>
      <c r="CR5" s="1180"/>
      <c r="CS5" s="1180"/>
      <c r="CT5" s="1180"/>
      <c r="CU5" s="1180"/>
      <c r="CV5" s="1180"/>
      <c r="CW5" s="1180"/>
      <c r="CX5" s="1180"/>
      <c r="CY5" s="1180"/>
      <c r="CZ5" s="1180"/>
      <c r="DA5" s="1180"/>
      <c r="DB5" s="1180"/>
      <c r="DC5" s="1180"/>
      <c r="DD5" s="1180"/>
      <c r="DE5" s="1180"/>
      <c r="DF5" s="1180"/>
      <c r="DG5" s="1180"/>
      <c r="DH5" s="1180"/>
      <c r="DI5" s="1180"/>
      <c r="DJ5" s="1180"/>
      <c r="DK5" s="1180"/>
      <c r="DL5" s="1180"/>
      <c r="DM5" s="1180"/>
      <c r="DN5" s="1180"/>
      <c r="DO5" s="1180"/>
      <c r="DP5" s="1180"/>
      <c r="DQ5" s="1180"/>
      <c r="DR5" s="1180"/>
      <c r="DS5" s="1180"/>
      <c r="DT5" s="1180"/>
      <c r="DU5" s="1180"/>
      <c r="DV5" s="1180"/>
      <c r="DW5" s="1180"/>
      <c r="DX5" s="1180"/>
      <c r="DY5" s="1180"/>
      <c r="DZ5" s="1180"/>
      <c r="EA5" s="1180"/>
      <c r="EB5" s="1180"/>
      <c r="EC5" s="1180"/>
      <c r="ED5" s="1180"/>
      <c r="EE5" s="1180"/>
      <c r="EF5" s="1180"/>
      <c r="EG5" s="1180"/>
      <c r="EH5" s="1180"/>
      <c r="EI5" s="1180"/>
      <c r="EJ5" s="1180"/>
      <c r="EK5" s="1180"/>
      <c r="EL5" s="1180"/>
      <c r="EM5" s="1180"/>
      <c r="EN5" s="1180"/>
      <c r="EO5" s="1180"/>
      <c r="EP5" s="1180"/>
      <c r="EQ5" s="1180"/>
      <c r="ER5" s="1180"/>
      <c r="ES5" s="1180"/>
      <c r="ET5" s="1180"/>
      <c r="EU5" s="1180"/>
      <c r="EV5" s="1180"/>
      <c r="EW5" s="1180"/>
      <c r="EX5" s="1180"/>
      <c r="EY5" s="1180"/>
      <c r="EZ5" s="1180"/>
      <c r="FA5" s="1180"/>
      <c r="FB5" s="1180"/>
      <c r="FC5" s="1180"/>
      <c r="FD5" s="1180"/>
      <c r="FE5" s="1180"/>
      <c r="FF5" s="1180"/>
      <c r="FG5" s="1180"/>
    </row>
    <row r="6" spans="1:163" hidden="1">
      <c r="A6" s="1180"/>
      <c r="B6" s="1180"/>
      <c r="C6" s="1180"/>
      <c r="D6" s="1180"/>
      <c r="E6" s="1180"/>
      <c r="F6" s="1180"/>
      <c r="G6" s="1180"/>
      <c r="H6" s="1180"/>
      <c r="I6" s="1180"/>
      <c r="J6" s="1180"/>
      <c r="K6" s="1180"/>
      <c r="L6" s="1256"/>
      <c r="M6" s="1257"/>
      <c r="N6" s="1180"/>
      <c r="O6" s="1180"/>
      <c r="P6" s="1180"/>
      <c r="Q6" s="1180"/>
      <c r="R6" s="1180"/>
      <c r="S6" s="1180"/>
      <c r="T6" s="1180"/>
      <c r="U6" s="1180"/>
      <c r="V6" s="1180"/>
      <c r="W6" s="1180"/>
      <c r="X6" s="1180"/>
      <c r="Y6" s="1180"/>
      <c r="Z6" s="1180"/>
      <c r="AA6" s="1180"/>
      <c r="AB6" s="1180"/>
      <c r="AC6" s="1180"/>
      <c r="AD6" s="1180"/>
      <c r="AE6" s="1180"/>
      <c r="AF6" s="1180"/>
      <c r="AG6" s="1180"/>
      <c r="AH6" s="1180"/>
      <c r="AI6" s="1180"/>
      <c r="AJ6" s="1180"/>
      <c r="AK6" s="1180"/>
      <c r="AL6" s="1180"/>
      <c r="AM6" s="1180"/>
      <c r="AN6" s="1180"/>
      <c r="AO6" s="1180"/>
      <c r="AP6" s="1180"/>
      <c r="AQ6" s="1180"/>
      <c r="AR6" s="1180"/>
      <c r="AS6" s="1180"/>
      <c r="AT6" s="1180"/>
      <c r="AU6" s="1180"/>
      <c r="AV6" s="1180"/>
      <c r="AW6" s="1180"/>
      <c r="AX6" s="1180"/>
      <c r="AY6" s="1180"/>
      <c r="AZ6" s="1180"/>
      <c r="BA6" s="1180"/>
      <c r="BB6" s="1180"/>
      <c r="BC6" s="1180"/>
      <c r="BD6" s="1180"/>
      <c r="BE6" s="1180"/>
      <c r="BF6" s="1180"/>
      <c r="BG6" s="1180"/>
      <c r="BH6" s="1180"/>
      <c r="BI6" s="1180"/>
      <c r="BJ6" s="1180"/>
      <c r="BK6" s="1180"/>
      <c r="BL6" s="1180"/>
      <c r="BM6" s="1180"/>
      <c r="BN6" s="1180"/>
      <c r="BO6" s="1180"/>
      <c r="BP6" s="1180"/>
      <c r="BQ6" s="1180"/>
      <c r="BR6" s="1180"/>
      <c r="BS6" s="1180"/>
      <c r="BT6" s="1180"/>
      <c r="BU6" s="1180"/>
      <c r="BV6" s="1180"/>
      <c r="BW6" s="1180"/>
      <c r="BX6" s="1180"/>
      <c r="BY6" s="1180"/>
      <c r="BZ6" s="1180"/>
      <c r="CA6" s="1180"/>
      <c r="CB6" s="1180"/>
      <c r="CC6" s="1180"/>
      <c r="CD6" s="1180"/>
      <c r="CE6" s="1180"/>
      <c r="CF6" s="1180"/>
      <c r="CG6" s="1180"/>
      <c r="CH6" s="1180"/>
      <c r="CI6" s="1180"/>
      <c r="CJ6" s="1180"/>
      <c r="CK6" s="1180"/>
      <c r="CL6" s="1180"/>
      <c r="CM6" s="1180"/>
      <c r="CN6" s="1180"/>
      <c r="CO6" s="1180"/>
      <c r="CP6" s="1180"/>
      <c r="CQ6" s="1180"/>
      <c r="CR6" s="1180"/>
      <c r="CS6" s="1180"/>
      <c r="CT6" s="1180"/>
      <c r="CU6" s="1180"/>
      <c r="CV6" s="1180"/>
      <c r="CW6" s="1180"/>
      <c r="CX6" s="1180"/>
      <c r="CY6" s="1180"/>
      <c r="CZ6" s="1180"/>
      <c r="DA6" s="1180"/>
      <c r="DB6" s="1180"/>
      <c r="DC6" s="1180"/>
      <c r="DD6" s="1180"/>
      <c r="DE6" s="1180"/>
      <c r="DF6" s="1180"/>
      <c r="DG6" s="1180"/>
      <c r="DH6" s="1180"/>
      <c r="DI6" s="1180"/>
      <c r="DJ6" s="1180"/>
      <c r="DK6" s="1180"/>
      <c r="DL6" s="1180"/>
      <c r="DM6" s="1180"/>
      <c r="DN6" s="1180"/>
      <c r="DO6" s="1180"/>
      <c r="DP6" s="1180"/>
      <c r="DQ6" s="1180"/>
      <c r="DR6" s="1180"/>
      <c r="DS6" s="1180"/>
      <c r="DT6" s="1180"/>
      <c r="DU6" s="1180"/>
      <c r="DV6" s="1180"/>
      <c r="DW6" s="1180"/>
      <c r="DX6" s="1180"/>
      <c r="DY6" s="1180"/>
      <c r="DZ6" s="1180"/>
      <c r="EA6" s="1180"/>
      <c r="EB6" s="1180"/>
      <c r="EC6" s="1180"/>
      <c r="ED6" s="1180"/>
      <c r="EE6" s="1180"/>
      <c r="EF6" s="1180"/>
      <c r="EG6" s="1180"/>
      <c r="EH6" s="1180"/>
      <c r="EI6" s="1180"/>
      <c r="EJ6" s="1180"/>
      <c r="EK6" s="1180"/>
      <c r="EL6" s="1180"/>
      <c r="EM6" s="1180"/>
      <c r="EN6" s="1180"/>
      <c r="EO6" s="1180"/>
      <c r="EP6" s="1180"/>
      <c r="EQ6" s="1180"/>
      <c r="ER6" s="1180"/>
      <c r="ES6" s="1180"/>
      <c r="ET6" s="1180"/>
      <c r="EU6" s="1180"/>
      <c r="EV6" s="1180"/>
      <c r="EW6" s="1180"/>
      <c r="EX6" s="1180"/>
      <c r="EY6" s="1180"/>
      <c r="EZ6" s="1180"/>
      <c r="FA6" s="1180"/>
      <c r="FB6" s="1180"/>
      <c r="FC6" s="1180"/>
      <c r="FD6" s="1180"/>
      <c r="FE6" s="1180"/>
      <c r="FF6" s="1180"/>
      <c r="FG6" s="1180"/>
    </row>
    <row r="7" spans="1:163" hidden="1">
      <c r="A7" s="1180"/>
      <c r="B7" s="1180"/>
      <c r="C7" s="1180"/>
      <c r="D7" s="1180"/>
      <c r="E7" s="1180"/>
      <c r="F7" s="1180"/>
      <c r="G7" s="1180"/>
      <c r="H7" s="1180"/>
      <c r="I7" s="1180"/>
      <c r="J7" s="1180"/>
      <c r="K7" s="1180"/>
      <c r="L7" s="1256"/>
      <c r="M7" s="1257"/>
      <c r="N7" s="1180"/>
      <c r="O7" s="1180"/>
      <c r="P7" s="1180"/>
      <c r="Q7" s="886" t="b">
        <v>1</v>
      </c>
      <c r="R7" s="886" t="b">
        <v>1</v>
      </c>
      <c r="S7" s="886" t="b">
        <v>1</v>
      </c>
      <c r="T7" s="886" t="b">
        <v>1</v>
      </c>
      <c r="U7" s="886" t="b">
        <v>1</v>
      </c>
      <c r="V7" s="886" t="b">
        <v>1</v>
      </c>
      <c r="W7" s="886" t="b">
        <v>1</v>
      </c>
      <c r="X7" s="886" t="b">
        <v>1</v>
      </c>
      <c r="Y7" s="886" t="b">
        <v>1</v>
      </c>
      <c r="Z7" s="886" t="b">
        <v>1</v>
      </c>
      <c r="AA7" s="886" t="b">
        <v>1</v>
      </c>
      <c r="AB7" s="886" t="b">
        <v>1</v>
      </c>
      <c r="AC7" s="886" t="b">
        <v>0</v>
      </c>
      <c r="AD7" s="886" t="b">
        <v>0</v>
      </c>
      <c r="AE7" s="886" t="b">
        <v>0</v>
      </c>
      <c r="AF7" s="886" t="b">
        <v>0</v>
      </c>
      <c r="AG7" s="886" t="b">
        <v>0</v>
      </c>
      <c r="AH7" s="886" t="b">
        <v>0</v>
      </c>
      <c r="AI7" s="886" t="b">
        <v>0</v>
      </c>
      <c r="AJ7" s="886" t="b">
        <v>0</v>
      </c>
      <c r="AK7" s="886" t="b">
        <v>0</v>
      </c>
      <c r="AL7" s="886" t="b">
        <v>0</v>
      </c>
      <c r="AM7" s="886" t="b">
        <v>0</v>
      </c>
      <c r="AN7" s="886" t="b">
        <v>0</v>
      </c>
      <c r="AO7" s="886" t="b">
        <v>0</v>
      </c>
      <c r="AP7" s="886" t="b">
        <v>0</v>
      </c>
      <c r="AQ7" s="886" t="b">
        <v>0</v>
      </c>
      <c r="AR7" s="886" t="b">
        <v>0</v>
      </c>
      <c r="AS7" s="886" t="b">
        <v>0</v>
      </c>
      <c r="AT7" s="886" t="b">
        <v>0</v>
      </c>
      <c r="AU7" s="886" t="b">
        <v>0</v>
      </c>
      <c r="AV7" s="886" t="b">
        <v>0</v>
      </c>
      <c r="AW7" s="886" t="b">
        <v>0</v>
      </c>
      <c r="AX7" s="886" t="b">
        <v>0</v>
      </c>
      <c r="AY7" s="886" t="b">
        <v>0</v>
      </c>
      <c r="AZ7" s="886" t="b">
        <v>0</v>
      </c>
      <c r="BA7" s="886" t="b">
        <v>0</v>
      </c>
      <c r="BB7" s="886" t="b">
        <v>0</v>
      </c>
      <c r="BC7" s="886" t="b">
        <v>0</v>
      </c>
      <c r="BD7" s="886" t="b">
        <v>0</v>
      </c>
      <c r="BE7" s="886" t="b">
        <v>0</v>
      </c>
      <c r="BF7" s="886" t="b">
        <v>0</v>
      </c>
      <c r="BG7" s="886" t="b">
        <v>0</v>
      </c>
      <c r="BH7" s="886" t="b">
        <v>0</v>
      </c>
      <c r="BI7" s="886" t="b">
        <v>0</v>
      </c>
      <c r="BJ7" s="886" t="b">
        <v>0</v>
      </c>
      <c r="BK7" s="886" t="b">
        <v>0</v>
      </c>
      <c r="BL7" s="886" t="b">
        <v>0</v>
      </c>
      <c r="BM7" s="886" t="b">
        <v>0</v>
      </c>
      <c r="BN7" s="886" t="b">
        <v>0</v>
      </c>
      <c r="BO7" s="886" t="b">
        <v>0</v>
      </c>
      <c r="BP7" s="886" t="b">
        <v>0</v>
      </c>
      <c r="BQ7" s="886" t="b">
        <v>0</v>
      </c>
      <c r="BR7" s="886" t="b">
        <v>0</v>
      </c>
      <c r="BS7" s="886" t="b">
        <v>0</v>
      </c>
      <c r="BT7" s="886" t="b">
        <v>0</v>
      </c>
      <c r="BU7" s="886" t="b">
        <v>0</v>
      </c>
      <c r="BV7" s="886" t="b">
        <v>0</v>
      </c>
      <c r="BW7" s="886" t="b">
        <v>0</v>
      </c>
      <c r="BX7" s="886" t="b">
        <v>0</v>
      </c>
      <c r="BY7" s="886" t="b">
        <v>0</v>
      </c>
      <c r="BZ7" s="886" t="b">
        <v>0</v>
      </c>
      <c r="CA7" s="886" t="b">
        <v>0</v>
      </c>
      <c r="CB7" s="886" t="b">
        <v>0</v>
      </c>
      <c r="CC7" s="886" t="b">
        <v>0</v>
      </c>
      <c r="CD7" s="886" t="b">
        <v>0</v>
      </c>
      <c r="CE7" s="886" t="b">
        <v>0</v>
      </c>
      <c r="CF7" s="886" t="b">
        <v>0</v>
      </c>
      <c r="CG7" s="886" t="b">
        <v>0</v>
      </c>
      <c r="CH7" s="886" t="b">
        <v>0</v>
      </c>
      <c r="CI7" s="886" t="b">
        <v>0</v>
      </c>
      <c r="CJ7" s="886" t="b">
        <v>0</v>
      </c>
      <c r="CK7" s="886" t="b">
        <v>0</v>
      </c>
      <c r="CL7" s="886" t="b">
        <v>0</v>
      </c>
      <c r="CM7" s="886" t="b">
        <v>0</v>
      </c>
      <c r="CN7" s="886" t="b">
        <v>0</v>
      </c>
      <c r="CO7" s="886" t="b">
        <v>0</v>
      </c>
      <c r="CP7" s="886" t="b">
        <v>0</v>
      </c>
      <c r="CQ7" s="886" t="b">
        <v>0</v>
      </c>
      <c r="CR7" s="886" t="b">
        <v>0</v>
      </c>
      <c r="CS7" s="886" t="b">
        <v>0</v>
      </c>
      <c r="CT7" s="886" t="b">
        <v>0</v>
      </c>
      <c r="CU7" s="886" t="b">
        <v>0</v>
      </c>
      <c r="CV7" s="886" t="b">
        <v>0</v>
      </c>
      <c r="CW7" s="886" t="b">
        <v>0</v>
      </c>
      <c r="CX7" s="886" t="b">
        <v>0</v>
      </c>
      <c r="CY7" s="886" t="b">
        <v>0</v>
      </c>
      <c r="CZ7" s="886" t="b">
        <v>0</v>
      </c>
      <c r="DA7" s="886" t="b">
        <v>0</v>
      </c>
      <c r="DB7" s="886" t="b">
        <v>0</v>
      </c>
      <c r="DC7" s="886" t="b">
        <v>0</v>
      </c>
      <c r="DD7" s="886" t="b">
        <v>0</v>
      </c>
      <c r="DE7" s="886" t="b">
        <v>0</v>
      </c>
      <c r="DF7" s="886" t="b">
        <v>0</v>
      </c>
      <c r="DG7" s="886" t="b">
        <v>0</v>
      </c>
      <c r="DH7" s="886" t="b">
        <v>0</v>
      </c>
      <c r="DI7" s="886" t="b">
        <v>0</v>
      </c>
      <c r="DJ7" s="886" t="b">
        <v>0</v>
      </c>
      <c r="DK7" s="886" t="b">
        <v>0</v>
      </c>
      <c r="DL7" s="886" t="b">
        <v>0</v>
      </c>
      <c r="DM7" s="886" t="b">
        <v>0</v>
      </c>
      <c r="DN7" s="886" t="b">
        <v>0</v>
      </c>
      <c r="DO7" s="886" t="b">
        <v>0</v>
      </c>
      <c r="DP7" s="886" t="b">
        <v>0</v>
      </c>
      <c r="DQ7" s="886" t="b">
        <v>0</v>
      </c>
      <c r="DR7" s="886" t="b">
        <v>0</v>
      </c>
      <c r="DS7" s="886" t="b">
        <v>0</v>
      </c>
      <c r="DT7" s="886" t="b">
        <v>0</v>
      </c>
      <c r="DU7" s="886" t="b">
        <v>0</v>
      </c>
      <c r="DV7" s="886" t="b">
        <v>0</v>
      </c>
      <c r="DW7" s="886" t="b">
        <v>0</v>
      </c>
      <c r="DX7" s="886" t="b">
        <v>0</v>
      </c>
      <c r="DY7" s="886" t="b">
        <v>0</v>
      </c>
      <c r="DZ7" s="886" t="b">
        <v>0</v>
      </c>
      <c r="EA7" s="886" t="b">
        <v>0</v>
      </c>
      <c r="EB7" s="886" t="b">
        <v>0</v>
      </c>
      <c r="EC7" s="886" t="b">
        <v>0</v>
      </c>
      <c r="ED7" s="886" t="b">
        <v>0</v>
      </c>
      <c r="EE7" s="886" t="b">
        <v>0</v>
      </c>
      <c r="EF7" s="886" t="b">
        <v>0</v>
      </c>
      <c r="EG7" s="886" t="b">
        <v>0</v>
      </c>
      <c r="EH7" s="886" t="b">
        <v>0</v>
      </c>
      <c r="EI7" s="886" t="b">
        <v>0</v>
      </c>
      <c r="EJ7" s="886" t="b">
        <v>0</v>
      </c>
      <c r="EK7" s="886" t="b">
        <v>0</v>
      </c>
      <c r="EL7" s="886" t="b">
        <v>0</v>
      </c>
      <c r="EM7" s="886" t="b">
        <v>0</v>
      </c>
      <c r="EN7" s="886" t="b">
        <v>0</v>
      </c>
      <c r="EO7" s="886" t="b">
        <v>0</v>
      </c>
      <c r="EP7" s="886" t="b">
        <v>0</v>
      </c>
      <c r="EQ7" s="886" t="b">
        <v>0</v>
      </c>
      <c r="ER7" s="886" t="b">
        <v>0</v>
      </c>
      <c r="ES7" s="886" t="b">
        <v>0</v>
      </c>
      <c r="ET7" s="886" t="b">
        <v>0</v>
      </c>
      <c r="EU7" s="886" t="b">
        <v>0</v>
      </c>
      <c r="EV7" s="886" t="b">
        <v>0</v>
      </c>
      <c r="EW7" s="886" t="b">
        <v>0</v>
      </c>
      <c r="EX7" s="886" t="b">
        <v>0</v>
      </c>
      <c r="EY7" s="886" t="b">
        <v>0</v>
      </c>
      <c r="EZ7" s="886" t="b">
        <v>0</v>
      </c>
      <c r="FA7" s="886" t="b">
        <v>0</v>
      </c>
      <c r="FB7" s="886" t="b">
        <v>0</v>
      </c>
      <c r="FC7" s="886" t="b">
        <v>0</v>
      </c>
      <c r="FD7" s="886" t="b">
        <v>0</v>
      </c>
      <c r="FE7" s="886" t="b">
        <v>0</v>
      </c>
      <c r="FF7" s="886" t="b">
        <v>0</v>
      </c>
      <c r="FG7" s="886" t="b">
        <v>0</v>
      </c>
    </row>
    <row r="8" spans="1:163" hidden="1">
      <c r="A8" s="1180"/>
      <c r="B8" s="1180"/>
      <c r="C8" s="1180"/>
      <c r="D8" s="1180"/>
      <c r="E8" s="1180"/>
      <c r="F8" s="1180"/>
      <c r="G8" s="1180"/>
      <c r="H8" s="1180"/>
      <c r="I8" s="1180"/>
      <c r="J8" s="1180"/>
      <c r="K8" s="1180"/>
      <c r="L8" s="1256"/>
      <c r="M8" s="1257"/>
      <c r="N8" s="1180"/>
      <c r="O8" s="1180"/>
      <c r="P8" s="1180"/>
      <c r="Q8" s="1180"/>
      <c r="R8" s="1180"/>
      <c r="S8" s="1180"/>
      <c r="T8" s="1180"/>
      <c r="U8" s="1180"/>
      <c r="V8" s="1180"/>
      <c r="W8" s="1180"/>
      <c r="X8" s="1180"/>
      <c r="Y8" s="1180"/>
      <c r="Z8" s="1180"/>
      <c r="AA8" s="1180"/>
      <c r="AB8" s="1180"/>
      <c r="AC8" s="1180"/>
      <c r="AD8" s="1180"/>
      <c r="AE8" s="1180"/>
      <c r="AF8" s="1180"/>
      <c r="AG8" s="1180"/>
      <c r="AH8" s="1180"/>
      <c r="AI8" s="1180"/>
      <c r="AJ8" s="1180"/>
      <c r="AK8" s="1180"/>
      <c r="AL8" s="1180"/>
      <c r="AM8" s="1180"/>
      <c r="AN8" s="1180"/>
      <c r="AO8" s="1180"/>
      <c r="AP8" s="1180"/>
      <c r="AQ8" s="1180"/>
      <c r="AR8" s="1180"/>
      <c r="AS8" s="1180"/>
      <c r="AT8" s="1180"/>
      <c r="AU8" s="1180"/>
      <c r="AV8" s="1180"/>
      <c r="AW8" s="1180"/>
      <c r="AX8" s="1180"/>
      <c r="AY8" s="1180"/>
      <c r="AZ8" s="1180"/>
      <c r="BA8" s="1180"/>
      <c r="BB8" s="1180"/>
      <c r="BC8" s="1180"/>
      <c r="BD8" s="1180"/>
      <c r="BE8" s="1180"/>
      <c r="BF8" s="1180"/>
      <c r="BG8" s="1180"/>
      <c r="BH8" s="1180"/>
      <c r="BI8" s="1180"/>
      <c r="BJ8" s="1180"/>
      <c r="BK8" s="1180"/>
      <c r="BL8" s="1180"/>
      <c r="BM8" s="1180"/>
      <c r="BN8" s="1180"/>
      <c r="BO8" s="1180"/>
      <c r="BP8" s="1180"/>
      <c r="BQ8" s="1180"/>
      <c r="BR8" s="1180"/>
      <c r="BS8" s="1180"/>
      <c r="BT8" s="1180"/>
      <c r="BU8" s="1180"/>
      <c r="BV8" s="1180"/>
      <c r="BW8" s="1180"/>
      <c r="BX8" s="1180"/>
      <c r="BY8" s="1180"/>
      <c r="BZ8" s="1180"/>
      <c r="CA8" s="1180"/>
      <c r="CB8" s="1180"/>
      <c r="CC8" s="1180"/>
      <c r="CD8" s="1180"/>
      <c r="CE8" s="1180"/>
      <c r="CF8" s="1180"/>
      <c r="CG8" s="1180"/>
      <c r="CH8" s="1180"/>
      <c r="CI8" s="1180"/>
      <c r="CJ8" s="1180"/>
      <c r="CK8" s="1180"/>
      <c r="CL8" s="1180"/>
      <c r="CM8" s="1180"/>
      <c r="CN8" s="1180"/>
      <c r="CO8" s="1180"/>
      <c r="CP8" s="1180"/>
      <c r="CQ8" s="1180"/>
      <c r="CR8" s="1180"/>
      <c r="CS8" s="1180"/>
      <c r="CT8" s="1180"/>
      <c r="CU8" s="1180"/>
      <c r="CV8" s="1180"/>
      <c r="CW8" s="1180"/>
      <c r="CX8" s="1180"/>
      <c r="CY8" s="1180"/>
      <c r="CZ8" s="1180"/>
      <c r="DA8" s="1180"/>
      <c r="DB8" s="1180"/>
      <c r="DC8" s="1180"/>
      <c r="DD8" s="1180"/>
      <c r="DE8" s="1180"/>
      <c r="DF8" s="1180"/>
      <c r="DG8" s="1180"/>
      <c r="DH8" s="1180"/>
      <c r="DI8" s="1180"/>
      <c r="DJ8" s="1180"/>
      <c r="DK8" s="1180"/>
      <c r="DL8" s="1180"/>
      <c r="DM8" s="1180"/>
      <c r="DN8" s="1180"/>
      <c r="DO8" s="1180"/>
      <c r="DP8" s="1180"/>
      <c r="DQ8" s="1180"/>
      <c r="DR8" s="1180"/>
      <c r="DS8" s="1180"/>
      <c r="DT8" s="1180"/>
      <c r="DU8" s="1180"/>
      <c r="DV8" s="1180"/>
      <c r="DW8" s="1180"/>
      <c r="DX8" s="1180"/>
      <c r="DY8" s="1180"/>
      <c r="DZ8" s="1180"/>
      <c r="EA8" s="1180"/>
      <c r="EB8" s="1180"/>
      <c r="EC8" s="1180"/>
      <c r="ED8" s="1180"/>
      <c r="EE8" s="1180"/>
      <c r="EF8" s="1180"/>
      <c r="EG8" s="1180"/>
      <c r="EH8" s="1180"/>
      <c r="EI8" s="1180"/>
      <c r="EJ8" s="1180"/>
      <c r="EK8" s="1180"/>
      <c r="EL8" s="1180"/>
      <c r="EM8" s="1180"/>
      <c r="EN8" s="1180"/>
      <c r="EO8" s="1180"/>
      <c r="EP8" s="1180"/>
      <c r="EQ8" s="1180"/>
      <c r="ER8" s="1180"/>
      <c r="ES8" s="1180"/>
      <c r="ET8" s="1180"/>
      <c r="EU8" s="1180"/>
      <c r="EV8" s="1180"/>
      <c r="EW8" s="1180"/>
      <c r="EX8" s="1180"/>
      <c r="EY8" s="1180"/>
      <c r="EZ8" s="1180"/>
      <c r="FA8" s="1180"/>
      <c r="FB8" s="1180"/>
      <c r="FC8" s="1180"/>
      <c r="FD8" s="1180"/>
      <c r="FE8" s="1180"/>
      <c r="FF8" s="1180"/>
      <c r="FG8" s="1180"/>
    </row>
    <row r="9" spans="1:163" hidden="1">
      <c r="A9" s="1180"/>
      <c r="B9" s="1180"/>
      <c r="C9" s="1180"/>
      <c r="D9" s="1180"/>
      <c r="E9" s="1180"/>
      <c r="F9" s="1180"/>
      <c r="G9" s="1180"/>
      <c r="H9" s="1180"/>
      <c r="I9" s="1180"/>
      <c r="J9" s="1180"/>
      <c r="K9" s="1180"/>
      <c r="L9" s="1256"/>
      <c r="M9" s="1257"/>
      <c r="N9" s="1180"/>
      <c r="O9" s="1180"/>
      <c r="P9" s="1180"/>
      <c r="Q9" s="1180"/>
      <c r="R9" s="1180"/>
      <c r="S9" s="1180"/>
      <c r="T9" s="1180"/>
      <c r="U9" s="1180"/>
      <c r="V9" s="1180"/>
      <c r="W9" s="1180"/>
      <c r="X9" s="1180"/>
      <c r="Y9" s="1180"/>
      <c r="Z9" s="1180"/>
      <c r="AA9" s="1180"/>
      <c r="AB9" s="1180"/>
      <c r="AC9" s="1180"/>
      <c r="AD9" s="1180"/>
      <c r="AE9" s="1180"/>
      <c r="AF9" s="1180"/>
      <c r="AG9" s="1180"/>
      <c r="AH9" s="1180"/>
      <c r="AI9" s="1180"/>
      <c r="AJ9" s="1180"/>
      <c r="AK9" s="1180"/>
      <c r="AL9" s="1180"/>
      <c r="AM9" s="1180"/>
      <c r="AN9" s="1180"/>
      <c r="AO9" s="1180"/>
      <c r="AP9" s="1180"/>
      <c r="AQ9" s="1180"/>
      <c r="AR9" s="1180"/>
      <c r="AS9" s="1180"/>
      <c r="AT9" s="1180"/>
      <c r="AU9" s="1180"/>
      <c r="AV9" s="1180"/>
      <c r="AW9" s="1180"/>
      <c r="AX9" s="1180"/>
      <c r="AY9" s="1180"/>
      <c r="AZ9" s="1180"/>
      <c r="BA9" s="1180"/>
      <c r="BB9" s="1180"/>
      <c r="BC9" s="1180"/>
      <c r="BD9" s="1180"/>
      <c r="BE9" s="1180"/>
      <c r="BF9" s="1180"/>
      <c r="BG9" s="1180"/>
      <c r="BH9" s="1180"/>
      <c r="BI9" s="1180"/>
      <c r="BJ9" s="1180"/>
      <c r="BK9" s="1180"/>
      <c r="BL9" s="1180"/>
      <c r="BM9" s="1180"/>
      <c r="BN9" s="1180"/>
      <c r="BO9" s="1180"/>
      <c r="BP9" s="1180"/>
      <c r="BQ9" s="1180"/>
      <c r="BR9" s="1180"/>
      <c r="BS9" s="1180"/>
      <c r="BT9" s="1180"/>
      <c r="BU9" s="1180"/>
      <c r="BV9" s="1180"/>
      <c r="BW9" s="1180"/>
      <c r="BX9" s="1180"/>
      <c r="BY9" s="1180"/>
      <c r="BZ9" s="1180"/>
      <c r="CA9" s="1180"/>
      <c r="CB9" s="1180"/>
      <c r="CC9" s="1180"/>
      <c r="CD9" s="1180"/>
      <c r="CE9" s="1180"/>
      <c r="CF9" s="1180"/>
      <c r="CG9" s="1180"/>
      <c r="CH9" s="1180"/>
      <c r="CI9" s="1180"/>
      <c r="CJ9" s="1180"/>
      <c r="CK9" s="1180"/>
      <c r="CL9" s="1180"/>
      <c r="CM9" s="1180"/>
      <c r="CN9" s="1180"/>
      <c r="CO9" s="1180"/>
      <c r="CP9" s="1180"/>
      <c r="CQ9" s="1180"/>
      <c r="CR9" s="1180"/>
      <c r="CS9" s="1180"/>
      <c r="CT9" s="1180"/>
      <c r="CU9" s="1180"/>
      <c r="CV9" s="1180"/>
      <c r="CW9" s="1180"/>
      <c r="CX9" s="1180"/>
      <c r="CY9" s="1180"/>
      <c r="CZ9" s="1180"/>
      <c r="DA9" s="1180"/>
      <c r="DB9" s="1180"/>
      <c r="DC9" s="1180"/>
      <c r="DD9" s="1180"/>
      <c r="DE9" s="1180"/>
      <c r="DF9" s="1180"/>
      <c r="DG9" s="1180"/>
      <c r="DH9" s="1180"/>
      <c r="DI9" s="1180"/>
      <c r="DJ9" s="1180"/>
      <c r="DK9" s="1180"/>
      <c r="DL9" s="1180"/>
      <c r="DM9" s="1180"/>
      <c r="DN9" s="1180"/>
      <c r="DO9" s="1180"/>
      <c r="DP9" s="1180"/>
      <c r="DQ9" s="1180"/>
      <c r="DR9" s="1180"/>
      <c r="DS9" s="1180"/>
      <c r="DT9" s="1180"/>
      <c r="DU9" s="1180"/>
      <c r="DV9" s="1180"/>
      <c r="DW9" s="1180"/>
      <c r="DX9" s="1180"/>
      <c r="DY9" s="1180"/>
      <c r="DZ9" s="1180"/>
      <c r="EA9" s="1180"/>
      <c r="EB9" s="1180"/>
      <c r="EC9" s="1180"/>
      <c r="ED9" s="1180"/>
      <c r="EE9" s="1180"/>
      <c r="EF9" s="1180"/>
      <c r="EG9" s="1180"/>
      <c r="EH9" s="1180"/>
      <c r="EI9" s="1180"/>
      <c r="EJ9" s="1180"/>
      <c r="EK9" s="1180"/>
      <c r="EL9" s="1180"/>
      <c r="EM9" s="1180"/>
      <c r="EN9" s="1180"/>
      <c r="EO9" s="1180"/>
      <c r="EP9" s="1180"/>
      <c r="EQ9" s="1180"/>
      <c r="ER9" s="1180"/>
      <c r="ES9" s="1180"/>
      <c r="ET9" s="1180"/>
      <c r="EU9" s="1180"/>
      <c r="EV9" s="1180"/>
      <c r="EW9" s="1180"/>
      <c r="EX9" s="1180"/>
      <c r="EY9" s="1180"/>
      <c r="EZ9" s="1180"/>
      <c r="FA9" s="1180"/>
      <c r="FB9" s="1180"/>
      <c r="FC9" s="1180"/>
      <c r="FD9" s="1180"/>
      <c r="FE9" s="1180"/>
      <c r="FF9" s="1180"/>
      <c r="FG9" s="1180"/>
    </row>
    <row r="10" spans="1:163" hidden="1">
      <c r="A10" s="1180"/>
      <c r="B10" s="1180"/>
      <c r="C10" s="1180"/>
      <c r="D10" s="1180"/>
      <c r="E10" s="1180"/>
      <c r="F10" s="1180"/>
      <c r="G10" s="1180"/>
      <c r="H10" s="1180"/>
      <c r="I10" s="1180"/>
      <c r="J10" s="1180"/>
      <c r="K10" s="1180"/>
      <c r="L10" s="1256"/>
      <c r="M10" s="1257"/>
      <c r="N10" s="1180"/>
      <c r="O10" s="1180"/>
      <c r="P10" s="1180"/>
      <c r="Q10" s="1180"/>
      <c r="R10" s="1180"/>
      <c r="S10" s="1180"/>
      <c r="T10" s="1180"/>
      <c r="U10" s="1180"/>
      <c r="V10" s="1180"/>
      <c r="W10" s="1180"/>
      <c r="X10" s="1180"/>
      <c r="Y10" s="1180"/>
      <c r="Z10" s="1180"/>
      <c r="AA10" s="1180"/>
      <c r="AB10" s="1180"/>
      <c r="AC10" s="1180"/>
      <c r="AD10" s="1180"/>
      <c r="AE10" s="1180"/>
      <c r="AF10" s="1180"/>
      <c r="AG10" s="1180"/>
      <c r="AH10" s="1180"/>
      <c r="AI10" s="1180"/>
      <c r="AJ10" s="1180"/>
      <c r="AK10" s="1180"/>
      <c r="AL10" s="1180"/>
      <c r="AM10" s="1180"/>
      <c r="AN10" s="1180"/>
      <c r="AO10" s="1180"/>
      <c r="AP10" s="1180"/>
      <c r="AQ10" s="1180"/>
      <c r="AR10" s="1180"/>
      <c r="AS10" s="1180"/>
      <c r="AT10" s="1180"/>
      <c r="AU10" s="1180"/>
      <c r="AV10" s="1180"/>
      <c r="AW10" s="1180"/>
      <c r="AX10" s="1180"/>
      <c r="AY10" s="1180"/>
      <c r="AZ10" s="1180"/>
      <c r="BA10" s="1180"/>
      <c r="BB10" s="1180"/>
      <c r="BC10" s="1180"/>
      <c r="BD10" s="1180"/>
      <c r="BE10" s="1180"/>
      <c r="BF10" s="1180"/>
      <c r="BG10" s="1180"/>
      <c r="BH10" s="1180"/>
      <c r="BI10" s="1180"/>
      <c r="BJ10" s="1180"/>
      <c r="BK10" s="1180"/>
      <c r="BL10" s="1180"/>
      <c r="BM10" s="1180"/>
      <c r="BN10" s="1180"/>
      <c r="BO10" s="1180"/>
      <c r="BP10" s="1180"/>
      <c r="BQ10" s="1180"/>
      <c r="BR10" s="1180"/>
      <c r="BS10" s="1180"/>
      <c r="BT10" s="1180"/>
      <c r="BU10" s="1180"/>
      <c r="BV10" s="1180"/>
      <c r="BW10" s="1180"/>
      <c r="BX10" s="1180"/>
      <c r="BY10" s="1180"/>
      <c r="BZ10" s="1180"/>
      <c r="CA10" s="1180"/>
      <c r="CB10" s="1180"/>
      <c r="CC10" s="1180"/>
      <c r="CD10" s="1180"/>
      <c r="CE10" s="1180"/>
      <c r="CF10" s="1180"/>
      <c r="CG10" s="1180"/>
      <c r="CH10" s="1180"/>
      <c r="CI10" s="1180"/>
      <c r="CJ10" s="1180"/>
      <c r="CK10" s="1180"/>
      <c r="CL10" s="1180"/>
      <c r="CM10" s="1180"/>
      <c r="CN10" s="1180"/>
      <c r="CO10" s="1180"/>
      <c r="CP10" s="1180"/>
      <c r="CQ10" s="1180"/>
      <c r="CR10" s="1180"/>
      <c r="CS10" s="1180"/>
      <c r="CT10" s="1180"/>
      <c r="CU10" s="1180"/>
      <c r="CV10" s="1180"/>
      <c r="CW10" s="1180"/>
      <c r="CX10" s="1180"/>
      <c r="CY10" s="1180"/>
      <c r="CZ10" s="1180"/>
      <c r="DA10" s="1180"/>
      <c r="DB10" s="1180"/>
      <c r="DC10" s="1180"/>
      <c r="DD10" s="1180"/>
      <c r="DE10" s="1180"/>
      <c r="DF10" s="1180"/>
      <c r="DG10" s="1180"/>
      <c r="DH10" s="1180"/>
      <c r="DI10" s="1180"/>
      <c r="DJ10" s="1180"/>
      <c r="DK10" s="1180"/>
      <c r="DL10" s="1180"/>
      <c r="DM10" s="1180"/>
      <c r="DN10" s="1180"/>
      <c r="DO10" s="1180"/>
      <c r="DP10" s="1180"/>
      <c r="DQ10" s="1180"/>
      <c r="DR10" s="1180"/>
      <c r="DS10" s="1180"/>
      <c r="DT10" s="1180"/>
      <c r="DU10" s="1180"/>
      <c r="DV10" s="1180"/>
      <c r="DW10" s="1180"/>
      <c r="DX10" s="1180"/>
      <c r="DY10" s="1180"/>
      <c r="DZ10" s="1180"/>
      <c r="EA10" s="1180"/>
      <c r="EB10" s="1180"/>
      <c r="EC10" s="1180"/>
      <c r="ED10" s="1180"/>
      <c r="EE10" s="1180"/>
      <c r="EF10" s="1180"/>
      <c r="EG10" s="1180"/>
      <c r="EH10" s="1180"/>
      <c r="EI10" s="1180"/>
      <c r="EJ10" s="1180"/>
      <c r="EK10" s="1180"/>
      <c r="EL10" s="1180"/>
      <c r="EM10" s="1180"/>
      <c r="EN10" s="1180"/>
      <c r="EO10" s="1180"/>
      <c r="EP10" s="1180"/>
      <c r="EQ10" s="1180"/>
      <c r="ER10" s="1180"/>
      <c r="ES10" s="1180"/>
      <c r="ET10" s="1180"/>
      <c r="EU10" s="1180"/>
      <c r="EV10" s="1180"/>
      <c r="EW10" s="1180"/>
      <c r="EX10" s="1180"/>
      <c r="EY10" s="1180"/>
      <c r="EZ10" s="1180"/>
      <c r="FA10" s="1180"/>
      <c r="FB10" s="1180"/>
      <c r="FC10" s="1180"/>
      <c r="FD10" s="1180"/>
      <c r="FE10" s="1180"/>
      <c r="FF10" s="1180"/>
      <c r="FG10" s="1180"/>
    </row>
    <row r="11" spans="1:163" ht="15" hidden="1" customHeight="1">
      <c r="A11" s="1180"/>
      <c r="B11" s="1180"/>
      <c r="C11" s="1180"/>
      <c r="D11" s="1180"/>
      <c r="E11" s="1180"/>
      <c r="F11" s="1180"/>
      <c r="G11" s="1180"/>
      <c r="H11" s="1180"/>
      <c r="I11" s="1180"/>
      <c r="J11" s="1180"/>
      <c r="K11" s="1180"/>
      <c r="L11" s="1258"/>
      <c r="M11" s="1257"/>
      <c r="N11" s="1180"/>
      <c r="O11" s="1180"/>
      <c r="P11" s="1180"/>
      <c r="Q11" s="1180"/>
      <c r="R11" s="1180"/>
      <c r="S11" s="1180"/>
      <c r="T11" s="1180"/>
      <c r="U11" s="1180"/>
      <c r="V11" s="1180"/>
      <c r="W11" s="1180"/>
      <c r="X11" s="1180"/>
      <c r="Y11" s="1180"/>
      <c r="Z11" s="1180"/>
      <c r="AA11" s="1180"/>
      <c r="AB11" s="1180"/>
      <c r="AC11" s="1180"/>
      <c r="AD11" s="1180"/>
      <c r="AE11" s="1180"/>
      <c r="AF11" s="1180"/>
      <c r="AG11" s="1180"/>
      <c r="AH11" s="1180"/>
      <c r="AI11" s="1180"/>
      <c r="AJ11" s="1180"/>
      <c r="AK11" s="1180"/>
      <c r="AL11" s="1180"/>
      <c r="AM11" s="1180"/>
      <c r="AN11" s="1180"/>
      <c r="AO11" s="1180"/>
      <c r="AP11" s="1180"/>
      <c r="AQ11" s="1180"/>
      <c r="AR11" s="1180"/>
      <c r="AS11" s="1180"/>
      <c r="AT11" s="1180"/>
      <c r="AU11" s="1180"/>
      <c r="AV11" s="1180"/>
      <c r="AW11" s="1180"/>
      <c r="AX11" s="1180"/>
      <c r="AY11" s="1180"/>
      <c r="AZ11" s="1180"/>
      <c r="BA11" s="1180"/>
      <c r="BB11" s="1180"/>
      <c r="BC11" s="1180"/>
      <c r="BD11" s="1180"/>
      <c r="BE11" s="1180"/>
      <c r="BF11" s="1180"/>
      <c r="BG11" s="1180"/>
      <c r="BH11" s="1180"/>
      <c r="BI11" s="1180"/>
      <c r="BJ11" s="1180"/>
      <c r="BK11" s="1180"/>
      <c r="BL11" s="1180"/>
      <c r="BM11" s="1180"/>
      <c r="BN11" s="1180"/>
      <c r="BO11" s="1180"/>
      <c r="BP11" s="1180"/>
      <c r="BQ11" s="1180"/>
      <c r="BR11" s="1180"/>
      <c r="BS11" s="1180"/>
      <c r="BT11" s="1180"/>
      <c r="BU11" s="1180"/>
      <c r="BV11" s="1180"/>
      <c r="BW11" s="1180"/>
      <c r="BX11" s="1180"/>
      <c r="BY11" s="1180"/>
      <c r="BZ11" s="1180"/>
      <c r="CA11" s="1180"/>
      <c r="CB11" s="1180"/>
      <c r="CC11" s="1180"/>
      <c r="CD11" s="1180"/>
      <c r="CE11" s="1180"/>
      <c r="CF11" s="1180"/>
      <c r="CG11" s="1180"/>
      <c r="CH11" s="1180"/>
      <c r="CI11" s="1180"/>
      <c r="CJ11" s="1180"/>
      <c r="CK11" s="1180"/>
      <c r="CL11" s="1180"/>
      <c r="CM11" s="1180"/>
      <c r="CN11" s="1180"/>
      <c r="CO11" s="1180"/>
      <c r="CP11" s="1180"/>
      <c r="CQ11" s="1180"/>
      <c r="CR11" s="1180"/>
      <c r="CS11" s="1180"/>
      <c r="CT11" s="1180"/>
      <c r="CU11" s="1180"/>
      <c r="CV11" s="1180"/>
      <c r="CW11" s="1180"/>
      <c r="CX11" s="1180"/>
      <c r="CY11" s="1180"/>
      <c r="CZ11" s="1180"/>
      <c r="DA11" s="1180"/>
      <c r="DB11" s="1180"/>
      <c r="DC11" s="1180"/>
      <c r="DD11" s="1180"/>
      <c r="DE11" s="1180"/>
      <c r="DF11" s="1180"/>
      <c r="DG11" s="1180"/>
      <c r="DH11" s="1180"/>
      <c r="DI11" s="1180"/>
      <c r="DJ11" s="1180"/>
      <c r="DK11" s="1180"/>
      <c r="DL11" s="1180"/>
      <c r="DM11" s="1180"/>
      <c r="DN11" s="1180"/>
      <c r="DO11" s="1180"/>
      <c r="DP11" s="1180"/>
      <c r="DQ11" s="1180"/>
      <c r="DR11" s="1180"/>
      <c r="DS11" s="1180"/>
      <c r="DT11" s="1180"/>
      <c r="DU11" s="1180"/>
      <c r="DV11" s="1180"/>
      <c r="DW11" s="1180"/>
      <c r="DX11" s="1180"/>
      <c r="DY11" s="1180"/>
      <c r="DZ11" s="1180"/>
      <c r="EA11" s="1180"/>
      <c r="EB11" s="1180"/>
      <c r="EC11" s="1180"/>
      <c r="ED11" s="1180"/>
      <c r="EE11" s="1180"/>
      <c r="EF11" s="1180"/>
      <c r="EG11" s="1180"/>
      <c r="EH11" s="1180"/>
      <c r="EI11" s="1180"/>
      <c r="EJ11" s="1180"/>
      <c r="EK11" s="1180"/>
      <c r="EL11" s="1180"/>
      <c r="EM11" s="1180"/>
      <c r="EN11" s="1180"/>
      <c r="EO11" s="1180"/>
      <c r="EP11" s="1180"/>
      <c r="EQ11" s="1180"/>
      <c r="ER11" s="1180"/>
      <c r="ES11" s="1180"/>
      <c r="ET11" s="1180"/>
      <c r="EU11" s="1180"/>
      <c r="EV11" s="1180"/>
      <c r="EW11" s="1180"/>
      <c r="EX11" s="1180"/>
      <c r="EY11" s="1180"/>
      <c r="EZ11" s="1180"/>
      <c r="FA11" s="1180"/>
      <c r="FB11" s="1180"/>
      <c r="FC11" s="1180"/>
      <c r="FD11" s="1180"/>
      <c r="FE11" s="1180"/>
      <c r="FF11" s="1180"/>
      <c r="FG11" s="1180"/>
    </row>
    <row r="12" spans="1:163" s="296" customFormat="1" ht="24" customHeight="1">
      <c r="A12" s="1049"/>
      <c r="B12" s="1049"/>
      <c r="C12" s="1049"/>
      <c r="D12" s="1049"/>
      <c r="E12" s="1049"/>
      <c r="F12" s="1049"/>
      <c r="G12" s="1049"/>
      <c r="H12" s="1049"/>
      <c r="I12" s="1049"/>
      <c r="J12" s="1049"/>
      <c r="K12" s="1049"/>
      <c r="L12" s="436" t="s">
        <v>1340</v>
      </c>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row>
    <row r="13" spans="1:163">
      <c r="A13" s="1180"/>
      <c r="B13" s="1180"/>
      <c r="C13" s="1180"/>
      <c r="D13" s="1180"/>
      <c r="E13" s="1180"/>
      <c r="F13" s="1180"/>
      <c r="G13" s="1180"/>
      <c r="H13" s="1180"/>
      <c r="I13" s="1180"/>
      <c r="J13" s="1180"/>
      <c r="K13" s="1180"/>
      <c r="L13" s="1257"/>
      <c r="M13" s="1257"/>
      <c r="N13" s="1257"/>
      <c r="O13" s="1180"/>
      <c r="P13" s="1180"/>
      <c r="Q13" s="1180"/>
      <c r="R13" s="1180"/>
      <c r="S13" s="1180"/>
      <c r="T13" s="1180"/>
      <c r="U13" s="1180"/>
      <c r="V13" s="1180"/>
      <c r="W13" s="1180"/>
      <c r="X13" s="1180"/>
      <c r="Y13" s="1180"/>
      <c r="Z13" s="1180"/>
      <c r="AA13" s="1180"/>
      <c r="AB13" s="1180"/>
      <c r="AC13" s="1180"/>
      <c r="AD13" s="1180"/>
      <c r="AE13" s="1180"/>
      <c r="AF13" s="1180"/>
      <c r="AG13" s="1180"/>
      <c r="AH13" s="1180"/>
      <c r="AI13" s="1180"/>
      <c r="AJ13" s="1180"/>
      <c r="AK13" s="1180"/>
      <c r="AL13" s="1180"/>
      <c r="AM13" s="1180"/>
      <c r="AN13" s="1180"/>
      <c r="AO13" s="1180"/>
      <c r="AP13" s="1180"/>
      <c r="AQ13" s="1180"/>
      <c r="AR13" s="1180"/>
      <c r="AS13" s="1180"/>
      <c r="AT13" s="1180"/>
      <c r="AU13" s="1180"/>
      <c r="AV13" s="1180"/>
      <c r="AW13" s="1180"/>
      <c r="AX13" s="1180"/>
      <c r="AY13" s="1180"/>
      <c r="AZ13" s="1180"/>
      <c r="BA13" s="1180"/>
      <c r="BB13" s="1180"/>
      <c r="BC13" s="1180"/>
      <c r="BD13" s="1180"/>
      <c r="BE13" s="1180"/>
      <c r="BF13" s="1180"/>
      <c r="BG13" s="1180"/>
      <c r="BH13" s="1180"/>
      <c r="BI13" s="1180"/>
      <c r="BJ13" s="1180"/>
      <c r="BK13" s="1180"/>
      <c r="BL13" s="1180"/>
      <c r="BM13" s="1180"/>
      <c r="BN13" s="1180"/>
      <c r="BO13" s="1180"/>
      <c r="BP13" s="1180"/>
      <c r="BQ13" s="1180"/>
      <c r="BR13" s="1180"/>
      <c r="BS13" s="1180"/>
      <c r="BT13" s="1180"/>
      <c r="BU13" s="1180"/>
      <c r="BV13" s="1180"/>
      <c r="BW13" s="1180"/>
      <c r="BX13" s="1180"/>
      <c r="BY13" s="1180"/>
      <c r="BZ13" s="1180"/>
      <c r="CA13" s="1180"/>
      <c r="CB13" s="1180"/>
      <c r="CC13" s="1180"/>
      <c r="CD13" s="1180"/>
      <c r="CE13" s="1180"/>
      <c r="CF13" s="1180"/>
      <c r="CG13" s="1180"/>
      <c r="CH13" s="1180"/>
      <c r="CI13" s="1180"/>
      <c r="CJ13" s="1180"/>
      <c r="CK13" s="1180"/>
      <c r="CL13" s="1180"/>
      <c r="CM13" s="1180"/>
      <c r="CN13" s="1180"/>
      <c r="CO13" s="1180"/>
      <c r="CP13" s="1180"/>
      <c r="CQ13" s="1180"/>
      <c r="CR13" s="1180"/>
      <c r="CS13" s="1180"/>
      <c r="CT13" s="1180"/>
      <c r="CU13" s="1180"/>
      <c r="CV13" s="1180"/>
      <c r="CW13" s="1180"/>
      <c r="CX13" s="1180"/>
      <c r="CY13" s="1180"/>
      <c r="CZ13" s="1180"/>
      <c r="DA13" s="1180"/>
      <c r="DB13" s="1180"/>
      <c r="DC13" s="1180"/>
      <c r="DD13" s="1180"/>
      <c r="DE13" s="1180"/>
      <c r="DF13" s="1180"/>
      <c r="DG13" s="1180"/>
      <c r="DH13" s="1180"/>
      <c r="DI13" s="1180"/>
      <c r="DJ13" s="1180"/>
      <c r="DK13" s="1180"/>
      <c r="DL13" s="1180"/>
      <c r="DM13" s="1180"/>
      <c r="DN13" s="1180"/>
      <c r="DO13" s="1180"/>
      <c r="DP13" s="1180"/>
      <c r="DQ13" s="1180"/>
      <c r="DR13" s="1180"/>
      <c r="DS13" s="1180"/>
      <c r="DT13" s="1180"/>
      <c r="DU13" s="1180"/>
      <c r="DV13" s="1180"/>
      <c r="DW13" s="1180"/>
      <c r="DX13" s="1180"/>
      <c r="DY13" s="1180"/>
      <c r="DZ13" s="1180"/>
      <c r="EA13" s="1180"/>
      <c r="EB13" s="1180"/>
      <c r="EC13" s="1180"/>
      <c r="ED13" s="1180"/>
      <c r="EE13" s="1180"/>
      <c r="EF13" s="1180"/>
      <c r="EG13" s="1180"/>
      <c r="EH13" s="1180"/>
      <c r="EI13" s="1180"/>
      <c r="EJ13" s="1180"/>
      <c r="EK13" s="1180"/>
      <c r="EL13" s="1180"/>
      <c r="EM13" s="1180"/>
      <c r="EN13" s="1180"/>
      <c r="EO13" s="1180"/>
      <c r="EP13" s="1180"/>
      <c r="EQ13" s="1180"/>
      <c r="ER13" s="1180"/>
      <c r="ES13" s="1180"/>
      <c r="ET13" s="1180"/>
      <c r="EU13" s="1180"/>
      <c r="EV13" s="1180"/>
      <c r="EW13" s="1180"/>
      <c r="EX13" s="1180"/>
      <c r="EY13" s="1180"/>
      <c r="EZ13" s="1180"/>
      <c r="FA13" s="1180"/>
      <c r="FB13" s="1180"/>
      <c r="FC13" s="1180"/>
      <c r="FD13" s="1180"/>
      <c r="FE13" s="1180"/>
      <c r="FF13" s="1180"/>
      <c r="FG13" s="1180"/>
    </row>
    <row r="14" spans="1:163" s="296" customFormat="1" ht="19.5">
      <c r="A14" s="1049"/>
      <c r="B14" s="1049"/>
      <c r="C14" s="1049"/>
      <c r="D14" s="1049"/>
      <c r="E14" s="1049"/>
      <c r="F14" s="1049"/>
      <c r="G14" s="1049" t="b">
        <v>1</v>
      </c>
      <c r="H14" s="1049"/>
      <c r="I14" s="1049"/>
      <c r="J14" s="1049"/>
      <c r="K14" s="1259"/>
      <c r="L14" s="1260" t="s">
        <v>1341</v>
      </c>
      <c r="M14" s="1261"/>
      <c r="N14" s="1261"/>
      <c r="O14" s="1261"/>
      <c r="P14" s="1261"/>
      <c r="Q14" s="1261"/>
      <c r="R14" s="1261"/>
      <c r="S14" s="1261"/>
      <c r="T14" s="1261"/>
      <c r="U14" s="1261"/>
      <c r="V14" s="1261"/>
      <c r="W14" s="1261"/>
      <c r="X14" s="1261"/>
      <c r="Y14" s="1261"/>
      <c r="Z14" s="1261"/>
      <c r="AA14" s="1261"/>
      <c r="AB14" s="1261"/>
      <c r="AC14" s="1261"/>
      <c r="AD14" s="1261"/>
      <c r="AE14" s="1261"/>
      <c r="AF14" s="1261"/>
      <c r="AG14" s="1261"/>
      <c r="AH14" s="1261"/>
      <c r="AI14" s="1261"/>
      <c r="AJ14" s="1261"/>
      <c r="AK14" s="1261"/>
      <c r="AL14" s="1261"/>
      <c r="AM14" s="1261"/>
      <c r="AN14" s="1261"/>
      <c r="AO14" s="1261"/>
      <c r="AP14" s="1261"/>
      <c r="AQ14" s="1262"/>
      <c r="AR14" s="1262"/>
      <c r="AS14" s="1262"/>
      <c r="AT14" s="1262"/>
      <c r="AU14" s="1262"/>
      <c r="AV14" s="1262"/>
      <c r="AW14" s="1262"/>
      <c r="AX14" s="1262"/>
      <c r="AY14" s="1262"/>
      <c r="AZ14" s="1262"/>
      <c r="BA14" s="1262"/>
      <c r="BB14" s="1262"/>
      <c r="BC14" s="1262"/>
      <c r="BD14" s="1262"/>
      <c r="BE14" s="1262"/>
      <c r="BF14" s="1262"/>
      <c r="BG14" s="1262"/>
      <c r="BH14" s="1262"/>
      <c r="BI14" s="1262"/>
      <c r="BJ14" s="1262"/>
      <c r="BK14" s="1262"/>
      <c r="BL14" s="1262"/>
      <c r="BM14" s="1262"/>
      <c r="BN14" s="1262"/>
      <c r="BO14" s="1262"/>
      <c r="BP14" s="1262"/>
      <c r="BQ14" s="1262"/>
      <c r="BR14" s="1262"/>
      <c r="BS14" s="1262"/>
      <c r="BT14" s="1262"/>
      <c r="BU14" s="1262"/>
      <c r="BV14" s="1262"/>
      <c r="BW14" s="1262"/>
      <c r="BX14" s="1262"/>
      <c r="BY14" s="1262"/>
      <c r="BZ14" s="1262"/>
      <c r="CA14" s="1262"/>
      <c r="CB14" s="1262"/>
      <c r="CC14" s="1262"/>
      <c r="CD14" s="1262"/>
      <c r="CE14" s="1262"/>
      <c r="CF14" s="1262"/>
      <c r="CG14" s="1262"/>
      <c r="CH14" s="1262"/>
      <c r="CI14" s="1262"/>
      <c r="CJ14" s="1262"/>
      <c r="CK14" s="1262"/>
      <c r="CL14" s="1262"/>
      <c r="CM14" s="1262"/>
      <c r="CN14" s="1262"/>
      <c r="CO14" s="1262"/>
      <c r="CP14" s="1262"/>
      <c r="CQ14" s="1262"/>
      <c r="CR14" s="1262"/>
      <c r="CS14" s="1262"/>
      <c r="CT14" s="1262"/>
      <c r="CU14" s="1262"/>
      <c r="CV14" s="1262"/>
      <c r="CW14" s="1262"/>
      <c r="CX14" s="1262"/>
      <c r="CY14" s="1262"/>
      <c r="CZ14" s="1262"/>
      <c r="DA14" s="1262"/>
      <c r="DB14" s="1262"/>
      <c r="DC14" s="1262"/>
      <c r="DD14" s="1262"/>
      <c r="DE14" s="1262"/>
      <c r="DF14" s="1262"/>
      <c r="DG14" s="1262"/>
      <c r="DH14" s="1262"/>
      <c r="DI14" s="1262"/>
      <c r="DJ14" s="1262"/>
      <c r="DK14" s="1262"/>
      <c r="DL14" s="1262"/>
      <c r="DM14" s="1262"/>
      <c r="DN14" s="1262"/>
      <c r="DO14" s="1262"/>
      <c r="DP14" s="1262"/>
      <c r="DQ14" s="1262"/>
      <c r="DR14" s="1262"/>
      <c r="DS14" s="1262"/>
      <c r="DT14" s="1262"/>
      <c r="DU14" s="1262"/>
      <c r="DV14" s="1262"/>
      <c r="DW14" s="1262"/>
      <c r="DX14" s="1262"/>
      <c r="DY14" s="1262"/>
      <c r="DZ14" s="1262"/>
      <c r="EA14" s="1262"/>
      <c r="EB14" s="1262"/>
      <c r="EC14" s="1262"/>
      <c r="ED14" s="1262"/>
      <c r="EE14" s="1262"/>
      <c r="EF14" s="1262"/>
      <c r="EG14" s="1262"/>
      <c r="EH14" s="1262"/>
      <c r="EI14" s="1262"/>
      <c r="EJ14" s="1262"/>
      <c r="EK14" s="1262"/>
      <c r="EL14" s="1262"/>
      <c r="EM14" s="1262"/>
      <c r="EN14" s="1262"/>
      <c r="EO14" s="1262"/>
      <c r="EP14" s="1262"/>
      <c r="EQ14" s="1262"/>
      <c r="ER14" s="1262"/>
      <c r="ES14" s="1262"/>
      <c r="ET14" s="1262"/>
      <c r="EU14" s="1262"/>
      <c r="EV14" s="1262"/>
      <c r="EW14" s="1262"/>
      <c r="EX14" s="1262"/>
      <c r="EY14" s="1262"/>
      <c r="EZ14" s="1262"/>
      <c r="FA14" s="1262"/>
      <c r="FB14" s="1262"/>
      <c r="FC14" s="1262"/>
      <c r="FD14" s="1262"/>
      <c r="FE14" s="1262"/>
      <c r="FF14" s="1262"/>
      <c r="FG14" s="1262"/>
    </row>
    <row r="15" spans="1:163">
      <c r="A15" s="1180"/>
      <c r="B15" s="1180"/>
      <c r="C15" s="1180"/>
      <c r="D15" s="1180"/>
      <c r="E15" s="1180"/>
      <c r="F15" s="1180"/>
      <c r="G15" s="1049" t="b">
        <v>1</v>
      </c>
      <c r="H15" s="1180"/>
      <c r="I15" s="1180"/>
      <c r="J15" s="1180"/>
      <c r="K15" s="1180"/>
      <c r="L15" s="1263" t="s">
        <v>121</v>
      </c>
      <c r="M15" s="1263" t="s">
        <v>135</v>
      </c>
      <c r="N15" s="1264" t="s">
        <v>3022</v>
      </c>
      <c r="O15" s="1265"/>
      <c r="P15" s="1266"/>
      <c r="Q15" s="1264" t="s">
        <v>3060</v>
      </c>
      <c r="R15" s="1265"/>
      <c r="S15" s="1266"/>
      <c r="T15" s="1264" t="s">
        <v>3061</v>
      </c>
      <c r="U15" s="1265"/>
      <c r="V15" s="1266"/>
      <c r="W15" s="1264" t="s">
        <v>3062</v>
      </c>
      <c r="X15" s="1265"/>
      <c r="Y15" s="1266"/>
      <c r="Z15" s="1264" t="s">
        <v>3063</v>
      </c>
      <c r="AA15" s="1265"/>
      <c r="AB15" s="1266"/>
      <c r="AC15" s="1264" t="s">
        <v>3064</v>
      </c>
      <c r="AD15" s="1265"/>
      <c r="AE15" s="1266"/>
      <c r="AF15" s="1264" t="s">
        <v>3065</v>
      </c>
      <c r="AG15" s="1265"/>
      <c r="AH15" s="1266"/>
      <c r="AI15" s="1264" t="s">
        <v>3066</v>
      </c>
      <c r="AJ15" s="1265"/>
      <c r="AK15" s="1266"/>
      <c r="AL15" s="1264" t="s">
        <v>3067</v>
      </c>
      <c r="AM15" s="1265"/>
      <c r="AN15" s="1266"/>
      <c r="AO15" s="1264" t="s">
        <v>3068</v>
      </c>
      <c r="AP15" s="1265"/>
      <c r="AQ15" s="1266"/>
      <c r="AR15" s="1264" t="s">
        <v>3219</v>
      </c>
      <c r="AS15" s="1265"/>
      <c r="AT15" s="1266"/>
      <c r="AU15" s="1264" t="s">
        <v>3220</v>
      </c>
      <c r="AV15" s="1265"/>
      <c r="AW15" s="1266"/>
      <c r="AX15" s="1264" t="s">
        <v>3221</v>
      </c>
      <c r="AY15" s="1265"/>
      <c r="AZ15" s="1266"/>
      <c r="BA15" s="1264" t="s">
        <v>3222</v>
      </c>
      <c r="BB15" s="1265"/>
      <c r="BC15" s="1266"/>
      <c r="BD15" s="1264" t="s">
        <v>3223</v>
      </c>
      <c r="BE15" s="1265"/>
      <c r="BF15" s="1266"/>
      <c r="BG15" s="1264" t="s">
        <v>3224</v>
      </c>
      <c r="BH15" s="1265"/>
      <c r="BI15" s="1266"/>
      <c r="BJ15" s="1264" t="s">
        <v>3225</v>
      </c>
      <c r="BK15" s="1265"/>
      <c r="BL15" s="1266"/>
      <c r="BM15" s="1264" t="s">
        <v>3226</v>
      </c>
      <c r="BN15" s="1265"/>
      <c r="BO15" s="1266"/>
      <c r="BP15" s="1264" t="s">
        <v>3227</v>
      </c>
      <c r="BQ15" s="1265"/>
      <c r="BR15" s="1266"/>
      <c r="BS15" s="1264" t="s">
        <v>3228</v>
      </c>
      <c r="BT15" s="1265"/>
      <c r="BU15" s="1266"/>
      <c r="BV15" s="1264" t="s">
        <v>3229</v>
      </c>
      <c r="BW15" s="1265"/>
      <c r="BX15" s="1266"/>
      <c r="BY15" s="1264" t="s">
        <v>3230</v>
      </c>
      <c r="BZ15" s="1265"/>
      <c r="CA15" s="1266"/>
      <c r="CB15" s="1264" t="s">
        <v>3231</v>
      </c>
      <c r="CC15" s="1265"/>
      <c r="CD15" s="1266"/>
      <c r="CE15" s="1264" t="s">
        <v>3232</v>
      </c>
      <c r="CF15" s="1265"/>
      <c r="CG15" s="1266"/>
      <c r="CH15" s="1264" t="s">
        <v>3233</v>
      </c>
      <c r="CI15" s="1265"/>
      <c r="CJ15" s="1266"/>
      <c r="CK15" s="1264" t="s">
        <v>3234</v>
      </c>
      <c r="CL15" s="1265"/>
      <c r="CM15" s="1266"/>
      <c r="CN15" s="1264" t="s">
        <v>3235</v>
      </c>
      <c r="CO15" s="1265"/>
      <c r="CP15" s="1266"/>
      <c r="CQ15" s="1264" t="s">
        <v>3236</v>
      </c>
      <c r="CR15" s="1265"/>
      <c r="CS15" s="1266"/>
      <c r="CT15" s="1264" t="s">
        <v>3237</v>
      </c>
      <c r="CU15" s="1265"/>
      <c r="CV15" s="1266"/>
      <c r="CW15" s="1264" t="s">
        <v>3238</v>
      </c>
      <c r="CX15" s="1265"/>
      <c r="CY15" s="1266"/>
      <c r="CZ15" s="1264" t="s">
        <v>3239</v>
      </c>
      <c r="DA15" s="1265"/>
      <c r="DB15" s="1266"/>
      <c r="DC15" s="1264" t="s">
        <v>3240</v>
      </c>
      <c r="DD15" s="1265"/>
      <c r="DE15" s="1266"/>
      <c r="DF15" s="1264" t="s">
        <v>3241</v>
      </c>
      <c r="DG15" s="1265"/>
      <c r="DH15" s="1266"/>
      <c r="DI15" s="1264" t="s">
        <v>3242</v>
      </c>
      <c r="DJ15" s="1265"/>
      <c r="DK15" s="1266"/>
      <c r="DL15" s="1264" t="s">
        <v>3243</v>
      </c>
      <c r="DM15" s="1265"/>
      <c r="DN15" s="1266"/>
      <c r="DO15" s="1264" t="s">
        <v>3244</v>
      </c>
      <c r="DP15" s="1265"/>
      <c r="DQ15" s="1266"/>
      <c r="DR15" s="1264" t="s">
        <v>3245</v>
      </c>
      <c r="DS15" s="1265"/>
      <c r="DT15" s="1266"/>
      <c r="DU15" s="1264" t="s">
        <v>3246</v>
      </c>
      <c r="DV15" s="1265"/>
      <c r="DW15" s="1266"/>
      <c r="DX15" s="1264" t="s">
        <v>3247</v>
      </c>
      <c r="DY15" s="1265"/>
      <c r="DZ15" s="1266"/>
      <c r="EA15" s="1264" t="s">
        <v>3248</v>
      </c>
      <c r="EB15" s="1265"/>
      <c r="EC15" s="1266"/>
      <c r="ED15" s="1264" t="s">
        <v>3249</v>
      </c>
      <c r="EE15" s="1265"/>
      <c r="EF15" s="1266"/>
      <c r="EG15" s="1264" t="s">
        <v>3250</v>
      </c>
      <c r="EH15" s="1265"/>
      <c r="EI15" s="1266"/>
      <c r="EJ15" s="1264" t="s">
        <v>3251</v>
      </c>
      <c r="EK15" s="1265"/>
      <c r="EL15" s="1266"/>
      <c r="EM15" s="1264" t="s">
        <v>3252</v>
      </c>
      <c r="EN15" s="1265"/>
      <c r="EO15" s="1266"/>
      <c r="EP15" s="1264" t="s">
        <v>3253</v>
      </c>
      <c r="EQ15" s="1265"/>
      <c r="ER15" s="1266"/>
      <c r="ES15" s="1264" t="s">
        <v>3254</v>
      </c>
      <c r="ET15" s="1265"/>
      <c r="EU15" s="1266"/>
      <c r="EV15" s="1264" t="s">
        <v>3255</v>
      </c>
      <c r="EW15" s="1265"/>
      <c r="EX15" s="1266"/>
      <c r="EY15" s="1264" t="s">
        <v>3256</v>
      </c>
      <c r="EZ15" s="1265"/>
      <c r="FA15" s="1266"/>
      <c r="FB15" s="1264" t="s">
        <v>3257</v>
      </c>
      <c r="FC15" s="1265"/>
      <c r="FD15" s="1266"/>
      <c r="FE15" s="1264" t="s">
        <v>3258</v>
      </c>
      <c r="FF15" s="1265"/>
      <c r="FG15" s="1266"/>
    </row>
    <row r="16" spans="1:163" ht="33.75">
      <c r="A16" s="1180"/>
      <c r="B16" s="1180"/>
      <c r="C16" s="1180"/>
      <c r="D16" s="1180"/>
      <c r="E16" s="1180"/>
      <c r="F16" s="1180"/>
      <c r="G16" s="1049" t="b">
        <v>1</v>
      </c>
      <c r="H16" s="1180"/>
      <c r="I16" s="1180"/>
      <c r="J16" s="1180"/>
      <c r="K16" s="1180"/>
      <c r="L16" s="1263"/>
      <c r="M16" s="1263"/>
      <c r="N16" s="1267" t="s">
        <v>268</v>
      </c>
      <c r="O16" s="1267" t="s">
        <v>267</v>
      </c>
      <c r="P16" s="1267" t="s">
        <v>1359</v>
      </c>
      <c r="Q16" s="1267" t="s">
        <v>268</v>
      </c>
      <c r="R16" s="1267" t="s">
        <v>267</v>
      </c>
      <c r="S16" s="1267" t="s">
        <v>1359</v>
      </c>
      <c r="T16" s="1267" t="s">
        <v>268</v>
      </c>
      <c r="U16" s="1267" t="s">
        <v>267</v>
      </c>
      <c r="V16" s="1267" t="s">
        <v>1359</v>
      </c>
      <c r="W16" s="1267" t="s">
        <v>268</v>
      </c>
      <c r="X16" s="1267" t="s">
        <v>267</v>
      </c>
      <c r="Y16" s="1267" t="s">
        <v>1359</v>
      </c>
      <c r="Z16" s="1267" t="s">
        <v>268</v>
      </c>
      <c r="AA16" s="1267" t="s">
        <v>267</v>
      </c>
      <c r="AB16" s="1267" t="s">
        <v>1359</v>
      </c>
      <c r="AC16" s="1267" t="s">
        <v>268</v>
      </c>
      <c r="AD16" s="1267" t="s">
        <v>267</v>
      </c>
      <c r="AE16" s="1267" t="s">
        <v>1359</v>
      </c>
      <c r="AF16" s="1267" t="s">
        <v>268</v>
      </c>
      <c r="AG16" s="1267" t="s">
        <v>267</v>
      </c>
      <c r="AH16" s="1267" t="s">
        <v>1359</v>
      </c>
      <c r="AI16" s="1267" t="s">
        <v>268</v>
      </c>
      <c r="AJ16" s="1267" t="s">
        <v>267</v>
      </c>
      <c r="AK16" s="1267" t="s">
        <v>1359</v>
      </c>
      <c r="AL16" s="1267" t="s">
        <v>268</v>
      </c>
      <c r="AM16" s="1267" t="s">
        <v>267</v>
      </c>
      <c r="AN16" s="1267" t="s">
        <v>1359</v>
      </c>
      <c r="AO16" s="1267" t="s">
        <v>268</v>
      </c>
      <c r="AP16" s="1267" t="s">
        <v>267</v>
      </c>
      <c r="AQ16" s="1267" t="s">
        <v>1359</v>
      </c>
      <c r="AR16" s="1267" t="s">
        <v>268</v>
      </c>
      <c r="AS16" s="1267" t="s">
        <v>267</v>
      </c>
      <c r="AT16" s="1267" t="s">
        <v>1359</v>
      </c>
      <c r="AU16" s="1267" t="s">
        <v>268</v>
      </c>
      <c r="AV16" s="1267" t="s">
        <v>267</v>
      </c>
      <c r="AW16" s="1267" t="s">
        <v>1359</v>
      </c>
      <c r="AX16" s="1267" t="s">
        <v>268</v>
      </c>
      <c r="AY16" s="1267" t="s">
        <v>267</v>
      </c>
      <c r="AZ16" s="1267" t="s">
        <v>1359</v>
      </c>
      <c r="BA16" s="1267" t="s">
        <v>268</v>
      </c>
      <c r="BB16" s="1267" t="s">
        <v>267</v>
      </c>
      <c r="BC16" s="1267" t="s">
        <v>1359</v>
      </c>
      <c r="BD16" s="1267" t="s">
        <v>268</v>
      </c>
      <c r="BE16" s="1267" t="s">
        <v>267</v>
      </c>
      <c r="BF16" s="1267" t="s">
        <v>1359</v>
      </c>
      <c r="BG16" s="1267" t="s">
        <v>268</v>
      </c>
      <c r="BH16" s="1267" t="s">
        <v>267</v>
      </c>
      <c r="BI16" s="1267" t="s">
        <v>1359</v>
      </c>
      <c r="BJ16" s="1267" t="s">
        <v>268</v>
      </c>
      <c r="BK16" s="1267" t="s">
        <v>267</v>
      </c>
      <c r="BL16" s="1267" t="s">
        <v>1359</v>
      </c>
      <c r="BM16" s="1267" t="s">
        <v>268</v>
      </c>
      <c r="BN16" s="1267" t="s">
        <v>267</v>
      </c>
      <c r="BO16" s="1267" t="s">
        <v>1359</v>
      </c>
      <c r="BP16" s="1267" t="s">
        <v>268</v>
      </c>
      <c r="BQ16" s="1267" t="s">
        <v>267</v>
      </c>
      <c r="BR16" s="1267" t="s">
        <v>1359</v>
      </c>
      <c r="BS16" s="1267" t="s">
        <v>268</v>
      </c>
      <c r="BT16" s="1267" t="s">
        <v>267</v>
      </c>
      <c r="BU16" s="1267" t="s">
        <v>1359</v>
      </c>
      <c r="BV16" s="1267" t="s">
        <v>268</v>
      </c>
      <c r="BW16" s="1267" t="s">
        <v>267</v>
      </c>
      <c r="BX16" s="1267" t="s">
        <v>1359</v>
      </c>
      <c r="BY16" s="1267" t="s">
        <v>268</v>
      </c>
      <c r="BZ16" s="1267" t="s">
        <v>267</v>
      </c>
      <c r="CA16" s="1267" t="s">
        <v>1359</v>
      </c>
      <c r="CB16" s="1267" t="s">
        <v>268</v>
      </c>
      <c r="CC16" s="1267" t="s">
        <v>267</v>
      </c>
      <c r="CD16" s="1267" t="s">
        <v>1359</v>
      </c>
      <c r="CE16" s="1267" t="s">
        <v>268</v>
      </c>
      <c r="CF16" s="1267" t="s">
        <v>267</v>
      </c>
      <c r="CG16" s="1267" t="s">
        <v>1359</v>
      </c>
      <c r="CH16" s="1267" t="s">
        <v>268</v>
      </c>
      <c r="CI16" s="1267" t="s">
        <v>267</v>
      </c>
      <c r="CJ16" s="1267" t="s">
        <v>1359</v>
      </c>
      <c r="CK16" s="1267" t="s">
        <v>268</v>
      </c>
      <c r="CL16" s="1267" t="s">
        <v>267</v>
      </c>
      <c r="CM16" s="1267" t="s">
        <v>1359</v>
      </c>
      <c r="CN16" s="1267" t="s">
        <v>268</v>
      </c>
      <c r="CO16" s="1267" t="s">
        <v>267</v>
      </c>
      <c r="CP16" s="1267" t="s">
        <v>1359</v>
      </c>
      <c r="CQ16" s="1267" t="s">
        <v>268</v>
      </c>
      <c r="CR16" s="1267" t="s">
        <v>267</v>
      </c>
      <c r="CS16" s="1267" t="s">
        <v>1359</v>
      </c>
      <c r="CT16" s="1267" t="s">
        <v>268</v>
      </c>
      <c r="CU16" s="1267" t="s">
        <v>267</v>
      </c>
      <c r="CV16" s="1267" t="s">
        <v>1359</v>
      </c>
      <c r="CW16" s="1267" t="s">
        <v>268</v>
      </c>
      <c r="CX16" s="1267" t="s">
        <v>267</v>
      </c>
      <c r="CY16" s="1267" t="s">
        <v>1359</v>
      </c>
      <c r="CZ16" s="1267" t="s">
        <v>268</v>
      </c>
      <c r="DA16" s="1267" t="s">
        <v>267</v>
      </c>
      <c r="DB16" s="1267" t="s">
        <v>1359</v>
      </c>
      <c r="DC16" s="1267" t="s">
        <v>268</v>
      </c>
      <c r="DD16" s="1267" t="s">
        <v>267</v>
      </c>
      <c r="DE16" s="1267" t="s">
        <v>1359</v>
      </c>
      <c r="DF16" s="1267" t="s">
        <v>268</v>
      </c>
      <c r="DG16" s="1267" t="s">
        <v>267</v>
      </c>
      <c r="DH16" s="1267" t="s">
        <v>1359</v>
      </c>
      <c r="DI16" s="1267" t="s">
        <v>268</v>
      </c>
      <c r="DJ16" s="1267" t="s">
        <v>267</v>
      </c>
      <c r="DK16" s="1267" t="s">
        <v>1359</v>
      </c>
      <c r="DL16" s="1267" t="s">
        <v>268</v>
      </c>
      <c r="DM16" s="1267" t="s">
        <v>267</v>
      </c>
      <c r="DN16" s="1267" t="s">
        <v>1359</v>
      </c>
      <c r="DO16" s="1267" t="s">
        <v>268</v>
      </c>
      <c r="DP16" s="1267" t="s">
        <v>267</v>
      </c>
      <c r="DQ16" s="1267" t="s">
        <v>1359</v>
      </c>
      <c r="DR16" s="1267" t="s">
        <v>268</v>
      </c>
      <c r="DS16" s="1267" t="s">
        <v>267</v>
      </c>
      <c r="DT16" s="1267" t="s">
        <v>1359</v>
      </c>
      <c r="DU16" s="1267" t="s">
        <v>268</v>
      </c>
      <c r="DV16" s="1267" t="s">
        <v>267</v>
      </c>
      <c r="DW16" s="1267" t="s">
        <v>1359</v>
      </c>
      <c r="DX16" s="1267" t="s">
        <v>268</v>
      </c>
      <c r="DY16" s="1267" t="s">
        <v>267</v>
      </c>
      <c r="DZ16" s="1267" t="s">
        <v>1359</v>
      </c>
      <c r="EA16" s="1267" t="s">
        <v>268</v>
      </c>
      <c r="EB16" s="1267" t="s">
        <v>267</v>
      </c>
      <c r="EC16" s="1267" t="s">
        <v>1359</v>
      </c>
      <c r="ED16" s="1267" t="s">
        <v>268</v>
      </c>
      <c r="EE16" s="1267" t="s">
        <v>267</v>
      </c>
      <c r="EF16" s="1267" t="s">
        <v>1359</v>
      </c>
      <c r="EG16" s="1267" t="s">
        <v>268</v>
      </c>
      <c r="EH16" s="1267" t="s">
        <v>267</v>
      </c>
      <c r="EI16" s="1267" t="s">
        <v>1359</v>
      </c>
      <c r="EJ16" s="1267" t="s">
        <v>268</v>
      </c>
      <c r="EK16" s="1267" t="s">
        <v>267</v>
      </c>
      <c r="EL16" s="1267" t="s">
        <v>1359</v>
      </c>
      <c r="EM16" s="1267" t="s">
        <v>268</v>
      </c>
      <c r="EN16" s="1267" t="s">
        <v>267</v>
      </c>
      <c r="EO16" s="1267" t="s">
        <v>1359</v>
      </c>
      <c r="EP16" s="1267" t="s">
        <v>268</v>
      </c>
      <c r="EQ16" s="1267" t="s">
        <v>267</v>
      </c>
      <c r="ER16" s="1267" t="s">
        <v>1359</v>
      </c>
      <c r="ES16" s="1267" t="s">
        <v>268</v>
      </c>
      <c r="ET16" s="1267" t="s">
        <v>267</v>
      </c>
      <c r="EU16" s="1267" t="s">
        <v>1359</v>
      </c>
      <c r="EV16" s="1267" t="s">
        <v>268</v>
      </c>
      <c r="EW16" s="1267" t="s">
        <v>267</v>
      </c>
      <c r="EX16" s="1267" t="s">
        <v>1359</v>
      </c>
      <c r="EY16" s="1267" t="s">
        <v>268</v>
      </c>
      <c r="EZ16" s="1267" t="s">
        <v>267</v>
      </c>
      <c r="FA16" s="1267" t="s">
        <v>1359</v>
      </c>
      <c r="FB16" s="1267" t="s">
        <v>268</v>
      </c>
      <c r="FC16" s="1267" t="s">
        <v>267</v>
      </c>
      <c r="FD16" s="1267" t="s">
        <v>1359</v>
      </c>
      <c r="FE16" s="1267" t="s">
        <v>268</v>
      </c>
      <c r="FF16" s="1267" t="s">
        <v>267</v>
      </c>
      <c r="FG16" s="1267" t="s">
        <v>1359</v>
      </c>
    </row>
    <row r="17" spans="1:163" s="665" customFormat="1">
      <c r="A17" s="944" t="s">
        <v>18</v>
      </c>
      <c r="B17" s="1180"/>
      <c r="C17" s="1180"/>
      <c r="D17" s="1180"/>
      <c r="E17" s="1180"/>
      <c r="F17" s="1180" t="s">
        <v>995</v>
      </c>
      <c r="G17" s="1049"/>
      <c r="H17" s="1180"/>
      <c r="I17" s="1180"/>
      <c r="J17" s="1180"/>
      <c r="K17" s="1180"/>
      <c r="L17" s="1268" t="s">
        <v>16</v>
      </c>
      <c r="M17" s="1269"/>
      <c r="N17" s="1270" t="s">
        <v>3017</v>
      </c>
      <c r="O17" s="1271"/>
      <c r="P17" s="1271"/>
      <c r="Q17" s="1271"/>
      <c r="R17" s="1271"/>
      <c r="S17" s="1271"/>
      <c r="T17" s="1271"/>
      <c r="U17" s="1271"/>
      <c r="V17" s="1271"/>
      <c r="W17" s="1271"/>
      <c r="X17" s="1271"/>
      <c r="Y17" s="1271"/>
      <c r="Z17" s="1271"/>
      <c r="AA17" s="1271"/>
      <c r="AB17" s="1271"/>
      <c r="AC17" s="1271"/>
      <c r="AD17" s="1271"/>
      <c r="AE17" s="1271"/>
      <c r="AF17" s="1271"/>
      <c r="AG17" s="1271"/>
      <c r="AH17" s="1271"/>
      <c r="AI17" s="1271"/>
      <c r="AJ17" s="1271"/>
      <c r="AK17" s="1271"/>
      <c r="AL17" s="1271"/>
      <c r="AM17" s="1271"/>
      <c r="AN17" s="1271"/>
      <c r="AO17" s="1271"/>
      <c r="AP17" s="1271"/>
      <c r="AQ17" s="1271"/>
      <c r="AR17" s="1271"/>
      <c r="AS17" s="1271"/>
      <c r="AT17" s="1271"/>
      <c r="AU17" s="1271"/>
      <c r="AV17" s="1271"/>
      <c r="AW17" s="1271"/>
      <c r="AX17" s="1271"/>
      <c r="AY17" s="1271"/>
      <c r="AZ17" s="1271"/>
      <c r="BA17" s="1271"/>
      <c r="BB17" s="1271"/>
      <c r="BC17" s="1271"/>
      <c r="BD17" s="1271"/>
      <c r="BE17" s="1271"/>
      <c r="BF17" s="1271"/>
      <c r="BG17" s="1271"/>
      <c r="BH17" s="1271"/>
      <c r="BI17" s="1271"/>
      <c r="BJ17" s="1271"/>
      <c r="BK17" s="1271"/>
      <c r="BL17" s="1271"/>
      <c r="BM17" s="1271"/>
      <c r="BN17" s="1271"/>
      <c r="BO17" s="1271"/>
      <c r="BP17" s="1271"/>
      <c r="BQ17" s="1271"/>
      <c r="BR17" s="1271"/>
      <c r="BS17" s="1271"/>
      <c r="BT17" s="1271"/>
      <c r="BU17" s="1271"/>
      <c r="BV17" s="1271"/>
      <c r="BW17" s="1271"/>
      <c r="BX17" s="1271"/>
      <c r="BY17" s="1271"/>
      <c r="BZ17" s="1271"/>
      <c r="CA17" s="1271"/>
      <c r="CB17" s="1271"/>
      <c r="CC17" s="1271"/>
      <c r="CD17" s="1271"/>
      <c r="CE17" s="1271"/>
      <c r="CF17" s="1271"/>
      <c r="CG17" s="1271"/>
      <c r="CH17" s="1271"/>
      <c r="CI17" s="1271"/>
      <c r="CJ17" s="1271"/>
      <c r="CK17" s="1271"/>
      <c r="CL17" s="1271"/>
      <c r="CM17" s="1271"/>
      <c r="CN17" s="1271"/>
      <c r="CO17" s="1271"/>
      <c r="CP17" s="1271"/>
      <c r="CQ17" s="1271"/>
      <c r="CR17" s="1271"/>
      <c r="CS17" s="1271"/>
      <c r="CT17" s="1271"/>
      <c r="CU17" s="1271"/>
      <c r="CV17" s="1271"/>
      <c r="CW17" s="1271"/>
      <c r="CX17" s="1271"/>
      <c r="CY17" s="1271"/>
      <c r="CZ17" s="1271"/>
      <c r="DA17" s="1271"/>
      <c r="DB17" s="1271"/>
      <c r="DC17" s="1271"/>
      <c r="DD17" s="1271"/>
      <c r="DE17" s="1271"/>
      <c r="DF17" s="1271"/>
      <c r="DG17" s="1271"/>
      <c r="DH17" s="1271"/>
      <c r="DI17" s="1271"/>
      <c r="DJ17" s="1271"/>
      <c r="DK17" s="1271"/>
      <c r="DL17" s="1271"/>
      <c r="DM17" s="1271"/>
      <c r="DN17" s="1271"/>
      <c r="DO17" s="1271"/>
      <c r="DP17" s="1271"/>
      <c r="DQ17" s="1271"/>
      <c r="DR17" s="1271"/>
      <c r="DS17" s="1271"/>
      <c r="DT17" s="1271"/>
      <c r="DU17" s="1271"/>
      <c r="DV17" s="1271"/>
      <c r="DW17" s="1271"/>
      <c r="DX17" s="1271"/>
      <c r="DY17" s="1271"/>
      <c r="DZ17" s="1271"/>
      <c r="EA17" s="1271"/>
      <c r="EB17" s="1271"/>
      <c r="EC17" s="1271"/>
      <c r="ED17" s="1271"/>
      <c r="EE17" s="1271"/>
      <c r="EF17" s="1271"/>
      <c r="EG17" s="1271"/>
      <c r="EH17" s="1271"/>
      <c r="EI17" s="1271"/>
      <c r="EJ17" s="1271"/>
      <c r="EK17" s="1271"/>
      <c r="EL17" s="1271"/>
      <c r="EM17" s="1271"/>
      <c r="EN17" s="1271"/>
      <c r="EO17" s="1271"/>
      <c r="EP17" s="1271"/>
      <c r="EQ17" s="1271"/>
      <c r="ER17" s="1271"/>
      <c r="ES17" s="1271"/>
      <c r="ET17" s="1271"/>
      <c r="EU17" s="1271"/>
      <c r="EV17" s="1271"/>
      <c r="EW17" s="1271"/>
      <c r="EX17" s="1271"/>
      <c r="EY17" s="1271"/>
      <c r="EZ17" s="1271"/>
      <c r="FA17" s="1271"/>
      <c r="FB17" s="1271"/>
      <c r="FC17" s="1271"/>
      <c r="FD17" s="1271"/>
      <c r="FE17" s="1271"/>
      <c r="FF17" s="1271"/>
      <c r="FG17" s="1272"/>
    </row>
    <row r="18" spans="1:163" s="665" customFormat="1">
      <c r="A18" s="1180">
        <v>1</v>
      </c>
      <c r="B18" s="1180"/>
      <c r="C18" s="1180"/>
      <c r="D18" s="1180"/>
      <c r="E18" s="1180"/>
      <c r="F18" s="1180"/>
      <c r="G18" s="1180"/>
      <c r="H18" s="1180"/>
      <c r="I18" s="1180"/>
      <c r="J18" s="1180"/>
      <c r="K18" s="1180"/>
      <c r="L18" s="1273" t="s">
        <v>656</v>
      </c>
      <c r="M18" s="1274"/>
      <c r="N18" s="1270" t="s">
        <v>997</v>
      </c>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1275"/>
      <c r="DG18" s="1275"/>
      <c r="DH18" s="1275"/>
      <c r="DI18" s="1275"/>
      <c r="DJ18" s="1275"/>
      <c r="DK18" s="1275"/>
      <c r="DL18" s="1275"/>
      <c r="DM18" s="1275"/>
      <c r="DN18" s="1275"/>
      <c r="DO18" s="1275"/>
      <c r="DP18" s="1275"/>
      <c r="DQ18" s="1275"/>
      <c r="DR18" s="1275"/>
      <c r="DS18" s="1275"/>
      <c r="DT18" s="1275"/>
      <c r="DU18" s="1275"/>
      <c r="DV18" s="1275"/>
      <c r="DW18" s="1275"/>
      <c r="DX18" s="1275"/>
      <c r="DY18" s="1275"/>
      <c r="DZ18" s="1275"/>
      <c r="EA18" s="1275"/>
      <c r="EB18" s="1275"/>
      <c r="EC18" s="1275"/>
      <c r="ED18" s="1275"/>
      <c r="EE18" s="1275"/>
      <c r="EF18" s="1275"/>
      <c r="EG18" s="1275"/>
      <c r="EH18" s="1275"/>
      <c r="EI18" s="1275"/>
      <c r="EJ18" s="1275"/>
      <c r="EK18" s="1275"/>
      <c r="EL18" s="1275"/>
      <c r="EM18" s="1275"/>
      <c r="EN18" s="1275"/>
      <c r="EO18" s="1275"/>
      <c r="EP18" s="1275"/>
      <c r="EQ18" s="1275"/>
      <c r="ER18" s="1275"/>
      <c r="ES18" s="1275"/>
      <c r="ET18" s="1275"/>
      <c r="EU18" s="1275"/>
      <c r="EV18" s="1275"/>
      <c r="EW18" s="1275"/>
      <c r="EX18" s="1275"/>
      <c r="EY18" s="1275"/>
      <c r="EZ18" s="1275"/>
      <c r="FA18" s="1275"/>
      <c r="FB18" s="1275"/>
      <c r="FC18" s="1275"/>
      <c r="FD18" s="1275"/>
      <c r="FE18" s="1275"/>
      <c r="FF18" s="1275"/>
      <c r="FG18" s="1276"/>
    </row>
    <row r="19" spans="1:163" s="665" customFormat="1">
      <c r="A19" s="1180">
        <v>1</v>
      </c>
      <c r="B19" s="1180"/>
      <c r="C19" s="1180"/>
      <c r="D19" s="1180"/>
      <c r="E19" s="1180"/>
      <c r="F19" s="1180"/>
      <c r="G19" s="1180"/>
      <c r="H19" s="1180"/>
      <c r="I19" s="1180"/>
      <c r="J19" s="1180"/>
      <c r="K19" s="1180"/>
      <c r="L19" s="1273" t="s">
        <v>657</v>
      </c>
      <c r="M19" s="1274"/>
      <c r="N19" s="1270" t="s">
        <v>1097</v>
      </c>
      <c r="O19" s="1275"/>
      <c r="P19" s="1275"/>
      <c r="Q19" s="1275"/>
      <c r="R19" s="1275"/>
      <c r="S19" s="1275"/>
      <c r="T19" s="1275"/>
      <c r="U19" s="1275"/>
      <c r="V19" s="1275"/>
      <c r="W19" s="1275"/>
      <c r="X19" s="1275"/>
      <c r="Y19" s="1275"/>
      <c r="Z19" s="1275"/>
      <c r="AA19" s="1275"/>
      <c r="AB19" s="1275"/>
      <c r="AC19" s="1275"/>
      <c r="AD19" s="1275"/>
      <c r="AE19" s="1275"/>
      <c r="AF19" s="1275"/>
      <c r="AG19" s="1275"/>
      <c r="AH19" s="1275"/>
      <c r="AI19" s="1275"/>
      <c r="AJ19" s="1275"/>
      <c r="AK19" s="1275"/>
      <c r="AL19" s="1275"/>
      <c r="AM19" s="1275"/>
      <c r="AN19" s="1275"/>
      <c r="AO19" s="1275"/>
      <c r="AP19" s="1275"/>
      <c r="AQ19" s="1275"/>
      <c r="AR19" s="1275"/>
      <c r="AS19" s="1275"/>
      <c r="AT19" s="1275"/>
      <c r="AU19" s="1275"/>
      <c r="AV19" s="1275"/>
      <c r="AW19" s="1275"/>
      <c r="AX19" s="1275"/>
      <c r="AY19" s="1275"/>
      <c r="AZ19" s="1275"/>
      <c r="BA19" s="1275"/>
      <c r="BB19" s="1275"/>
      <c r="BC19" s="1275"/>
      <c r="BD19" s="1275"/>
      <c r="BE19" s="1275"/>
      <c r="BF19" s="1275"/>
      <c r="BG19" s="1275"/>
      <c r="BH19" s="1275"/>
      <c r="BI19" s="1275"/>
      <c r="BJ19" s="1275"/>
      <c r="BK19" s="1275"/>
      <c r="BL19" s="1275"/>
      <c r="BM19" s="1275"/>
      <c r="BN19" s="1275"/>
      <c r="BO19" s="1275"/>
      <c r="BP19" s="1275"/>
      <c r="BQ19" s="1275"/>
      <c r="BR19" s="1275"/>
      <c r="BS19" s="1275"/>
      <c r="BT19" s="1275"/>
      <c r="BU19" s="1275"/>
      <c r="BV19" s="1275"/>
      <c r="BW19" s="1275"/>
      <c r="BX19" s="1275"/>
      <c r="BY19" s="1275"/>
      <c r="BZ19" s="1275"/>
      <c r="CA19" s="1275"/>
      <c r="CB19" s="1275"/>
      <c r="CC19" s="1275"/>
      <c r="CD19" s="1275"/>
      <c r="CE19" s="1275"/>
      <c r="CF19" s="1275"/>
      <c r="CG19" s="1275"/>
      <c r="CH19" s="1275"/>
      <c r="CI19" s="1275"/>
      <c r="CJ19" s="1275"/>
      <c r="CK19" s="1275"/>
      <c r="CL19" s="1275"/>
      <c r="CM19" s="1275"/>
      <c r="CN19" s="1275"/>
      <c r="CO19" s="1275"/>
      <c r="CP19" s="1275"/>
      <c r="CQ19" s="1275"/>
      <c r="CR19" s="1275"/>
      <c r="CS19" s="1275"/>
      <c r="CT19" s="1275"/>
      <c r="CU19" s="1275"/>
      <c r="CV19" s="1275"/>
      <c r="CW19" s="1275"/>
      <c r="CX19" s="1275"/>
      <c r="CY19" s="1275"/>
      <c r="CZ19" s="1275"/>
      <c r="DA19" s="1275"/>
      <c r="DB19" s="1275"/>
      <c r="DC19" s="1275"/>
      <c r="DD19" s="1275"/>
      <c r="DE19" s="1275"/>
      <c r="DF19" s="1275"/>
      <c r="DG19" s="1275"/>
      <c r="DH19" s="1275"/>
      <c r="DI19" s="1275"/>
      <c r="DJ19" s="1275"/>
      <c r="DK19" s="1275"/>
      <c r="DL19" s="1275"/>
      <c r="DM19" s="1275"/>
      <c r="DN19" s="1275"/>
      <c r="DO19" s="1275"/>
      <c r="DP19" s="1275"/>
      <c r="DQ19" s="1275"/>
      <c r="DR19" s="1275"/>
      <c r="DS19" s="1275"/>
      <c r="DT19" s="1275"/>
      <c r="DU19" s="1275"/>
      <c r="DV19" s="1275"/>
      <c r="DW19" s="1275"/>
      <c r="DX19" s="1275"/>
      <c r="DY19" s="1275"/>
      <c r="DZ19" s="1275"/>
      <c r="EA19" s="1275"/>
      <c r="EB19" s="1275"/>
      <c r="EC19" s="1275"/>
      <c r="ED19" s="1275"/>
      <c r="EE19" s="1275"/>
      <c r="EF19" s="1275"/>
      <c r="EG19" s="1275"/>
      <c r="EH19" s="1275"/>
      <c r="EI19" s="1275"/>
      <c r="EJ19" s="1275"/>
      <c r="EK19" s="1275"/>
      <c r="EL19" s="1275"/>
      <c r="EM19" s="1275"/>
      <c r="EN19" s="1275"/>
      <c r="EO19" s="1275"/>
      <c r="EP19" s="1275"/>
      <c r="EQ19" s="1275"/>
      <c r="ER19" s="1275"/>
      <c r="ES19" s="1275"/>
      <c r="ET19" s="1275"/>
      <c r="EU19" s="1275"/>
      <c r="EV19" s="1275"/>
      <c r="EW19" s="1275"/>
      <c r="EX19" s="1275"/>
      <c r="EY19" s="1275"/>
      <c r="EZ19" s="1275"/>
      <c r="FA19" s="1275"/>
      <c r="FB19" s="1275"/>
      <c r="FC19" s="1275"/>
      <c r="FD19" s="1275"/>
      <c r="FE19" s="1275"/>
      <c r="FF19" s="1275"/>
      <c r="FG19" s="1276"/>
    </row>
    <row r="20" spans="1:163" s="665" customFormat="1">
      <c r="A20" s="1180">
        <v>1</v>
      </c>
      <c r="B20" s="1180"/>
      <c r="C20" s="1180"/>
      <c r="D20" s="1180"/>
      <c r="E20" s="1180"/>
      <c r="F20" s="1180"/>
      <c r="G20" s="1180"/>
      <c r="H20" s="1180"/>
      <c r="I20" s="1180"/>
      <c r="J20" s="1180"/>
      <c r="K20" s="1180"/>
      <c r="L20" s="1273" t="s">
        <v>263</v>
      </c>
      <c r="M20" s="1274"/>
      <c r="N20" s="1270">
        <v>0</v>
      </c>
      <c r="O20" s="1275"/>
      <c r="P20" s="1275"/>
      <c r="Q20" s="1275"/>
      <c r="R20" s="1275"/>
      <c r="S20" s="1275"/>
      <c r="T20" s="1275"/>
      <c r="U20" s="1275"/>
      <c r="V20" s="1275"/>
      <c r="W20" s="1275"/>
      <c r="X20" s="1275"/>
      <c r="Y20" s="1275"/>
      <c r="Z20" s="1275"/>
      <c r="AA20" s="1275"/>
      <c r="AB20" s="1275"/>
      <c r="AC20" s="1275"/>
      <c r="AD20" s="1275"/>
      <c r="AE20" s="1275"/>
      <c r="AF20" s="1275"/>
      <c r="AG20" s="1275"/>
      <c r="AH20" s="1275"/>
      <c r="AI20" s="1275"/>
      <c r="AJ20" s="1275"/>
      <c r="AK20" s="1275"/>
      <c r="AL20" s="1275"/>
      <c r="AM20" s="1275"/>
      <c r="AN20" s="1275"/>
      <c r="AO20" s="1275"/>
      <c r="AP20" s="1275"/>
      <c r="AQ20" s="1275"/>
      <c r="AR20" s="1275"/>
      <c r="AS20" s="1275"/>
      <c r="AT20" s="1275"/>
      <c r="AU20" s="1275"/>
      <c r="AV20" s="1275"/>
      <c r="AW20" s="1275"/>
      <c r="AX20" s="1275"/>
      <c r="AY20" s="1275"/>
      <c r="AZ20" s="1275"/>
      <c r="BA20" s="1275"/>
      <c r="BB20" s="1275"/>
      <c r="BC20" s="1275"/>
      <c r="BD20" s="1275"/>
      <c r="BE20" s="1275"/>
      <c r="BF20" s="1275"/>
      <c r="BG20" s="1275"/>
      <c r="BH20" s="1275"/>
      <c r="BI20" s="1275"/>
      <c r="BJ20" s="1275"/>
      <c r="BK20" s="1275"/>
      <c r="BL20" s="1275"/>
      <c r="BM20" s="1275"/>
      <c r="BN20" s="1275"/>
      <c r="BO20" s="1275"/>
      <c r="BP20" s="1275"/>
      <c r="BQ20" s="1275"/>
      <c r="BR20" s="1275"/>
      <c r="BS20" s="1275"/>
      <c r="BT20" s="1275"/>
      <c r="BU20" s="1275"/>
      <c r="BV20" s="1275"/>
      <c r="BW20" s="1275"/>
      <c r="BX20" s="1275"/>
      <c r="BY20" s="1275"/>
      <c r="BZ20" s="1275"/>
      <c r="CA20" s="1275"/>
      <c r="CB20" s="1275"/>
      <c r="CC20" s="1275"/>
      <c r="CD20" s="1275"/>
      <c r="CE20" s="1275"/>
      <c r="CF20" s="1275"/>
      <c r="CG20" s="1275"/>
      <c r="CH20" s="1275"/>
      <c r="CI20" s="1275"/>
      <c r="CJ20" s="1275"/>
      <c r="CK20" s="1275"/>
      <c r="CL20" s="1275"/>
      <c r="CM20" s="1275"/>
      <c r="CN20" s="1275"/>
      <c r="CO20" s="1275"/>
      <c r="CP20" s="1275"/>
      <c r="CQ20" s="1275"/>
      <c r="CR20" s="1275"/>
      <c r="CS20" s="1275"/>
      <c r="CT20" s="1275"/>
      <c r="CU20" s="1275"/>
      <c r="CV20" s="1275"/>
      <c r="CW20" s="1275"/>
      <c r="CX20" s="1275"/>
      <c r="CY20" s="1275"/>
      <c r="CZ20" s="1275"/>
      <c r="DA20" s="1275"/>
      <c r="DB20" s="1275"/>
      <c r="DC20" s="1275"/>
      <c r="DD20" s="1275"/>
      <c r="DE20" s="1275"/>
      <c r="DF20" s="1275"/>
      <c r="DG20" s="1275"/>
      <c r="DH20" s="1275"/>
      <c r="DI20" s="1275"/>
      <c r="DJ20" s="1275"/>
      <c r="DK20" s="1275"/>
      <c r="DL20" s="1275"/>
      <c r="DM20" s="1275"/>
      <c r="DN20" s="1275"/>
      <c r="DO20" s="1275"/>
      <c r="DP20" s="1275"/>
      <c r="DQ20" s="1275"/>
      <c r="DR20" s="1275"/>
      <c r="DS20" s="1275"/>
      <c r="DT20" s="1275"/>
      <c r="DU20" s="1275"/>
      <c r="DV20" s="1275"/>
      <c r="DW20" s="1275"/>
      <c r="DX20" s="1275"/>
      <c r="DY20" s="1275"/>
      <c r="DZ20" s="1275"/>
      <c r="EA20" s="1275"/>
      <c r="EB20" s="1275"/>
      <c r="EC20" s="1275"/>
      <c r="ED20" s="1275"/>
      <c r="EE20" s="1275"/>
      <c r="EF20" s="1275"/>
      <c r="EG20" s="1275"/>
      <c r="EH20" s="1275"/>
      <c r="EI20" s="1275"/>
      <c r="EJ20" s="1275"/>
      <c r="EK20" s="1275"/>
      <c r="EL20" s="1275"/>
      <c r="EM20" s="1275"/>
      <c r="EN20" s="1275"/>
      <c r="EO20" s="1275"/>
      <c r="EP20" s="1275"/>
      <c r="EQ20" s="1275"/>
      <c r="ER20" s="1275"/>
      <c r="ES20" s="1275"/>
      <c r="ET20" s="1275"/>
      <c r="EU20" s="1275"/>
      <c r="EV20" s="1275"/>
      <c r="EW20" s="1275"/>
      <c r="EX20" s="1275"/>
      <c r="EY20" s="1275"/>
      <c r="EZ20" s="1275"/>
      <c r="FA20" s="1275"/>
      <c r="FB20" s="1275"/>
      <c r="FC20" s="1275"/>
      <c r="FD20" s="1275"/>
      <c r="FE20" s="1275"/>
      <c r="FF20" s="1275"/>
      <c r="FG20" s="1276"/>
    </row>
    <row r="21" spans="1:163" s="665" customFormat="1">
      <c r="A21" s="1180">
        <v>1</v>
      </c>
      <c r="B21" s="1180"/>
      <c r="C21" s="1180"/>
      <c r="D21" s="1180"/>
      <c r="E21" s="1180"/>
      <c r="F21" s="1180"/>
      <c r="G21" s="1180" t="b">
        <v>1</v>
      </c>
      <c r="H21" s="1180"/>
      <c r="I21" s="1180"/>
      <c r="J21" s="1180"/>
      <c r="K21" s="1180"/>
      <c r="L21" s="1277" t="s">
        <v>658</v>
      </c>
      <c r="M21" s="1278"/>
      <c r="N21" s="1279"/>
      <c r="O21" s="1279"/>
      <c r="P21" s="1279"/>
      <c r="Q21" s="1279"/>
      <c r="R21" s="1279"/>
      <c r="S21" s="1279"/>
      <c r="T21" s="1279"/>
      <c r="U21" s="1279"/>
      <c r="V21" s="1279"/>
      <c r="W21" s="1279"/>
      <c r="X21" s="1279"/>
      <c r="Y21" s="1279"/>
      <c r="Z21" s="1279"/>
      <c r="AA21" s="1279"/>
      <c r="AB21" s="1279"/>
      <c r="AC21" s="1279"/>
      <c r="AD21" s="1279"/>
      <c r="AE21" s="1279"/>
      <c r="AF21" s="1279"/>
      <c r="AG21" s="1279"/>
      <c r="AH21" s="1279"/>
      <c r="AI21" s="1279"/>
      <c r="AJ21" s="1279"/>
      <c r="AK21" s="1279"/>
      <c r="AL21" s="1279"/>
      <c r="AM21" s="1279"/>
      <c r="AN21" s="1279"/>
      <c r="AO21" s="1279"/>
      <c r="AP21" s="1279"/>
      <c r="AQ21" s="1279"/>
      <c r="AR21" s="1279"/>
      <c r="AS21" s="1279"/>
      <c r="AT21" s="1280"/>
      <c r="AU21" s="1279"/>
      <c r="AV21" s="1279"/>
      <c r="AW21" s="1280"/>
      <c r="AX21" s="1279"/>
      <c r="AY21" s="1279"/>
      <c r="AZ21" s="1280"/>
      <c r="BA21" s="1279"/>
      <c r="BB21" s="1279"/>
      <c r="BC21" s="1280"/>
      <c r="BD21" s="1279"/>
      <c r="BE21" s="1279"/>
      <c r="BF21" s="1280"/>
      <c r="BG21" s="1279"/>
      <c r="BH21" s="1279"/>
      <c r="BI21" s="1280"/>
      <c r="BJ21" s="1279"/>
      <c r="BK21" s="1279"/>
      <c r="BL21" s="1280"/>
      <c r="BM21" s="1279"/>
      <c r="BN21" s="1279"/>
      <c r="BO21" s="1280"/>
      <c r="BP21" s="1279"/>
      <c r="BQ21" s="1279"/>
      <c r="BR21" s="1280"/>
      <c r="BS21" s="1279"/>
      <c r="BT21" s="1279"/>
      <c r="BU21" s="1280"/>
      <c r="BV21" s="1279"/>
      <c r="BW21" s="1279"/>
      <c r="BX21" s="1280"/>
      <c r="BY21" s="1279"/>
      <c r="BZ21" s="1279"/>
      <c r="CA21" s="1280"/>
      <c r="CB21" s="1279"/>
      <c r="CC21" s="1279"/>
      <c r="CD21" s="1280"/>
      <c r="CE21" s="1279"/>
      <c r="CF21" s="1279"/>
      <c r="CG21" s="1280"/>
      <c r="CH21" s="1279"/>
      <c r="CI21" s="1279"/>
      <c r="CJ21" s="1280"/>
      <c r="CK21" s="1279"/>
      <c r="CL21" s="1279"/>
      <c r="CM21" s="1280"/>
      <c r="CN21" s="1279"/>
      <c r="CO21" s="1279"/>
      <c r="CP21" s="1280"/>
      <c r="CQ21" s="1279"/>
      <c r="CR21" s="1279"/>
      <c r="CS21" s="1280"/>
      <c r="CT21" s="1279"/>
      <c r="CU21" s="1279"/>
      <c r="CV21" s="1280"/>
      <c r="CW21" s="1279"/>
      <c r="CX21" s="1279"/>
      <c r="CY21" s="1280"/>
      <c r="CZ21" s="1279"/>
      <c r="DA21" s="1279"/>
      <c r="DB21" s="1280"/>
      <c r="DC21" s="1279"/>
      <c r="DD21" s="1279"/>
      <c r="DE21" s="1280"/>
      <c r="DF21" s="1279"/>
      <c r="DG21" s="1279"/>
      <c r="DH21" s="1280"/>
      <c r="DI21" s="1279"/>
      <c r="DJ21" s="1279"/>
      <c r="DK21" s="1280"/>
      <c r="DL21" s="1279"/>
      <c r="DM21" s="1279"/>
      <c r="DN21" s="1280"/>
      <c r="DO21" s="1279"/>
      <c r="DP21" s="1279"/>
      <c r="DQ21" s="1280"/>
      <c r="DR21" s="1279"/>
      <c r="DS21" s="1279"/>
      <c r="DT21" s="1280"/>
      <c r="DU21" s="1279"/>
      <c r="DV21" s="1279"/>
      <c r="DW21" s="1280"/>
      <c r="DX21" s="1279"/>
      <c r="DY21" s="1279"/>
      <c r="DZ21" s="1280"/>
      <c r="EA21" s="1279"/>
      <c r="EB21" s="1279"/>
      <c r="EC21" s="1280"/>
      <c r="ED21" s="1279"/>
      <c r="EE21" s="1279"/>
      <c r="EF21" s="1280"/>
      <c r="EG21" s="1279"/>
      <c r="EH21" s="1279"/>
      <c r="EI21" s="1280"/>
      <c r="EJ21" s="1279"/>
      <c r="EK21" s="1279"/>
      <c r="EL21" s="1280"/>
      <c r="EM21" s="1279"/>
      <c r="EN21" s="1279"/>
      <c r="EO21" s="1280"/>
      <c r="EP21" s="1279"/>
      <c r="EQ21" s="1279"/>
      <c r="ER21" s="1280"/>
      <c r="ES21" s="1279"/>
      <c r="ET21" s="1279"/>
      <c r="EU21" s="1280"/>
      <c r="EV21" s="1279"/>
      <c r="EW21" s="1279"/>
      <c r="EX21" s="1280"/>
      <c r="EY21" s="1279"/>
      <c r="EZ21" s="1279"/>
      <c r="FA21" s="1280"/>
      <c r="FB21" s="1279"/>
      <c r="FC21" s="1279"/>
      <c r="FD21" s="1280"/>
      <c r="FE21" s="1279"/>
      <c r="FF21" s="1279"/>
      <c r="FG21" s="1280"/>
    </row>
    <row r="22" spans="1:163" s="354" customFormat="1">
      <c r="A22" s="1180">
        <v>1</v>
      </c>
      <c r="B22" s="1180" t="s">
        <v>1167</v>
      </c>
      <c r="C22" s="1180" t="s">
        <v>1491</v>
      </c>
      <c r="D22" s="1180" t="s">
        <v>1718</v>
      </c>
      <c r="E22" s="1281"/>
      <c r="F22" s="1281"/>
      <c r="G22" s="1180" t="b">
        <v>1</v>
      </c>
      <c r="H22" s="1281"/>
      <c r="I22" s="1281"/>
      <c r="J22" s="1281"/>
      <c r="K22" s="1281"/>
      <c r="L22" s="1282" t="s">
        <v>1105</v>
      </c>
      <c r="M22" s="1283" t="s">
        <v>652</v>
      </c>
      <c r="N22" s="1284">
        <v>47.99</v>
      </c>
      <c r="O22" s="1284">
        <v>38.18</v>
      </c>
      <c r="P22" s="1285">
        <v>-20.441758699729114</v>
      </c>
      <c r="Q22" s="1284">
        <v>47.99</v>
      </c>
      <c r="R22" s="1284">
        <v>40.79</v>
      </c>
      <c r="S22" s="1285">
        <v>-15.003125651177335</v>
      </c>
      <c r="T22" s="1284">
        <v>47.99</v>
      </c>
      <c r="U22" s="1284">
        <v>41.39</v>
      </c>
      <c r="V22" s="1285">
        <v>-13.752865180245887</v>
      </c>
      <c r="W22" s="1284">
        <v>47.99</v>
      </c>
      <c r="X22" s="1284">
        <v>42.038499999999999</v>
      </c>
      <c r="Y22" s="1285">
        <v>-12.401541987914154</v>
      </c>
      <c r="Z22" s="1284">
        <v>47.99</v>
      </c>
      <c r="AA22" s="1284">
        <v>42.73299999999999</v>
      </c>
      <c r="AB22" s="1285">
        <v>-10.954365492811027</v>
      </c>
      <c r="AC22" s="1284">
        <v>0</v>
      </c>
      <c r="AD22" s="1284">
        <v>0</v>
      </c>
      <c r="AE22" s="1285">
        <v>0</v>
      </c>
      <c r="AF22" s="1284">
        <v>0</v>
      </c>
      <c r="AG22" s="1284">
        <v>0</v>
      </c>
      <c r="AH22" s="1285">
        <v>0</v>
      </c>
      <c r="AI22" s="1284">
        <v>0</v>
      </c>
      <c r="AJ22" s="1284">
        <v>0</v>
      </c>
      <c r="AK22" s="1285">
        <v>0</v>
      </c>
      <c r="AL22" s="1284">
        <v>0</v>
      </c>
      <c r="AM22" s="1284">
        <v>0</v>
      </c>
      <c r="AN22" s="1285">
        <v>0</v>
      </c>
      <c r="AO22" s="1284">
        <v>0</v>
      </c>
      <c r="AP22" s="1284">
        <v>0</v>
      </c>
      <c r="AQ22" s="1285">
        <v>0</v>
      </c>
      <c r="AR22" s="1284"/>
      <c r="AS22" s="1284"/>
      <c r="AT22" s="1285">
        <v>0</v>
      </c>
      <c r="AU22" s="1284"/>
      <c r="AV22" s="1284"/>
      <c r="AW22" s="1285">
        <v>0</v>
      </c>
      <c r="AX22" s="1284"/>
      <c r="AY22" s="1284"/>
      <c r="AZ22" s="1285">
        <v>0</v>
      </c>
      <c r="BA22" s="1284"/>
      <c r="BB22" s="1284"/>
      <c r="BC22" s="1285">
        <v>0</v>
      </c>
      <c r="BD22" s="1284"/>
      <c r="BE22" s="1284"/>
      <c r="BF22" s="1285">
        <v>0</v>
      </c>
      <c r="BG22" s="1284"/>
      <c r="BH22" s="1284"/>
      <c r="BI22" s="1285">
        <v>0</v>
      </c>
      <c r="BJ22" s="1284"/>
      <c r="BK22" s="1284"/>
      <c r="BL22" s="1285">
        <v>0</v>
      </c>
      <c r="BM22" s="1284"/>
      <c r="BN22" s="1284"/>
      <c r="BO22" s="1285">
        <v>0</v>
      </c>
      <c r="BP22" s="1284"/>
      <c r="BQ22" s="1284"/>
      <c r="BR22" s="1285">
        <v>0</v>
      </c>
      <c r="BS22" s="1284"/>
      <c r="BT22" s="1284"/>
      <c r="BU22" s="1285">
        <v>0</v>
      </c>
      <c r="BV22" s="1284"/>
      <c r="BW22" s="1284"/>
      <c r="BX22" s="1285">
        <v>0</v>
      </c>
      <c r="BY22" s="1284"/>
      <c r="BZ22" s="1284"/>
      <c r="CA22" s="1285">
        <v>0</v>
      </c>
      <c r="CB22" s="1284"/>
      <c r="CC22" s="1284"/>
      <c r="CD22" s="1285">
        <v>0</v>
      </c>
      <c r="CE22" s="1284"/>
      <c r="CF22" s="1284"/>
      <c r="CG22" s="1285">
        <v>0</v>
      </c>
      <c r="CH22" s="1284"/>
      <c r="CI22" s="1284"/>
      <c r="CJ22" s="1285">
        <v>0</v>
      </c>
      <c r="CK22" s="1284"/>
      <c r="CL22" s="1284"/>
      <c r="CM22" s="1285">
        <v>0</v>
      </c>
      <c r="CN22" s="1284"/>
      <c r="CO22" s="1284"/>
      <c r="CP22" s="1285">
        <v>0</v>
      </c>
      <c r="CQ22" s="1284"/>
      <c r="CR22" s="1284"/>
      <c r="CS22" s="1285">
        <v>0</v>
      </c>
      <c r="CT22" s="1284"/>
      <c r="CU22" s="1284"/>
      <c r="CV22" s="1285">
        <v>0</v>
      </c>
      <c r="CW22" s="1284"/>
      <c r="CX22" s="1284"/>
      <c r="CY22" s="1285">
        <v>0</v>
      </c>
      <c r="CZ22" s="1284"/>
      <c r="DA22" s="1284"/>
      <c r="DB22" s="1285">
        <v>0</v>
      </c>
      <c r="DC22" s="1284"/>
      <c r="DD22" s="1284"/>
      <c r="DE22" s="1285">
        <v>0</v>
      </c>
      <c r="DF22" s="1284"/>
      <c r="DG22" s="1284"/>
      <c r="DH22" s="1285">
        <v>0</v>
      </c>
      <c r="DI22" s="1284"/>
      <c r="DJ22" s="1284"/>
      <c r="DK22" s="1285">
        <v>0</v>
      </c>
      <c r="DL22" s="1284"/>
      <c r="DM22" s="1284"/>
      <c r="DN22" s="1285">
        <v>0</v>
      </c>
      <c r="DO22" s="1284"/>
      <c r="DP22" s="1284"/>
      <c r="DQ22" s="1285">
        <v>0</v>
      </c>
      <c r="DR22" s="1284"/>
      <c r="DS22" s="1284"/>
      <c r="DT22" s="1285">
        <v>0</v>
      </c>
      <c r="DU22" s="1284"/>
      <c r="DV22" s="1284"/>
      <c r="DW22" s="1285">
        <v>0</v>
      </c>
      <c r="DX22" s="1284"/>
      <c r="DY22" s="1284"/>
      <c r="DZ22" s="1285">
        <v>0</v>
      </c>
      <c r="EA22" s="1284"/>
      <c r="EB22" s="1284"/>
      <c r="EC22" s="1285">
        <v>0</v>
      </c>
      <c r="ED22" s="1284"/>
      <c r="EE22" s="1284"/>
      <c r="EF22" s="1285">
        <v>0</v>
      </c>
      <c r="EG22" s="1284"/>
      <c r="EH22" s="1284"/>
      <c r="EI22" s="1285">
        <v>0</v>
      </c>
      <c r="EJ22" s="1284"/>
      <c r="EK22" s="1284"/>
      <c r="EL22" s="1285">
        <v>0</v>
      </c>
      <c r="EM22" s="1284"/>
      <c r="EN22" s="1284"/>
      <c r="EO22" s="1285">
        <v>0</v>
      </c>
      <c r="EP22" s="1284"/>
      <c r="EQ22" s="1284"/>
      <c r="ER22" s="1285">
        <v>0</v>
      </c>
      <c r="ES22" s="1284"/>
      <c r="ET22" s="1284"/>
      <c r="EU22" s="1285">
        <v>0</v>
      </c>
      <c r="EV22" s="1284"/>
      <c r="EW22" s="1284"/>
      <c r="EX22" s="1285">
        <v>0</v>
      </c>
      <c r="EY22" s="1284"/>
      <c r="EZ22" s="1284"/>
      <c r="FA22" s="1285">
        <v>0</v>
      </c>
      <c r="FB22" s="1284"/>
      <c r="FC22" s="1284"/>
      <c r="FD22" s="1285">
        <v>0</v>
      </c>
      <c r="FE22" s="1284"/>
      <c r="FF22" s="1284"/>
      <c r="FG22" s="1285">
        <v>0</v>
      </c>
    </row>
    <row r="23" spans="1:163" s="354" customFormat="1">
      <c r="A23" s="1180">
        <v>1</v>
      </c>
      <c r="B23" s="1180" t="s">
        <v>1168</v>
      </c>
      <c r="C23" s="1180" t="s">
        <v>1491</v>
      </c>
      <c r="D23" s="1180" t="s">
        <v>1719</v>
      </c>
      <c r="E23" s="1281"/>
      <c r="F23" s="1281"/>
      <c r="G23" s="1180" t="b">
        <v>1</v>
      </c>
      <c r="H23" s="1281"/>
      <c r="I23" s="1281"/>
      <c r="J23" s="1281"/>
      <c r="K23" s="1281"/>
      <c r="L23" s="1282" t="s">
        <v>1106</v>
      </c>
      <c r="M23" s="1283" t="s">
        <v>652</v>
      </c>
      <c r="N23" s="1284">
        <v>47.99</v>
      </c>
      <c r="O23" s="1284">
        <v>40.79</v>
      </c>
      <c r="P23" s="1285">
        <v>-15.003125651177335</v>
      </c>
      <c r="Q23" s="1284">
        <v>47.99</v>
      </c>
      <c r="R23" s="1284">
        <v>41.39</v>
      </c>
      <c r="S23" s="1285">
        <v>-13.752865180245887</v>
      </c>
      <c r="T23" s="1284">
        <v>47.99</v>
      </c>
      <c r="U23" s="1284">
        <v>42.038499999999999</v>
      </c>
      <c r="V23" s="1285">
        <v>-12.401541987914154</v>
      </c>
      <c r="W23" s="1284">
        <v>47.99</v>
      </c>
      <c r="X23" s="1284">
        <v>42.73299999999999</v>
      </c>
      <c r="Y23" s="1285">
        <v>-10.954365492811027</v>
      </c>
      <c r="Z23" s="1284">
        <v>47.99</v>
      </c>
      <c r="AA23" s="1284">
        <v>44.23</v>
      </c>
      <c r="AB23" s="1285">
        <v>-7.8349656178370601</v>
      </c>
      <c r="AC23" s="1284">
        <v>0</v>
      </c>
      <c r="AD23" s="1284">
        <v>0</v>
      </c>
      <c r="AE23" s="1285">
        <v>0</v>
      </c>
      <c r="AF23" s="1284">
        <v>0</v>
      </c>
      <c r="AG23" s="1284">
        <v>0</v>
      </c>
      <c r="AH23" s="1285">
        <v>0</v>
      </c>
      <c r="AI23" s="1284">
        <v>0</v>
      </c>
      <c r="AJ23" s="1284">
        <v>0</v>
      </c>
      <c r="AK23" s="1285">
        <v>0</v>
      </c>
      <c r="AL23" s="1284">
        <v>0</v>
      </c>
      <c r="AM23" s="1284">
        <v>0</v>
      </c>
      <c r="AN23" s="1285">
        <v>0</v>
      </c>
      <c r="AO23" s="1284">
        <v>0</v>
      </c>
      <c r="AP23" s="1284">
        <v>0</v>
      </c>
      <c r="AQ23" s="1285">
        <v>0</v>
      </c>
      <c r="AR23" s="1284"/>
      <c r="AS23" s="1284"/>
      <c r="AT23" s="1285">
        <v>0</v>
      </c>
      <c r="AU23" s="1284"/>
      <c r="AV23" s="1284"/>
      <c r="AW23" s="1285">
        <v>0</v>
      </c>
      <c r="AX23" s="1284"/>
      <c r="AY23" s="1284"/>
      <c r="AZ23" s="1285">
        <v>0</v>
      </c>
      <c r="BA23" s="1284"/>
      <c r="BB23" s="1284"/>
      <c r="BC23" s="1285">
        <v>0</v>
      </c>
      <c r="BD23" s="1284"/>
      <c r="BE23" s="1284"/>
      <c r="BF23" s="1285">
        <v>0</v>
      </c>
      <c r="BG23" s="1284"/>
      <c r="BH23" s="1284"/>
      <c r="BI23" s="1285">
        <v>0</v>
      </c>
      <c r="BJ23" s="1284"/>
      <c r="BK23" s="1284"/>
      <c r="BL23" s="1285">
        <v>0</v>
      </c>
      <c r="BM23" s="1284"/>
      <c r="BN23" s="1284"/>
      <c r="BO23" s="1285">
        <v>0</v>
      </c>
      <c r="BP23" s="1284"/>
      <c r="BQ23" s="1284"/>
      <c r="BR23" s="1285">
        <v>0</v>
      </c>
      <c r="BS23" s="1284"/>
      <c r="BT23" s="1284"/>
      <c r="BU23" s="1285">
        <v>0</v>
      </c>
      <c r="BV23" s="1284"/>
      <c r="BW23" s="1284"/>
      <c r="BX23" s="1285">
        <v>0</v>
      </c>
      <c r="BY23" s="1284"/>
      <c r="BZ23" s="1284"/>
      <c r="CA23" s="1285">
        <v>0</v>
      </c>
      <c r="CB23" s="1284"/>
      <c r="CC23" s="1284"/>
      <c r="CD23" s="1285">
        <v>0</v>
      </c>
      <c r="CE23" s="1284"/>
      <c r="CF23" s="1284"/>
      <c r="CG23" s="1285">
        <v>0</v>
      </c>
      <c r="CH23" s="1284"/>
      <c r="CI23" s="1284"/>
      <c r="CJ23" s="1285">
        <v>0</v>
      </c>
      <c r="CK23" s="1284"/>
      <c r="CL23" s="1284"/>
      <c r="CM23" s="1285">
        <v>0</v>
      </c>
      <c r="CN23" s="1284"/>
      <c r="CO23" s="1284"/>
      <c r="CP23" s="1285">
        <v>0</v>
      </c>
      <c r="CQ23" s="1284"/>
      <c r="CR23" s="1284"/>
      <c r="CS23" s="1285">
        <v>0</v>
      </c>
      <c r="CT23" s="1284"/>
      <c r="CU23" s="1284"/>
      <c r="CV23" s="1285">
        <v>0</v>
      </c>
      <c r="CW23" s="1284"/>
      <c r="CX23" s="1284"/>
      <c r="CY23" s="1285">
        <v>0</v>
      </c>
      <c r="CZ23" s="1284"/>
      <c r="DA23" s="1284"/>
      <c r="DB23" s="1285">
        <v>0</v>
      </c>
      <c r="DC23" s="1284"/>
      <c r="DD23" s="1284"/>
      <c r="DE23" s="1285">
        <v>0</v>
      </c>
      <c r="DF23" s="1284"/>
      <c r="DG23" s="1284"/>
      <c r="DH23" s="1285">
        <v>0</v>
      </c>
      <c r="DI23" s="1284"/>
      <c r="DJ23" s="1284"/>
      <c r="DK23" s="1285">
        <v>0</v>
      </c>
      <c r="DL23" s="1284"/>
      <c r="DM23" s="1284"/>
      <c r="DN23" s="1285">
        <v>0</v>
      </c>
      <c r="DO23" s="1284"/>
      <c r="DP23" s="1284"/>
      <c r="DQ23" s="1285">
        <v>0</v>
      </c>
      <c r="DR23" s="1284"/>
      <c r="DS23" s="1284"/>
      <c r="DT23" s="1285">
        <v>0</v>
      </c>
      <c r="DU23" s="1284"/>
      <c r="DV23" s="1284"/>
      <c r="DW23" s="1285">
        <v>0</v>
      </c>
      <c r="DX23" s="1284"/>
      <c r="DY23" s="1284"/>
      <c r="DZ23" s="1285">
        <v>0</v>
      </c>
      <c r="EA23" s="1284"/>
      <c r="EB23" s="1284"/>
      <c r="EC23" s="1285">
        <v>0</v>
      </c>
      <c r="ED23" s="1284"/>
      <c r="EE23" s="1284"/>
      <c r="EF23" s="1285">
        <v>0</v>
      </c>
      <c r="EG23" s="1284"/>
      <c r="EH23" s="1284"/>
      <c r="EI23" s="1285">
        <v>0</v>
      </c>
      <c r="EJ23" s="1284"/>
      <c r="EK23" s="1284"/>
      <c r="EL23" s="1285">
        <v>0</v>
      </c>
      <c r="EM23" s="1284"/>
      <c r="EN23" s="1284"/>
      <c r="EO23" s="1285">
        <v>0</v>
      </c>
      <c r="EP23" s="1284"/>
      <c r="EQ23" s="1284"/>
      <c r="ER23" s="1285">
        <v>0</v>
      </c>
      <c r="ES23" s="1284"/>
      <c r="ET23" s="1284"/>
      <c r="EU23" s="1285">
        <v>0</v>
      </c>
      <c r="EV23" s="1284"/>
      <c r="EW23" s="1284"/>
      <c r="EX23" s="1285">
        <v>0</v>
      </c>
      <c r="EY23" s="1284"/>
      <c r="EZ23" s="1284"/>
      <c r="FA23" s="1285">
        <v>0</v>
      </c>
      <c r="FB23" s="1284"/>
      <c r="FC23" s="1284"/>
      <c r="FD23" s="1285">
        <v>0</v>
      </c>
      <c r="FE23" s="1284"/>
      <c r="FF23" s="1284"/>
      <c r="FG23" s="1285">
        <v>0</v>
      </c>
    </row>
    <row r="24" spans="1:163" s="665" customFormat="1">
      <c r="A24" s="1180">
        <v>1</v>
      </c>
      <c r="B24" s="1180"/>
      <c r="C24" s="1180" t="s">
        <v>1489</v>
      </c>
      <c r="D24" s="1180" t="s">
        <v>1720</v>
      </c>
      <c r="E24" s="1180"/>
      <c r="F24" s="1180"/>
      <c r="G24" s="1180" t="b">
        <v>1</v>
      </c>
      <c r="H24" s="1180"/>
      <c r="I24" s="1180"/>
      <c r="J24" s="1180"/>
      <c r="K24" s="1180"/>
      <c r="L24" s="1286" t="s">
        <v>659</v>
      </c>
      <c r="M24" s="1287" t="s">
        <v>137</v>
      </c>
      <c r="N24" s="1288">
        <v>100</v>
      </c>
      <c r="O24" s="1288">
        <v>106.83603981141958</v>
      </c>
      <c r="P24" s="1289"/>
      <c r="Q24" s="1288">
        <v>100</v>
      </c>
      <c r="R24" s="1288">
        <v>101.47094876195146</v>
      </c>
      <c r="S24" s="1289"/>
      <c r="T24" s="1288">
        <v>100</v>
      </c>
      <c r="U24" s="1288">
        <v>101.56680357574292</v>
      </c>
      <c r="V24" s="1289"/>
      <c r="W24" s="1288">
        <v>100</v>
      </c>
      <c r="X24" s="1288">
        <v>101.65205704294871</v>
      </c>
      <c r="Y24" s="1289"/>
      <c r="Z24" s="1288">
        <v>100</v>
      </c>
      <c r="AA24" s="1288">
        <v>103.50314745044815</v>
      </c>
      <c r="AB24" s="1289"/>
      <c r="AC24" s="1288">
        <v>0</v>
      </c>
      <c r="AD24" s="1288">
        <v>0</v>
      </c>
      <c r="AE24" s="1289"/>
      <c r="AF24" s="1288">
        <v>0</v>
      </c>
      <c r="AG24" s="1288">
        <v>0</v>
      </c>
      <c r="AH24" s="1289"/>
      <c r="AI24" s="1288">
        <v>0</v>
      </c>
      <c r="AJ24" s="1288">
        <v>0</v>
      </c>
      <c r="AK24" s="1289"/>
      <c r="AL24" s="1288">
        <v>0</v>
      </c>
      <c r="AM24" s="1288">
        <v>0</v>
      </c>
      <c r="AN24" s="1289"/>
      <c r="AO24" s="1288">
        <v>0</v>
      </c>
      <c r="AP24" s="1288">
        <v>0</v>
      </c>
      <c r="AQ24" s="1289"/>
      <c r="AR24" s="1288">
        <v>0</v>
      </c>
      <c r="AS24" s="1288">
        <v>0</v>
      </c>
      <c r="AT24" s="1289"/>
      <c r="AU24" s="1288">
        <v>0</v>
      </c>
      <c r="AV24" s="1288">
        <v>0</v>
      </c>
      <c r="AW24" s="1289"/>
      <c r="AX24" s="1288">
        <v>0</v>
      </c>
      <c r="AY24" s="1288">
        <v>0</v>
      </c>
      <c r="AZ24" s="1289"/>
      <c r="BA24" s="1288">
        <v>0</v>
      </c>
      <c r="BB24" s="1288">
        <v>0</v>
      </c>
      <c r="BC24" s="1289"/>
      <c r="BD24" s="1288">
        <v>0</v>
      </c>
      <c r="BE24" s="1288">
        <v>0</v>
      </c>
      <c r="BF24" s="1289"/>
      <c r="BG24" s="1288">
        <v>0</v>
      </c>
      <c r="BH24" s="1288">
        <v>0</v>
      </c>
      <c r="BI24" s="1289"/>
      <c r="BJ24" s="1288">
        <v>0</v>
      </c>
      <c r="BK24" s="1288">
        <v>0</v>
      </c>
      <c r="BL24" s="1289"/>
      <c r="BM24" s="1288">
        <v>0</v>
      </c>
      <c r="BN24" s="1288">
        <v>0</v>
      </c>
      <c r="BO24" s="1289"/>
      <c r="BP24" s="1288">
        <v>0</v>
      </c>
      <c r="BQ24" s="1288">
        <v>0</v>
      </c>
      <c r="BR24" s="1289"/>
      <c r="BS24" s="1288">
        <v>0</v>
      </c>
      <c r="BT24" s="1288">
        <v>0</v>
      </c>
      <c r="BU24" s="1289"/>
      <c r="BV24" s="1288">
        <v>0</v>
      </c>
      <c r="BW24" s="1288">
        <v>0</v>
      </c>
      <c r="BX24" s="1289"/>
      <c r="BY24" s="1288">
        <v>0</v>
      </c>
      <c r="BZ24" s="1288">
        <v>0</v>
      </c>
      <c r="CA24" s="1289"/>
      <c r="CB24" s="1288">
        <v>0</v>
      </c>
      <c r="CC24" s="1288">
        <v>0</v>
      </c>
      <c r="CD24" s="1289"/>
      <c r="CE24" s="1288">
        <v>0</v>
      </c>
      <c r="CF24" s="1288">
        <v>0</v>
      </c>
      <c r="CG24" s="1289"/>
      <c r="CH24" s="1288">
        <v>0</v>
      </c>
      <c r="CI24" s="1288">
        <v>0</v>
      </c>
      <c r="CJ24" s="1289"/>
      <c r="CK24" s="1288">
        <v>0</v>
      </c>
      <c r="CL24" s="1288">
        <v>0</v>
      </c>
      <c r="CM24" s="1289"/>
      <c r="CN24" s="1288">
        <v>0</v>
      </c>
      <c r="CO24" s="1288">
        <v>0</v>
      </c>
      <c r="CP24" s="1289"/>
      <c r="CQ24" s="1288">
        <v>0</v>
      </c>
      <c r="CR24" s="1288">
        <v>0</v>
      </c>
      <c r="CS24" s="1289"/>
      <c r="CT24" s="1288">
        <v>0</v>
      </c>
      <c r="CU24" s="1288">
        <v>0</v>
      </c>
      <c r="CV24" s="1289"/>
      <c r="CW24" s="1288">
        <v>0</v>
      </c>
      <c r="CX24" s="1288">
        <v>0</v>
      </c>
      <c r="CY24" s="1289"/>
      <c r="CZ24" s="1288">
        <v>0</v>
      </c>
      <c r="DA24" s="1288">
        <v>0</v>
      </c>
      <c r="DB24" s="1289"/>
      <c r="DC24" s="1288">
        <v>0</v>
      </c>
      <c r="DD24" s="1288">
        <v>0</v>
      </c>
      <c r="DE24" s="1289"/>
      <c r="DF24" s="1288">
        <v>0</v>
      </c>
      <c r="DG24" s="1288">
        <v>0</v>
      </c>
      <c r="DH24" s="1289"/>
      <c r="DI24" s="1288">
        <v>0</v>
      </c>
      <c r="DJ24" s="1288">
        <v>0</v>
      </c>
      <c r="DK24" s="1289"/>
      <c r="DL24" s="1288">
        <v>0</v>
      </c>
      <c r="DM24" s="1288">
        <v>0</v>
      </c>
      <c r="DN24" s="1289"/>
      <c r="DO24" s="1288">
        <v>0</v>
      </c>
      <c r="DP24" s="1288">
        <v>0</v>
      </c>
      <c r="DQ24" s="1289"/>
      <c r="DR24" s="1288">
        <v>0</v>
      </c>
      <c r="DS24" s="1288">
        <v>0</v>
      </c>
      <c r="DT24" s="1289"/>
      <c r="DU24" s="1288">
        <v>0</v>
      </c>
      <c r="DV24" s="1288">
        <v>0</v>
      </c>
      <c r="DW24" s="1289"/>
      <c r="DX24" s="1288">
        <v>0</v>
      </c>
      <c r="DY24" s="1288">
        <v>0</v>
      </c>
      <c r="DZ24" s="1289"/>
      <c r="EA24" s="1288">
        <v>0</v>
      </c>
      <c r="EB24" s="1288">
        <v>0</v>
      </c>
      <c r="EC24" s="1289"/>
      <c r="ED24" s="1288">
        <v>0</v>
      </c>
      <c r="EE24" s="1288">
        <v>0</v>
      </c>
      <c r="EF24" s="1289"/>
      <c r="EG24" s="1288">
        <v>0</v>
      </c>
      <c r="EH24" s="1288">
        <v>0</v>
      </c>
      <c r="EI24" s="1289"/>
      <c r="EJ24" s="1288">
        <v>0</v>
      </c>
      <c r="EK24" s="1288">
        <v>0</v>
      </c>
      <c r="EL24" s="1289"/>
      <c r="EM24" s="1288">
        <v>0</v>
      </c>
      <c r="EN24" s="1288">
        <v>0</v>
      </c>
      <c r="EO24" s="1289"/>
      <c r="EP24" s="1288">
        <v>0</v>
      </c>
      <c r="EQ24" s="1288">
        <v>0</v>
      </c>
      <c r="ER24" s="1289"/>
      <c r="ES24" s="1288">
        <v>0</v>
      </c>
      <c r="ET24" s="1288">
        <v>0</v>
      </c>
      <c r="EU24" s="1289"/>
      <c r="EV24" s="1288">
        <v>0</v>
      </c>
      <c r="EW24" s="1288">
        <v>0</v>
      </c>
      <c r="EX24" s="1289"/>
      <c r="EY24" s="1288">
        <v>0</v>
      </c>
      <c r="EZ24" s="1288">
        <v>0</v>
      </c>
      <c r="FA24" s="1289"/>
      <c r="FB24" s="1288">
        <v>0</v>
      </c>
      <c r="FC24" s="1288">
        <v>0</v>
      </c>
      <c r="FD24" s="1289"/>
      <c r="FE24" s="1288">
        <v>0</v>
      </c>
      <c r="FF24" s="1288">
        <v>0</v>
      </c>
      <c r="FG24" s="1289"/>
    </row>
    <row r="25" spans="1:163" s="665" customFormat="1">
      <c r="A25" s="1180">
        <v>1</v>
      </c>
      <c r="B25" s="1098" t="s">
        <v>1176</v>
      </c>
      <c r="C25" s="1180" t="s">
        <v>1490</v>
      </c>
      <c r="D25" s="1180" t="s">
        <v>1720</v>
      </c>
      <c r="E25" s="1180"/>
      <c r="F25" s="1180"/>
      <c r="G25" s="1180" t="b">
        <v>1</v>
      </c>
      <c r="H25" s="1180"/>
      <c r="I25" s="1180"/>
      <c r="J25" s="1180"/>
      <c r="K25" s="1180"/>
      <c r="L25" s="1286" t="s">
        <v>660</v>
      </c>
      <c r="M25" s="1287" t="s">
        <v>310</v>
      </c>
      <c r="N25" s="1290">
        <v>40</v>
      </c>
      <c r="O25" s="1290">
        <v>40</v>
      </c>
      <c r="P25" s="1291">
        <v>0</v>
      </c>
      <c r="Q25" s="1290">
        <v>40</v>
      </c>
      <c r="R25" s="1290">
        <v>40</v>
      </c>
      <c r="S25" s="1291">
        <v>0</v>
      </c>
      <c r="T25" s="1290">
        <v>40</v>
      </c>
      <c r="U25" s="1290">
        <v>40</v>
      </c>
      <c r="V25" s="1291">
        <v>0</v>
      </c>
      <c r="W25" s="1290">
        <v>40</v>
      </c>
      <c r="X25" s="1290">
        <v>40</v>
      </c>
      <c r="Y25" s="1291">
        <v>0</v>
      </c>
      <c r="Z25" s="1290">
        <v>40</v>
      </c>
      <c r="AA25" s="1290">
        <v>40</v>
      </c>
      <c r="AB25" s="1291">
        <v>0</v>
      </c>
      <c r="AC25" s="1290">
        <v>40</v>
      </c>
      <c r="AD25" s="1290">
        <v>0</v>
      </c>
      <c r="AE25" s="1291">
        <v>-100</v>
      </c>
      <c r="AF25" s="1290">
        <v>40</v>
      </c>
      <c r="AG25" s="1290">
        <v>0</v>
      </c>
      <c r="AH25" s="1291">
        <v>-100</v>
      </c>
      <c r="AI25" s="1290">
        <v>40</v>
      </c>
      <c r="AJ25" s="1290">
        <v>0</v>
      </c>
      <c r="AK25" s="1291">
        <v>-100</v>
      </c>
      <c r="AL25" s="1290">
        <v>40</v>
      </c>
      <c r="AM25" s="1290">
        <v>0</v>
      </c>
      <c r="AN25" s="1291">
        <v>-100</v>
      </c>
      <c r="AO25" s="1290">
        <v>40</v>
      </c>
      <c r="AP25" s="1290">
        <v>0</v>
      </c>
      <c r="AQ25" s="1291">
        <v>-100</v>
      </c>
      <c r="AR25" s="1290"/>
      <c r="AS25" s="1290"/>
      <c r="AT25" s="1291">
        <v>0</v>
      </c>
      <c r="AU25" s="1290"/>
      <c r="AV25" s="1290"/>
      <c r="AW25" s="1291">
        <v>0</v>
      </c>
      <c r="AX25" s="1290"/>
      <c r="AY25" s="1290"/>
      <c r="AZ25" s="1291">
        <v>0</v>
      </c>
      <c r="BA25" s="1290"/>
      <c r="BB25" s="1290"/>
      <c r="BC25" s="1291">
        <v>0</v>
      </c>
      <c r="BD25" s="1290"/>
      <c r="BE25" s="1290"/>
      <c r="BF25" s="1291">
        <v>0</v>
      </c>
      <c r="BG25" s="1290"/>
      <c r="BH25" s="1290"/>
      <c r="BI25" s="1291">
        <v>0</v>
      </c>
      <c r="BJ25" s="1290"/>
      <c r="BK25" s="1290"/>
      <c r="BL25" s="1291">
        <v>0</v>
      </c>
      <c r="BM25" s="1290"/>
      <c r="BN25" s="1290"/>
      <c r="BO25" s="1291">
        <v>0</v>
      </c>
      <c r="BP25" s="1290"/>
      <c r="BQ25" s="1290"/>
      <c r="BR25" s="1291">
        <v>0</v>
      </c>
      <c r="BS25" s="1290"/>
      <c r="BT25" s="1290"/>
      <c r="BU25" s="1291">
        <v>0</v>
      </c>
      <c r="BV25" s="1290"/>
      <c r="BW25" s="1290"/>
      <c r="BX25" s="1291">
        <v>0</v>
      </c>
      <c r="BY25" s="1290"/>
      <c r="BZ25" s="1290"/>
      <c r="CA25" s="1291">
        <v>0</v>
      </c>
      <c r="CB25" s="1290"/>
      <c r="CC25" s="1290"/>
      <c r="CD25" s="1291">
        <v>0</v>
      </c>
      <c r="CE25" s="1290"/>
      <c r="CF25" s="1290"/>
      <c r="CG25" s="1291">
        <v>0</v>
      </c>
      <c r="CH25" s="1290"/>
      <c r="CI25" s="1290"/>
      <c r="CJ25" s="1291">
        <v>0</v>
      </c>
      <c r="CK25" s="1290"/>
      <c r="CL25" s="1290"/>
      <c r="CM25" s="1291">
        <v>0</v>
      </c>
      <c r="CN25" s="1290"/>
      <c r="CO25" s="1290"/>
      <c r="CP25" s="1291">
        <v>0</v>
      </c>
      <c r="CQ25" s="1290"/>
      <c r="CR25" s="1290"/>
      <c r="CS25" s="1291">
        <v>0</v>
      </c>
      <c r="CT25" s="1290"/>
      <c r="CU25" s="1290"/>
      <c r="CV25" s="1291">
        <v>0</v>
      </c>
      <c r="CW25" s="1290"/>
      <c r="CX25" s="1290"/>
      <c r="CY25" s="1291">
        <v>0</v>
      </c>
      <c r="CZ25" s="1290"/>
      <c r="DA25" s="1290"/>
      <c r="DB25" s="1291">
        <v>0</v>
      </c>
      <c r="DC25" s="1290"/>
      <c r="DD25" s="1290"/>
      <c r="DE25" s="1291">
        <v>0</v>
      </c>
      <c r="DF25" s="1290"/>
      <c r="DG25" s="1290"/>
      <c r="DH25" s="1291">
        <v>0</v>
      </c>
      <c r="DI25" s="1290"/>
      <c r="DJ25" s="1290"/>
      <c r="DK25" s="1291">
        <v>0</v>
      </c>
      <c r="DL25" s="1290"/>
      <c r="DM25" s="1290"/>
      <c r="DN25" s="1291">
        <v>0</v>
      </c>
      <c r="DO25" s="1290"/>
      <c r="DP25" s="1290"/>
      <c r="DQ25" s="1291">
        <v>0</v>
      </c>
      <c r="DR25" s="1290"/>
      <c r="DS25" s="1290"/>
      <c r="DT25" s="1291">
        <v>0</v>
      </c>
      <c r="DU25" s="1290"/>
      <c r="DV25" s="1290"/>
      <c r="DW25" s="1291">
        <v>0</v>
      </c>
      <c r="DX25" s="1290"/>
      <c r="DY25" s="1290"/>
      <c r="DZ25" s="1291">
        <v>0</v>
      </c>
      <c r="EA25" s="1290"/>
      <c r="EB25" s="1290"/>
      <c r="EC25" s="1291">
        <v>0</v>
      </c>
      <c r="ED25" s="1290"/>
      <c r="EE25" s="1290"/>
      <c r="EF25" s="1291">
        <v>0</v>
      </c>
      <c r="EG25" s="1290"/>
      <c r="EH25" s="1290"/>
      <c r="EI25" s="1291">
        <v>0</v>
      </c>
      <c r="EJ25" s="1290"/>
      <c r="EK25" s="1290"/>
      <c r="EL25" s="1291">
        <v>0</v>
      </c>
      <c r="EM25" s="1290"/>
      <c r="EN25" s="1290"/>
      <c r="EO25" s="1291">
        <v>0</v>
      </c>
      <c r="EP25" s="1290"/>
      <c r="EQ25" s="1290"/>
      <c r="ER25" s="1291">
        <v>0</v>
      </c>
      <c r="ES25" s="1290"/>
      <c r="ET25" s="1290"/>
      <c r="EU25" s="1291">
        <v>0</v>
      </c>
      <c r="EV25" s="1290"/>
      <c r="EW25" s="1290"/>
      <c r="EX25" s="1291">
        <v>0</v>
      </c>
      <c r="EY25" s="1290"/>
      <c r="EZ25" s="1290"/>
      <c r="FA25" s="1291">
        <v>0</v>
      </c>
      <c r="FB25" s="1290"/>
      <c r="FC25" s="1290"/>
      <c r="FD25" s="1291">
        <v>0</v>
      </c>
      <c r="FE25" s="1290"/>
      <c r="FF25" s="1290"/>
      <c r="FG25" s="1291">
        <v>0</v>
      </c>
    </row>
    <row r="26" spans="1:163" s="354" customFormat="1">
      <c r="A26" s="1180">
        <v>1</v>
      </c>
      <c r="B26" s="1098" t="s">
        <v>1170</v>
      </c>
      <c r="C26" s="1180" t="s">
        <v>1491</v>
      </c>
      <c r="D26" s="1180" t="s">
        <v>1721</v>
      </c>
      <c r="E26" s="1281"/>
      <c r="F26" s="1281"/>
      <c r="G26" s="1180" t="b">
        <v>1</v>
      </c>
      <c r="H26" s="1281"/>
      <c r="I26" s="1281"/>
      <c r="J26" s="1281"/>
      <c r="K26" s="1281"/>
      <c r="L26" s="1282" t="s">
        <v>661</v>
      </c>
      <c r="M26" s="1283" t="s">
        <v>652</v>
      </c>
      <c r="N26" s="1284">
        <v>47.99</v>
      </c>
      <c r="O26" s="1284">
        <v>38.18</v>
      </c>
      <c r="P26" s="1285">
        <v>-20.441758699729114</v>
      </c>
      <c r="Q26" s="1284">
        <v>47.99</v>
      </c>
      <c r="R26" s="1284">
        <v>40.79</v>
      </c>
      <c r="S26" s="1285">
        <v>-15.003125651177335</v>
      </c>
      <c r="T26" s="1284">
        <v>47.99</v>
      </c>
      <c r="U26" s="1284">
        <v>41.39</v>
      </c>
      <c r="V26" s="1285">
        <v>-13.752865180245887</v>
      </c>
      <c r="W26" s="1284">
        <v>47.99</v>
      </c>
      <c r="X26" s="1284">
        <v>42.038499999999999</v>
      </c>
      <c r="Y26" s="1285">
        <v>-12.401541987914154</v>
      </c>
      <c r="Z26" s="1284">
        <v>47.99</v>
      </c>
      <c r="AA26" s="1284">
        <v>42.73299999999999</v>
      </c>
      <c r="AB26" s="1285">
        <v>-10.954365492811027</v>
      </c>
      <c r="AC26" s="1284">
        <v>0</v>
      </c>
      <c r="AD26" s="1284">
        <v>0</v>
      </c>
      <c r="AE26" s="1285">
        <v>0</v>
      </c>
      <c r="AF26" s="1284">
        <v>0</v>
      </c>
      <c r="AG26" s="1284">
        <v>0</v>
      </c>
      <c r="AH26" s="1285">
        <v>0</v>
      </c>
      <c r="AI26" s="1284">
        <v>0</v>
      </c>
      <c r="AJ26" s="1284">
        <v>0</v>
      </c>
      <c r="AK26" s="1285">
        <v>0</v>
      </c>
      <c r="AL26" s="1284">
        <v>0</v>
      </c>
      <c r="AM26" s="1284">
        <v>0</v>
      </c>
      <c r="AN26" s="1285">
        <v>0</v>
      </c>
      <c r="AO26" s="1284">
        <v>0</v>
      </c>
      <c r="AP26" s="1284">
        <v>0</v>
      </c>
      <c r="AQ26" s="1285">
        <v>0</v>
      </c>
      <c r="AR26" s="1284"/>
      <c r="AS26" s="1284"/>
      <c r="AT26" s="1285">
        <v>0</v>
      </c>
      <c r="AU26" s="1284"/>
      <c r="AV26" s="1284"/>
      <c r="AW26" s="1285">
        <v>0</v>
      </c>
      <c r="AX26" s="1284"/>
      <c r="AY26" s="1284"/>
      <c r="AZ26" s="1285">
        <v>0</v>
      </c>
      <c r="BA26" s="1284"/>
      <c r="BB26" s="1284"/>
      <c r="BC26" s="1285">
        <v>0</v>
      </c>
      <c r="BD26" s="1284"/>
      <c r="BE26" s="1284"/>
      <c r="BF26" s="1285">
        <v>0</v>
      </c>
      <c r="BG26" s="1284"/>
      <c r="BH26" s="1284"/>
      <c r="BI26" s="1285">
        <v>0</v>
      </c>
      <c r="BJ26" s="1284"/>
      <c r="BK26" s="1284"/>
      <c r="BL26" s="1285">
        <v>0</v>
      </c>
      <c r="BM26" s="1284"/>
      <c r="BN26" s="1284"/>
      <c r="BO26" s="1285">
        <v>0</v>
      </c>
      <c r="BP26" s="1284"/>
      <c r="BQ26" s="1284"/>
      <c r="BR26" s="1285">
        <v>0</v>
      </c>
      <c r="BS26" s="1284"/>
      <c r="BT26" s="1284"/>
      <c r="BU26" s="1285">
        <v>0</v>
      </c>
      <c r="BV26" s="1284"/>
      <c r="BW26" s="1284"/>
      <c r="BX26" s="1285">
        <v>0</v>
      </c>
      <c r="BY26" s="1284"/>
      <c r="BZ26" s="1284"/>
      <c r="CA26" s="1285">
        <v>0</v>
      </c>
      <c r="CB26" s="1284"/>
      <c r="CC26" s="1284"/>
      <c r="CD26" s="1285">
        <v>0</v>
      </c>
      <c r="CE26" s="1284"/>
      <c r="CF26" s="1284"/>
      <c r="CG26" s="1285">
        <v>0</v>
      </c>
      <c r="CH26" s="1284"/>
      <c r="CI26" s="1284"/>
      <c r="CJ26" s="1285">
        <v>0</v>
      </c>
      <c r="CK26" s="1284"/>
      <c r="CL26" s="1284"/>
      <c r="CM26" s="1285">
        <v>0</v>
      </c>
      <c r="CN26" s="1284"/>
      <c r="CO26" s="1284"/>
      <c r="CP26" s="1285">
        <v>0</v>
      </c>
      <c r="CQ26" s="1284"/>
      <c r="CR26" s="1284"/>
      <c r="CS26" s="1285">
        <v>0</v>
      </c>
      <c r="CT26" s="1284"/>
      <c r="CU26" s="1284"/>
      <c r="CV26" s="1285">
        <v>0</v>
      </c>
      <c r="CW26" s="1284"/>
      <c r="CX26" s="1284"/>
      <c r="CY26" s="1285">
        <v>0</v>
      </c>
      <c r="CZ26" s="1284"/>
      <c r="DA26" s="1284"/>
      <c r="DB26" s="1285">
        <v>0</v>
      </c>
      <c r="DC26" s="1284"/>
      <c r="DD26" s="1284"/>
      <c r="DE26" s="1285">
        <v>0</v>
      </c>
      <c r="DF26" s="1284"/>
      <c r="DG26" s="1284"/>
      <c r="DH26" s="1285">
        <v>0</v>
      </c>
      <c r="DI26" s="1284"/>
      <c r="DJ26" s="1284"/>
      <c r="DK26" s="1285">
        <v>0</v>
      </c>
      <c r="DL26" s="1284"/>
      <c r="DM26" s="1284"/>
      <c r="DN26" s="1285">
        <v>0</v>
      </c>
      <c r="DO26" s="1284"/>
      <c r="DP26" s="1284"/>
      <c r="DQ26" s="1285">
        <v>0</v>
      </c>
      <c r="DR26" s="1284"/>
      <c r="DS26" s="1284"/>
      <c r="DT26" s="1285">
        <v>0</v>
      </c>
      <c r="DU26" s="1284"/>
      <c r="DV26" s="1284"/>
      <c r="DW26" s="1285">
        <v>0</v>
      </c>
      <c r="DX26" s="1284"/>
      <c r="DY26" s="1284"/>
      <c r="DZ26" s="1285">
        <v>0</v>
      </c>
      <c r="EA26" s="1284"/>
      <c r="EB26" s="1284"/>
      <c r="EC26" s="1285">
        <v>0</v>
      </c>
      <c r="ED26" s="1284"/>
      <c r="EE26" s="1284"/>
      <c r="EF26" s="1285">
        <v>0</v>
      </c>
      <c r="EG26" s="1284"/>
      <c r="EH26" s="1284"/>
      <c r="EI26" s="1285">
        <v>0</v>
      </c>
      <c r="EJ26" s="1284"/>
      <c r="EK26" s="1284"/>
      <c r="EL26" s="1285">
        <v>0</v>
      </c>
      <c r="EM26" s="1284"/>
      <c r="EN26" s="1284"/>
      <c r="EO26" s="1285">
        <v>0</v>
      </c>
      <c r="EP26" s="1284"/>
      <c r="EQ26" s="1284"/>
      <c r="ER26" s="1285">
        <v>0</v>
      </c>
      <c r="ES26" s="1284"/>
      <c r="ET26" s="1284"/>
      <c r="EU26" s="1285">
        <v>0</v>
      </c>
      <c r="EV26" s="1284"/>
      <c r="EW26" s="1284"/>
      <c r="EX26" s="1285">
        <v>0</v>
      </c>
      <c r="EY26" s="1284"/>
      <c r="EZ26" s="1284"/>
      <c r="FA26" s="1285">
        <v>0</v>
      </c>
      <c r="FB26" s="1284"/>
      <c r="FC26" s="1284"/>
      <c r="FD26" s="1285">
        <v>0</v>
      </c>
      <c r="FE26" s="1284"/>
      <c r="FF26" s="1284"/>
      <c r="FG26" s="1285">
        <v>0</v>
      </c>
    </row>
    <row r="27" spans="1:163" s="354" customFormat="1">
      <c r="A27" s="1180">
        <v>1</v>
      </c>
      <c r="B27" s="1098" t="s">
        <v>1169</v>
      </c>
      <c r="C27" s="1180" t="s">
        <v>1491</v>
      </c>
      <c r="D27" s="1180" t="s">
        <v>1722</v>
      </c>
      <c r="E27" s="1281"/>
      <c r="F27" s="1281"/>
      <c r="G27" s="1180" t="b">
        <v>1</v>
      </c>
      <c r="H27" s="1281"/>
      <c r="I27" s="1281"/>
      <c r="J27" s="1281"/>
      <c r="K27" s="1281"/>
      <c r="L27" s="1282" t="s">
        <v>662</v>
      </c>
      <c r="M27" s="1283" t="s">
        <v>652</v>
      </c>
      <c r="N27" s="1284">
        <v>47.99</v>
      </c>
      <c r="O27" s="1284">
        <v>40.79</v>
      </c>
      <c r="P27" s="1285">
        <v>-15.003125651177335</v>
      </c>
      <c r="Q27" s="1284">
        <v>47.99</v>
      </c>
      <c r="R27" s="1284">
        <v>41.39</v>
      </c>
      <c r="S27" s="1285">
        <v>-13.752865180245887</v>
      </c>
      <c r="T27" s="1284">
        <v>47.99</v>
      </c>
      <c r="U27" s="1284">
        <v>42.038499999999999</v>
      </c>
      <c r="V27" s="1285">
        <v>-12.401541987914154</v>
      </c>
      <c r="W27" s="1284">
        <v>47.99</v>
      </c>
      <c r="X27" s="1284">
        <v>42.73299999999999</v>
      </c>
      <c r="Y27" s="1285">
        <v>-10.954365492811027</v>
      </c>
      <c r="Z27" s="1284">
        <v>47.99</v>
      </c>
      <c r="AA27" s="1284">
        <v>44.23</v>
      </c>
      <c r="AB27" s="1285">
        <v>-7.8349656178370601</v>
      </c>
      <c r="AC27" s="1284">
        <v>0</v>
      </c>
      <c r="AD27" s="1284">
        <v>0</v>
      </c>
      <c r="AE27" s="1285">
        <v>0</v>
      </c>
      <c r="AF27" s="1284">
        <v>0</v>
      </c>
      <c r="AG27" s="1284">
        <v>0</v>
      </c>
      <c r="AH27" s="1285">
        <v>0</v>
      </c>
      <c r="AI27" s="1284">
        <v>0</v>
      </c>
      <c r="AJ27" s="1284">
        <v>0</v>
      </c>
      <c r="AK27" s="1285">
        <v>0</v>
      </c>
      <c r="AL27" s="1284">
        <v>0</v>
      </c>
      <c r="AM27" s="1284">
        <v>0</v>
      </c>
      <c r="AN27" s="1285">
        <v>0</v>
      </c>
      <c r="AO27" s="1284">
        <v>0</v>
      </c>
      <c r="AP27" s="1284">
        <v>0</v>
      </c>
      <c r="AQ27" s="1285">
        <v>0</v>
      </c>
      <c r="AR27" s="1284"/>
      <c r="AS27" s="1284"/>
      <c r="AT27" s="1285">
        <v>0</v>
      </c>
      <c r="AU27" s="1284"/>
      <c r="AV27" s="1284"/>
      <c r="AW27" s="1285">
        <v>0</v>
      </c>
      <c r="AX27" s="1284"/>
      <c r="AY27" s="1284"/>
      <c r="AZ27" s="1285">
        <v>0</v>
      </c>
      <c r="BA27" s="1284"/>
      <c r="BB27" s="1284"/>
      <c r="BC27" s="1285">
        <v>0</v>
      </c>
      <c r="BD27" s="1284"/>
      <c r="BE27" s="1284"/>
      <c r="BF27" s="1285">
        <v>0</v>
      </c>
      <c r="BG27" s="1284"/>
      <c r="BH27" s="1284"/>
      <c r="BI27" s="1285">
        <v>0</v>
      </c>
      <c r="BJ27" s="1284"/>
      <c r="BK27" s="1284"/>
      <c r="BL27" s="1285">
        <v>0</v>
      </c>
      <c r="BM27" s="1284"/>
      <c r="BN27" s="1284"/>
      <c r="BO27" s="1285">
        <v>0</v>
      </c>
      <c r="BP27" s="1284"/>
      <c r="BQ27" s="1284"/>
      <c r="BR27" s="1285">
        <v>0</v>
      </c>
      <c r="BS27" s="1284"/>
      <c r="BT27" s="1284"/>
      <c r="BU27" s="1285">
        <v>0</v>
      </c>
      <c r="BV27" s="1284"/>
      <c r="BW27" s="1284"/>
      <c r="BX27" s="1285">
        <v>0</v>
      </c>
      <c r="BY27" s="1284"/>
      <c r="BZ27" s="1284"/>
      <c r="CA27" s="1285">
        <v>0</v>
      </c>
      <c r="CB27" s="1284"/>
      <c r="CC27" s="1284"/>
      <c r="CD27" s="1285">
        <v>0</v>
      </c>
      <c r="CE27" s="1284"/>
      <c r="CF27" s="1284"/>
      <c r="CG27" s="1285">
        <v>0</v>
      </c>
      <c r="CH27" s="1284"/>
      <c r="CI27" s="1284"/>
      <c r="CJ27" s="1285">
        <v>0</v>
      </c>
      <c r="CK27" s="1284"/>
      <c r="CL27" s="1284"/>
      <c r="CM27" s="1285">
        <v>0</v>
      </c>
      <c r="CN27" s="1284"/>
      <c r="CO27" s="1284"/>
      <c r="CP27" s="1285">
        <v>0</v>
      </c>
      <c r="CQ27" s="1284"/>
      <c r="CR27" s="1284"/>
      <c r="CS27" s="1285">
        <v>0</v>
      </c>
      <c r="CT27" s="1284"/>
      <c r="CU27" s="1284"/>
      <c r="CV27" s="1285">
        <v>0</v>
      </c>
      <c r="CW27" s="1284"/>
      <c r="CX27" s="1284"/>
      <c r="CY27" s="1285">
        <v>0</v>
      </c>
      <c r="CZ27" s="1284"/>
      <c r="DA27" s="1284"/>
      <c r="DB27" s="1285">
        <v>0</v>
      </c>
      <c r="DC27" s="1284"/>
      <c r="DD27" s="1284"/>
      <c r="DE27" s="1285">
        <v>0</v>
      </c>
      <c r="DF27" s="1284"/>
      <c r="DG27" s="1284"/>
      <c r="DH27" s="1285">
        <v>0</v>
      </c>
      <c r="DI27" s="1284"/>
      <c r="DJ27" s="1284"/>
      <c r="DK27" s="1285">
        <v>0</v>
      </c>
      <c r="DL27" s="1284"/>
      <c r="DM27" s="1284"/>
      <c r="DN27" s="1285">
        <v>0</v>
      </c>
      <c r="DO27" s="1284"/>
      <c r="DP27" s="1284"/>
      <c r="DQ27" s="1285">
        <v>0</v>
      </c>
      <c r="DR27" s="1284"/>
      <c r="DS27" s="1284"/>
      <c r="DT27" s="1285">
        <v>0</v>
      </c>
      <c r="DU27" s="1284"/>
      <c r="DV27" s="1284"/>
      <c r="DW27" s="1285">
        <v>0</v>
      </c>
      <c r="DX27" s="1284"/>
      <c r="DY27" s="1284"/>
      <c r="DZ27" s="1285">
        <v>0</v>
      </c>
      <c r="EA27" s="1284"/>
      <c r="EB27" s="1284"/>
      <c r="EC27" s="1285">
        <v>0</v>
      </c>
      <c r="ED27" s="1284"/>
      <c r="EE27" s="1284"/>
      <c r="EF27" s="1285">
        <v>0</v>
      </c>
      <c r="EG27" s="1284"/>
      <c r="EH27" s="1284"/>
      <c r="EI27" s="1285">
        <v>0</v>
      </c>
      <c r="EJ27" s="1284"/>
      <c r="EK27" s="1284"/>
      <c r="EL27" s="1285">
        <v>0</v>
      </c>
      <c r="EM27" s="1284"/>
      <c r="EN27" s="1284"/>
      <c r="EO27" s="1285">
        <v>0</v>
      </c>
      <c r="EP27" s="1284"/>
      <c r="EQ27" s="1284"/>
      <c r="ER27" s="1285">
        <v>0</v>
      </c>
      <c r="ES27" s="1284"/>
      <c r="ET27" s="1284"/>
      <c r="EU27" s="1285">
        <v>0</v>
      </c>
      <c r="EV27" s="1284"/>
      <c r="EW27" s="1284"/>
      <c r="EX27" s="1285">
        <v>0</v>
      </c>
      <c r="EY27" s="1284"/>
      <c r="EZ27" s="1284"/>
      <c r="FA27" s="1285">
        <v>0</v>
      </c>
      <c r="FB27" s="1284"/>
      <c r="FC27" s="1284"/>
      <c r="FD27" s="1285">
        <v>0</v>
      </c>
      <c r="FE27" s="1284"/>
      <c r="FF27" s="1284"/>
      <c r="FG27" s="1285">
        <v>0</v>
      </c>
    </row>
    <row r="28" spans="1:163" s="665" customFormat="1">
      <c r="A28" s="1180">
        <v>1</v>
      </c>
      <c r="B28" s="1098"/>
      <c r="C28" s="1180" t="s">
        <v>1489</v>
      </c>
      <c r="D28" s="1180" t="s">
        <v>1723</v>
      </c>
      <c r="E28" s="1180"/>
      <c r="F28" s="1180"/>
      <c r="G28" s="1180" t="b">
        <v>1</v>
      </c>
      <c r="H28" s="1180"/>
      <c r="I28" s="1180"/>
      <c r="J28" s="1180"/>
      <c r="K28" s="1180"/>
      <c r="L28" s="1286" t="s">
        <v>659</v>
      </c>
      <c r="M28" s="1287" t="s">
        <v>137</v>
      </c>
      <c r="N28" s="1288">
        <v>100</v>
      </c>
      <c r="O28" s="1288">
        <v>106.83603981141958</v>
      </c>
      <c r="P28" s="1289"/>
      <c r="Q28" s="1288">
        <v>100</v>
      </c>
      <c r="R28" s="1288">
        <v>101.47094876195146</v>
      </c>
      <c r="S28" s="1289"/>
      <c r="T28" s="1288">
        <v>100</v>
      </c>
      <c r="U28" s="1288">
        <v>101.56680357574292</v>
      </c>
      <c r="V28" s="1289"/>
      <c r="W28" s="1288">
        <v>100</v>
      </c>
      <c r="X28" s="1288">
        <v>101.65205704294871</v>
      </c>
      <c r="Y28" s="1289"/>
      <c r="Z28" s="1288">
        <v>100</v>
      </c>
      <c r="AA28" s="1288">
        <v>103.50314745044815</v>
      </c>
      <c r="AB28" s="1289"/>
      <c r="AC28" s="1288">
        <v>0</v>
      </c>
      <c r="AD28" s="1288">
        <v>0</v>
      </c>
      <c r="AE28" s="1289"/>
      <c r="AF28" s="1288">
        <v>0</v>
      </c>
      <c r="AG28" s="1288">
        <v>0</v>
      </c>
      <c r="AH28" s="1289"/>
      <c r="AI28" s="1288">
        <v>0</v>
      </c>
      <c r="AJ28" s="1288">
        <v>0</v>
      </c>
      <c r="AK28" s="1289"/>
      <c r="AL28" s="1288">
        <v>0</v>
      </c>
      <c r="AM28" s="1288">
        <v>0</v>
      </c>
      <c r="AN28" s="1289"/>
      <c r="AO28" s="1288">
        <v>0</v>
      </c>
      <c r="AP28" s="1288">
        <v>0</v>
      </c>
      <c r="AQ28" s="1289"/>
      <c r="AR28" s="1288">
        <v>0</v>
      </c>
      <c r="AS28" s="1288">
        <v>0</v>
      </c>
      <c r="AT28" s="1289"/>
      <c r="AU28" s="1288">
        <v>0</v>
      </c>
      <c r="AV28" s="1288">
        <v>0</v>
      </c>
      <c r="AW28" s="1289"/>
      <c r="AX28" s="1288">
        <v>0</v>
      </c>
      <c r="AY28" s="1288">
        <v>0</v>
      </c>
      <c r="AZ28" s="1289"/>
      <c r="BA28" s="1288">
        <v>0</v>
      </c>
      <c r="BB28" s="1288">
        <v>0</v>
      </c>
      <c r="BC28" s="1289"/>
      <c r="BD28" s="1288">
        <v>0</v>
      </c>
      <c r="BE28" s="1288">
        <v>0</v>
      </c>
      <c r="BF28" s="1289"/>
      <c r="BG28" s="1288">
        <v>0</v>
      </c>
      <c r="BH28" s="1288">
        <v>0</v>
      </c>
      <c r="BI28" s="1289"/>
      <c r="BJ28" s="1288">
        <v>0</v>
      </c>
      <c r="BK28" s="1288">
        <v>0</v>
      </c>
      <c r="BL28" s="1289"/>
      <c r="BM28" s="1288">
        <v>0</v>
      </c>
      <c r="BN28" s="1288">
        <v>0</v>
      </c>
      <c r="BO28" s="1289"/>
      <c r="BP28" s="1288">
        <v>0</v>
      </c>
      <c r="BQ28" s="1288">
        <v>0</v>
      </c>
      <c r="BR28" s="1289"/>
      <c r="BS28" s="1288">
        <v>0</v>
      </c>
      <c r="BT28" s="1288">
        <v>0</v>
      </c>
      <c r="BU28" s="1289"/>
      <c r="BV28" s="1288">
        <v>0</v>
      </c>
      <c r="BW28" s="1288">
        <v>0</v>
      </c>
      <c r="BX28" s="1289"/>
      <c r="BY28" s="1288">
        <v>0</v>
      </c>
      <c r="BZ28" s="1288">
        <v>0</v>
      </c>
      <c r="CA28" s="1289"/>
      <c r="CB28" s="1288">
        <v>0</v>
      </c>
      <c r="CC28" s="1288">
        <v>0</v>
      </c>
      <c r="CD28" s="1289"/>
      <c r="CE28" s="1288">
        <v>0</v>
      </c>
      <c r="CF28" s="1288">
        <v>0</v>
      </c>
      <c r="CG28" s="1289"/>
      <c r="CH28" s="1288">
        <v>0</v>
      </c>
      <c r="CI28" s="1288">
        <v>0</v>
      </c>
      <c r="CJ28" s="1289"/>
      <c r="CK28" s="1288">
        <v>0</v>
      </c>
      <c r="CL28" s="1288">
        <v>0</v>
      </c>
      <c r="CM28" s="1289"/>
      <c r="CN28" s="1288">
        <v>0</v>
      </c>
      <c r="CO28" s="1288">
        <v>0</v>
      </c>
      <c r="CP28" s="1289"/>
      <c r="CQ28" s="1288">
        <v>0</v>
      </c>
      <c r="CR28" s="1288">
        <v>0</v>
      </c>
      <c r="CS28" s="1289"/>
      <c r="CT28" s="1288">
        <v>0</v>
      </c>
      <c r="CU28" s="1288">
        <v>0</v>
      </c>
      <c r="CV28" s="1289"/>
      <c r="CW28" s="1288">
        <v>0</v>
      </c>
      <c r="CX28" s="1288">
        <v>0</v>
      </c>
      <c r="CY28" s="1289"/>
      <c r="CZ28" s="1288">
        <v>0</v>
      </c>
      <c r="DA28" s="1288">
        <v>0</v>
      </c>
      <c r="DB28" s="1289"/>
      <c r="DC28" s="1288">
        <v>0</v>
      </c>
      <c r="DD28" s="1288">
        <v>0</v>
      </c>
      <c r="DE28" s="1289"/>
      <c r="DF28" s="1288">
        <v>0</v>
      </c>
      <c r="DG28" s="1288">
        <v>0</v>
      </c>
      <c r="DH28" s="1289"/>
      <c r="DI28" s="1288">
        <v>0</v>
      </c>
      <c r="DJ28" s="1288">
        <v>0</v>
      </c>
      <c r="DK28" s="1289"/>
      <c r="DL28" s="1288">
        <v>0</v>
      </c>
      <c r="DM28" s="1288">
        <v>0</v>
      </c>
      <c r="DN28" s="1289"/>
      <c r="DO28" s="1288">
        <v>0</v>
      </c>
      <c r="DP28" s="1288">
        <v>0</v>
      </c>
      <c r="DQ28" s="1289"/>
      <c r="DR28" s="1288">
        <v>0</v>
      </c>
      <c r="DS28" s="1288">
        <v>0</v>
      </c>
      <c r="DT28" s="1289"/>
      <c r="DU28" s="1288">
        <v>0</v>
      </c>
      <c r="DV28" s="1288">
        <v>0</v>
      </c>
      <c r="DW28" s="1289"/>
      <c r="DX28" s="1288">
        <v>0</v>
      </c>
      <c r="DY28" s="1288">
        <v>0</v>
      </c>
      <c r="DZ28" s="1289"/>
      <c r="EA28" s="1288">
        <v>0</v>
      </c>
      <c r="EB28" s="1288">
        <v>0</v>
      </c>
      <c r="EC28" s="1289"/>
      <c r="ED28" s="1288">
        <v>0</v>
      </c>
      <c r="EE28" s="1288">
        <v>0</v>
      </c>
      <c r="EF28" s="1289"/>
      <c r="EG28" s="1288">
        <v>0</v>
      </c>
      <c r="EH28" s="1288">
        <v>0</v>
      </c>
      <c r="EI28" s="1289"/>
      <c r="EJ28" s="1288">
        <v>0</v>
      </c>
      <c r="EK28" s="1288">
        <v>0</v>
      </c>
      <c r="EL28" s="1289"/>
      <c r="EM28" s="1288">
        <v>0</v>
      </c>
      <c r="EN28" s="1288">
        <v>0</v>
      </c>
      <c r="EO28" s="1289"/>
      <c r="EP28" s="1288">
        <v>0</v>
      </c>
      <c r="EQ28" s="1288">
        <v>0</v>
      </c>
      <c r="ER28" s="1289"/>
      <c r="ES28" s="1288">
        <v>0</v>
      </c>
      <c r="ET28" s="1288">
        <v>0</v>
      </c>
      <c r="EU28" s="1289"/>
      <c r="EV28" s="1288">
        <v>0</v>
      </c>
      <c r="EW28" s="1288">
        <v>0</v>
      </c>
      <c r="EX28" s="1289"/>
      <c r="EY28" s="1288">
        <v>0</v>
      </c>
      <c r="EZ28" s="1288">
        <v>0</v>
      </c>
      <c r="FA28" s="1289"/>
      <c r="FB28" s="1288">
        <v>0</v>
      </c>
      <c r="FC28" s="1288">
        <v>0</v>
      </c>
      <c r="FD28" s="1289"/>
      <c r="FE28" s="1288">
        <v>0</v>
      </c>
      <c r="FF28" s="1288">
        <v>0</v>
      </c>
      <c r="FG28" s="1289"/>
    </row>
    <row r="29" spans="1:163" s="665" customFormat="1">
      <c r="A29" s="1180">
        <v>1</v>
      </c>
      <c r="B29" s="1098" t="s">
        <v>1177</v>
      </c>
      <c r="C29" s="1180" t="s">
        <v>1490</v>
      </c>
      <c r="D29" s="1180" t="s">
        <v>1723</v>
      </c>
      <c r="E29" s="1180"/>
      <c r="F29" s="1180"/>
      <c r="G29" s="1180" t="b">
        <v>1</v>
      </c>
      <c r="H29" s="1180"/>
      <c r="I29" s="1180"/>
      <c r="J29" s="1180"/>
      <c r="K29" s="1180"/>
      <c r="L29" s="1286" t="s">
        <v>1171</v>
      </c>
      <c r="M29" s="1287" t="s">
        <v>310</v>
      </c>
      <c r="N29" s="1290">
        <v>39.5</v>
      </c>
      <c r="O29" s="1290">
        <v>39.5</v>
      </c>
      <c r="P29" s="1291">
        <v>0</v>
      </c>
      <c r="Q29" s="1290">
        <v>39.5</v>
      </c>
      <c r="R29" s="1290">
        <v>39.5</v>
      </c>
      <c r="S29" s="1291">
        <v>0</v>
      </c>
      <c r="T29" s="1290">
        <v>39.5</v>
      </c>
      <c r="U29" s="1290">
        <v>39.5</v>
      </c>
      <c r="V29" s="1291">
        <v>0</v>
      </c>
      <c r="W29" s="1290">
        <v>39.5</v>
      </c>
      <c r="X29" s="1290">
        <v>39.5</v>
      </c>
      <c r="Y29" s="1291">
        <v>0</v>
      </c>
      <c r="Z29" s="1290">
        <v>39.5</v>
      </c>
      <c r="AA29" s="1290">
        <v>39.5</v>
      </c>
      <c r="AB29" s="1291">
        <v>0</v>
      </c>
      <c r="AC29" s="1290">
        <v>39.5</v>
      </c>
      <c r="AD29" s="1290">
        <v>0</v>
      </c>
      <c r="AE29" s="1291">
        <v>-100</v>
      </c>
      <c r="AF29" s="1290">
        <v>39.5</v>
      </c>
      <c r="AG29" s="1290">
        <v>0</v>
      </c>
      <c r="AH29" s="1291">
        <v>-100</v>
      </c>
      <c r="AI29" s="1290">
        <v>39.5</v>
      </c>
      <c r="AJ29" s="1290">
        <v>0</v>
      </c>
      <c r="AK29" s="1291">
        <v>-100</v>
      </c>
      <c r="AL29" s="1290">
        <v>39.5</v>
      </c>
      <c r="AM29" s="1290">
        <v>0</v>
      </c>
      <c r="AN29" s="1291">
        <v>-100</v>
      </c>
      <c r="AO29" s="1290">
        <v>39.5</v>
      </c>
      <c r="AP29" s="1290">
        <v>0</v>
      </c>
      <c r="AQ29" s="1291">
        <v>-100</v>
      </c>
      <c r="AR29" s="1290"/>
      <c r="AS29" s="1290"/>
      <c r="AT29" s="1291">
        <v>0</v>
      </c>
      <c r="AU29" s="1290"/>
      <c r="AV29" s="1290"/>
      <c r="AW29" s="1291">
        <v>0</v>
      </c>
      <c r="AX29" s="1290"/>
      <c r="AY29" s="1290"/>
      <c r="AZ29" s="1291">
        <v>0</v>
      </c>
      <c r="BA29" s="1290"/>
      <c r="BB29" s="1290"/>
      <c r="BC29" s="1291">
        <v>0</v>
      </c>
      <c r="BD29" s="1290"/>
      <c r="BE29" s="1290"/>
      <c r="BF29" s="1291">
        <v>0</v>
      </c>
      <c r="BG29" s="1290"/>
      <c r="BH29" s="1290"/>
      <c r="BI29" s="1291">
        <v>0</v>
      </c>
      <c r="BJ29" s="1290"/>
      <c r="BK29" s="1290"/>
      <c r="BL29" s="1291">
        <v>0</v>
      </c>
      <c r="BM29" s="1290"/>
      <c r="BN29" s="1290"/>
      <c r="BO29" s="1291">
        <v>0</v>
      </c>
      <c r="BP29" s="1290"/>
      <c r="BQ29" s="1290"/>
      <c r="BR29" s="1291">
        <v>0</v>
      </c>
      <c r="BS29" s="1290"/>
      <c r="BT29" s="1290"/>
      <c r="BU29" s="1291">
        <v>0</v>
      </c>
      <c r="BV29" s="1290"/>
      <c r="BW29" s="1290"/>
      <c r="BX29" s="1291">
        <v>0</v>
      </c>
      <c r="BY29" s="1290"/>
      <c r="BZ29" s="1290"/>
      <c r="CA29" s="1291">
        <v>0</v>
      </c>
      <c r="CB29" s="1290"/>
      <c r="CC29" s="1290"/>
      <c r="CD29" s="1291">
        <v>0</v>
      </c>
      <c r="CE29" s="1290"/>
      <c r="CF29" s="1290"/>
      <c r="CG29" s="1291">
        <v>0</v>
      </c>
      <c r="CH29" s="1290"/>
      <c r="CI29" s="1290"/>
      <c r="CJ29" s="1291">
        <v>0</v>
      </c>
      <c r="CK29" s="1290"/>
      <c r="CL29" s="1290"/>
      <c r="CM29" s="1291">
        <v>0</v>
      </c>
      <c r="CN29" s="1290"/>
      <c r="CO29" s="1290"/>
      <c r="CP29" s="1291">
        <v>0</v>
      </c>
      <c r="CQ29" s="1290"/>
      <c r="CR29" s="1290"/>
      <c r="CS29" s="1291">
        <v>0</v>
      </c>
      <c r="CT29" s="1290"/>
      <c r="CU29" s="1290"/>
      <c r="CV29" s="1291">
        <v>0</v>
      </c>
      <c r="CW29" s="1290"/>
      <c r="CX29" s="1290"/>
      <c r="CY29" s="1291">
        <v>0</v>
      </c>
      <c r="CZ29" s="1290"/>
      <c r="DA29" s="1290"/>
      <c r="DB29" s="1291">
        <v>0</v>
      </c>
      <c r="DC29" s="1290"/>
      <c r="DD29" s="1290"/>
      <c r="DE29" s="1291">
        <v>0</v>
      </c>
      <c r="DF29" s="1290"/>
      <c r="DG29" s="1290"/>
      <c r="DH29" s="1291">
        <v>0</v>
      </c>
      <c r="DI29" s="1290"/>
      <c r="DJ29" s="1290"/>
      <c r="DK29" s="1291">
        <v>0</v>
      </c>
      <c r="DL29" s="1290"/>
      <c r="DM29" s="1290"/>
      <c r="DN29" s="1291">
        <v>0</v>
      </c>
      <c r="DO29" s="1290"/>
      <c r="DP29" s="1290"/>
      <c r="DQ29" s="1291">
        <v>0</v>
      </c>
      <c r="DR29" s="1290"/>
      <c r="DS29" s="1290"/>
      <c r="DT29" s="1291">
        <v>0</v>
      </c>
      <c r="DU29" s="1290"/>
      <c r="DV29" s="1290"/>
      <c r="DW29" s="1291">
        <v>0</v>
      </c>
      <c r="DX29" s="1290"/>
      <c r="DY29" s="1290"/>
      <c r="DZ29" s="1291">
        <v>0</v>
      </c>
      <c r="EA29" s="1290"/>
      <c r="EB29" s="1290"/>
      <c r="EC29" s="1291">
        <v>0</v>
      </c>
      <c r="ED29" s="1290"/>
      <c r="EE29" s="1290"/>
      <c r="EF29" s="1291">
        <v>0</v>
      </c>
      <c r="EG29" s="1290"/>
      <c r="EH29" s="1290"/>
      <c r="EI29" s="1291">
        <v>0</v>
      </c>
      <c r="EJ29" s="1290"/>
      <c r="EK29" s="1290"/>
      <c r="EL29" s="1291">
        <v>0</v>
      </c>
      <c r="EM29" s="1290"/>
      <c r="EN29" s="1290"/>
      <c r="EO29" s="1291">
        <v>0</v>
      </c>
      <c r="EP29" s="1290"/>
      <c r="EQ29" s="1290"/>
      <c r="ER29" s="1291">
        <v>0</v>
      </c>
      <c r="ES29" s="1290"/>
      <c r="ET29" s="1290"/>
      <c r="EU29" s="1291">
        <v>0</v>
      </c>
      <c r="EV29" s="1290"/>
      <c r="EW29" s="1290"/>
      <c r="EX29" s="1291">
        <v>0</v>
      </c>
      <c r="EY29" s="1290"/>
      <c r="EZ29" s="1290"/>
      <c r="FA29" s="1291">
        <v>0</v>
      </c>
      <c r="FB29" s="1290"/>
      <c r="FC29" s="1290"/>
      <c r="FD29" s="1291">
        <v>0</v>
      </c>
      <c r="FE29" s="1290"/>
      <c r="FF29" s="1290"/>
      <c r="FG29" s="1291">
        <v>0</v>
      </c>
    </row>
    <row r="30" spans="1:163" s="665" customFormat="1" ht="0.2" customHeight="1">
      <c r="A30" s="1180">
        <v>1</v>
      </c>
      <c r="B30" s="1180"/>
      <c r="C30" s="1180"/>
      <c r="D30" s="1180"/>
      <c r="E30" s="1180"/>
      <c r="F30" s="1180"/>
      <c r="G30" s="1180" t="b">
        <v>0</v>
      </c>
      <c r="H30" s="1180"/>
      <c r="I30" s="1180"/>
      <c r="J30" s="1180"/>
      <c r="K30" s="1180"/>
      <c r="L30" s="1277" t="s">
        <v>663</v>
      </c>
      <c r="M30" s="1278"/>
      <c r="N30" s="1279"/>
      <c r="O30" s="1279"/>
      <c r="P30" s="1279"/>
      <c r="Q30" s="1279"/>
      <c r="R30" s="1279"/>
      <c r="S30" s="1279"/>
      <c r="T30" s="1279"/>
      <c r="U30" s="1279"/>
      <c r="V30" s="1279"/>
      <c r="W30" s="1279"/>
      <c r="X30" s="1279"/>
      <c r="Y30" s="1279"/>
      <c r="Z30" s="1279"/>
      <c r="AA30" s="1279"/>
      <c r="AB30" s="1279"/>
      <c r="AC30" s="1279"/>
      <c r="AD30" s="1279"/>
      <c r="AE30" s="1279"/>
      <c r="AF30" s="1279"/>
      <c r="AG30" s="1279"/>
      <c r="AH30" s="1279"/>
      <c r="AI30" s="1279"/>
      <c r="AJ30" s="1279"/>
      <c r="AK30" s="1279"/>
      <c r="AL30" s="1279"/>
      <c r="AM30" s="1279"/>
      <c r="AN30" s="1279"/>
      <c r="AO30" s="1279"/>
      <c r="AP30" s="1279"/>
      <c r="AQ30" s="1279"/>
      <c r="AR30" s="1279"/>
      <c r="AS30" s="1279"/>
      <c r="AT30" s="1279"/>
      <c r="AU30" s="1279"/>
      <c r="AV30" s="1279"/>
      <c r="AW30" s="1279"/>
      <c r="AX30" s="1279"/>
      <c r="AY30" s="1279"/>
      <c r="AZ30" s="1279"/>
      <c r="BA30" s="1279"/>
      <c r="BB30" s="1279"/>
      <c r="BC30" s="1279"/>
      <c r="BD30" s="1279"/>
      <c r="BE30" s="1279"/>
      <c r="BF30" s="1279"/>
      <c r="BG30" s="1279"/>
      <c r="BH30" s="1279"/>
      <c r="BI30" s="1279"/>
      <c r="BJ30" s="1279"/>
      <c r="BK30" s="1279"/>
      <c r="BL30" s="1279"/>
      <c r="BM30" s="1279"/>
      <c r="BN30" s="1279"/>
      <c r="BO30" s="1279"/>
      <c r="BP30" s="1279"/>
      <c r="BQ30" s="1279"/>
      <c r="BR30" s="1279"/>
      <c r="BS30" s="1279"/>
      <c r="BT30" s="1279"/>
      <c r="BU30" s="1279"/>
      <c r="BV30" s="1279"/>
      <c r="BW30" s="1279"/>
      <c r="BX30" s="1279"/>
      <c r="BY30" s="1279"/>
      <c r="BZ30" s="1279"/>
      <c r="CA30" s="1279"/>
      <c r="CB30" s="1279"/>
      <c r="CC30" s="1279"/>
      <c r="CD30" s="1279"/>
      <c r="CE30" s="1279"/>
      <c r="CF30" s="1279"/>
      <c r="CG30" s="1279"/>
      <c r="CH30" s="1279"/>
      <c r="CI30" s="1279"/>
      <c r="CJ30" s="1279"/>
      <c r="CK30" s="1279"/>
      <c r="CL30" s="1279"/>
      <c r="CM30" s="1279"/>
      <c r="CN30" s="1279"/>
      <c r="CO30" s="1279"/>
      <c r="CP30" s="1279"/>
      <c r="CQ30" s="1279"/>
      <c r="CR30" s="1279"/>
      <c r="CS30" s="1279"/>
      <c r="CT30" s="1279"/>
      <c r="CU30" s="1279"/>
      <c r="CV30" s="1279"/>
      <c r="CW30" s="1279"/>
      <c r="CX30" s="1279"/>
      <c r="CY30" s="1279"/>
      <c r="CZ30" s="1279"/>
      <c r="DA30" s="1279"/>
      <c r="DB30" s="1279"/>
      <c r="DC30" s="1279"/>
      <c r="DD30" s="1279"/>
      <c r="DE30" s="1279"/>
      <c r="DF30" s="1279"/>
      <c r="DG30" s="1279"/>
      <c r="DH30" s="1279"/>
      <c r="DI30" s="1279"/>
      <c r="DJ30" s="1279"/>
      <c r="DK30" s="1279"/>
      <c r="DL30" s="1279"/>
      <c r="DM30" s="1279"/>
      <c r="DN30" s="1279"/>
      <c r="DO30" s="1279"/>
      <c r="DP30" s="1279"/>
      <c r="DQ30" s="1279"/>
      <c r="DR30" s="1279"/>
      <c r="DS30" s="1279"/>
      <c r="DT30" s="1279"/>
      <c r="DU30" s="1279"/>
      <c r="DV30" s="1279"/>
      <c r="DW30" s="1279"/>
      <c r="DX30" s="1279"/>
      <c r="DY30" s="1279"/>
      <c r="DZ30" s="1279"/>
      <c r="EA30" s="1279"/>
      <c r="EB30" s="1279"/>
      <c r="EC30" s="1279"/>
      <c r="ED30" s="1279"/>
      <c r="EE30" s="1279"/>
      <c r="EF30" s="1279"/>
      <c r="EG30" s="1279"/>
      <c r="EH30" s="1279"/>
      <c r="EI30" s="1279"/>
      <c r="EJ30" s="1279"/>
      <c r="EK30" s="1279"/>
      <c r="EL30" s="1279"/>
      <c r="EM30" s="1279"/>
      <c r="EN30" s="1279"/>
      <c r="EO30" s="1279"/>
      <c r="EP30" s="1279"/>
      <c r="EQ30" s="1279"/>
      <c r="ER30" s="1279"/>
      <c r="ES30" s="1279"/>
      <c r="ET30" s="1279"/>
      <c r="EU30" s="1279"/>
      <c r="EV30" s="1279"/>
      <c r="EW30" s="1279"/>
      <c r="EX30" s="1279"/>
      <c r="EY30" s="1279"/>
      <c r="EZ30" s="1279"/>
      <c r="FA30" s="1279"/>
      <c r="FB30" s="1279"/>
      <c r="FC30" s="1279"/>
      <c r="FD30" s="1279"/>
      <c r="FE30" s="1279"/>
      <c r="FF30" s="1279"/>
      <c r="FG30" s="1280"/>
    </row>
    <row r="31" spans="1:163" s="665" customFormat="1" ht="0.2" customHeight="1">
      <c r="A31" s="1180">
        <v>1</v>
      </c>
      <c r="B31" s="1180"/>
      <c r="C31" s="1180"/>
      <c r="D31" s="1180"/>
      <c r="E31" s="1180"/>
      <c r="F31" s="1180"/>
      <c r="G31" s="1180" t="b">
        <v>0</v>
      </c>
      <c r="H31" s="1180"/>
      <c r="I31" s="1180"/>
      <c r="J31" s="1180"/>
      <c r="K31" s="1180"/>
      <c r="L31" s="365" t="s">
        <v>1178</v>
      </c>
      <c r="M31" s="366"/>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8"/>
    </row>
    <row r="32" spans="1:163" s="665" customFormat="1" ht="0.2" customHeight="1">
      <c r="A32" s="1180">
        <v>1</v>
      </c>
      <c r="B32" s="1180"/>
      <c r="C32" s="1180" t="s">
        <v>1604</v>
      </c>
      <c r="D32" s="1180" t="s">
        <v>1718</v>
      </c>
      <c r="E32" s="1180"/>
      <c r="F32" s="1180"/>
      <c r="G32" s="1180" t="b">
        <v>0</v>
      </c>
      <c r="H32" s="1180"/>
      <c r="I32" s="1180"/>
      <c r="J32" s="1180"/>
      <c r="K32" s="1180"/>
      <c r="L32" s="1292" t="s">
        <v>664</v>
      </c>
      <c r="M32" s="1287" t="s">
        <v>652</v>
      </c>
      <c r="N32" s="1293">
        <v>0</v>
      </c>
      <c r="O32" s="1293">
        <v>0</v>
      </c>
      <c r="P32" s="1289">
        <v>0</v>
      </c>
      <c r="Q32" s="1293">
        <v>0</v>
      </c>
      <c r="R32" s="1293">
        <v>0</v>
      </c>
      <c r="S32" s="1289">
        <v>0</v>
      </c>
      <c r="T32" s="1293">
        <v>0</v>
      </c>
      <c r="U32" s="1293">
        <v>0</v>
      </c>
      <c r="V32" s="1289">
        <v>0</v>
      </c>
      <c r="W32" s="1293">
        <v>0</v>
      </c>
      <c r="X32" s="1293">
        <v>0</v>
      </c>
      <c r="Y32" s="1289">
        <v>0</v>
      </c>
      <c r="Z32" s="1293">
        <v>0</v>
      </c>
      <c r="AA32" s="1293">
        <v>0</v>
      </c>
      <c r="AB32" s="1289">
        <v>0</v>
      </c>
      <c r="AC32" s="1293">
        <v>0</v>
      </c>
      <c r="AD32" s="1293">
        <v>0</v>
      </c>
      <c r="AE32" s="1289">
        <v>0</v>
      </c>
      <c r="AF32" s="1293">
        <v>0</v>
      </c>
      <c r="AG32" s="1293">
        <v>0</v>
      </c>
      <c r="AH32" s="1289">
        <v>0</v>
      </c>
      <c r="AI32" s="1293">
        <v>0</v>
      </c>
      <c r="AJ32" s="1293">
        <v>0</v>
      </c>
      <c r="AK32" s="1289">
        <v>0</v>
      </c>
      <c r="AL32" s="1293">
        <v>0</v>
      </c>
      <c r="AM32" s="1293">
        <v>0</v>
      </c>
      <c r="AN32" s="1289">
        <v>0</v>
      </c>
      <c r="AO32" s="1293">
        <v>0</v>
      </c>
      <c r="AP32" s="1293">
        <v>0</v>
      </c>
      <c r="AQ32" s="1289">
        <v>0</v>
      </c>
      <c r="AR32" s="1293">
        <v>0</v>
      </c>
      <c r="AS32" s="1293">
        <v>0</v>
      </c>
      <c r="AT32" s="1289">
        <v>0</v>
      </c>
      <c r="AU32" s="1293">
        <v>0</v>
      </c>
      <c r="AV32" s="1293">
        <v>0</v>
      </c>
      <c r="AW32" s="1289">
        <v>0</v>
      </c>
      <c r="AX32" s="1293">
        <v>0</v>
      </c>
      <c r="AY32" s="1293">
        <v>0</v>
      </c>
      <c r="AZ32" s="1289">
        <v>0</v>
      </c>
      <c r="BA32" s="1293">
        <v>0</v>
      </c>
      <c r="BB32" s="1293">
        <v>0</v>
      </c>
      <c r="BC32" s="1289">
        <v>0</v>
      </c>
      <c r="BD32" s="1293">
        <v>0</v>
      </c>
      <c r="BE32" s="1293">
        <v>0</v>
      </c>
      <c r="BF32" s="1289">
        <v>0</v>
      </c>
      <c r="BG32" s="1293">
        <v>0</v>
      </c>
      <c r="BH32" s="1293">
        <v>0</v>
      </c>
      <c r="BI32" s="1289">
        <v>0</v>
      </c>
      <c r="BJ32" s="1293">
        <v>0</v>
      </c>
      <c r="BK32" s="1293">
        <v>0</v>
      </c>
      <c r="BL32" s="1289">
        <v>0</v>
      </c>
      <c r="BM32" s="1293">
        <v>0</v>
      </c>
      <c r="BN32" s="1293">
        <v>0</v>
      </c>
      <c r="BO32" s="1289">
        <v>0</v>
      </c>
      <c r="BP32" s="1293">
        <v>0</v>
      </c>
      <c r="BQ32" s="1293">
        <v>0</v>
      </c>
      <c r="BR32" s="1289">
        <v>0</v>
      </c>
      <c r="BS32" s="1293">
        <v>0</v>
      </c>
      <c r="BT32" s="1293">
        <v>0</v>
      </c>
      <c r="BU32" s="1289">
        <v>0</v>
      </c>
      <c r="BV32" s="1293">
        <v>0</v>
      </c>
      <c r="BW32" s="1293">
        <v>0</v>
      </c>
      <c r="BX32" s="1289">
        <v>0</v>
      </c>
      <c r="BY32" s="1293">
        <v>0</v>
      </c>
      <c r="BZ32" s="1293">
        <v>0</v>
      </c>
      <c r="CA32" s="1289">
        <v>0</v>
      </c>
      <c r="CB32" s="1293">
        <v>0</v>
      </c>
      <c r="CC32" s="1293">
        <v>0</v>
      </c>
      <c r="CD32" s="1289">
        <v>0</v>
      </c>
      <c r="CE32" s="1293">
        <v>0</v>
      </c>
      <c r="CF32" s="1293">
        <v>0</v>
      </c>
      <c r="CG32" s="1289">
        <v>0</v>
      </c>
      <c r="CH32" s="1293">
        <v>0</v>
      </c>
      <c r="CI32" s="1293">
        <v>0</v>
      </c>
      <c r="CJ32" s="1289">
        <v>0</v>
      </c>
      <c r="CK32" s="1293">
        <v>0</v>
      </c>
      <c r="CL32" s="1293">
        <v>0</v>
      </c>
      <c r="CM32" s="1289">
        <v>0</v>
      </c>
      <c r="CN32" s="1293">
        <v>0</v>
      </c>
      <c r="CO32" s="1293">
        <v>0</v>
      </c>
      <c r="CP32" s="1289">
        <v>0</v>
      </c>
      <c r="CQ32" s="1293">
        <v>0</v>
      </c>
      <c r="CR32" s="1293">
        <v>0</v>
      </c>
      <c r="CS32" s="1289">
        <v>0</v>
      </c>
      <c r="CT32" s="1293">
        <v>0</v>
      </c>
      <c r="CU32" s="1293">
        <v>0</v>
      </c>
      <c r="CV32" s="1289">
        <v>0</v>
      </c>
      <c r="CW32" s="1293">
        <v>0</v>
      </c>
      <c r="CX32" s="1293">
        <v>0</v>
      </c>
      <c r="CY32" s="1289">
        <v>0</v>
      </c>
      <c r="CZ32" s="1293">
        <v>0</v>
      </c>
      <c r="DA32" s="1293">
        <v>0</v>
      </c>
      <c r="DB32" s="1289">
        <v>0</v>
      </c>
      <c r="DC32" s="1293">
        <v>0</v>
      </c>
      <c r="DD32" s="1293">
        <v>0</v>
      </c>
      <c r="DE32" s="1289">
        <v>0</v>
      </c>
      <c r="DF32" s="1293">
        <v>0</v>
      </c>
      <c r="DG32" s="1293">
        <v>0</v>
      </c>
      <c r="DH32" s="1289">
        <v>0</v>
      </c>
      <c r="DI32" s="1293">
        <v>0</v>
      </c>
      <c r="DJ32" s="1293">
        <v>0</v>
      </c>
      <c r="DK32" s="1289">
        <v>0</v>
      </c>
      <c r="DL32" s="1293">
        <v>0</v>
      </c>
      <c r="DM32" s="1293">
        <v>0</v>
      </c>
      <c r="DN32" s="1289">
        <v>0</v>
      </c>
      <c r="DO32" s="1293">
        <v>0</v>
      </c>
      <c r="DP32" s="1293">
        <v>0</v>
      </c>
      <c r="DQ32" s="1289">
        <v>0</v>
      </c>
      <c r="DR32" s="1293">
        <v>0</v>
      </c>
      <c r="DS32" s="1293">
        <v>0</v>
      </c>
      <c r="DT32" s="1289">
        <v>0</v>
      </c>
      <c r="DU32" s="1293">
        <v>0</v>
      </c>
      <c r="DV32" s="1293">
        <v>0</v>
      </c>
      <c r="DW32" s="1289">
        <v>0</v>
      </c>
      <c r="DX32" s="1293">
        <v>0</v>
      </c>
      <c r="DY32" s="1293">
        <v>0</v>
      </c>
      <c r="DZ32" s="1289">
        <v>0</v>
      </c>
      <c r="EA32" s="1293">
        <v>0</v>
      </c>
      <c r="EB32" s="1293">
        <v>0</v>
      </c>
      <c r="EC32" s="1289">
        <v>0</v>
      </c>
      <c r="ED32" s="1293">
        <v>0</v>
      </c>
      <c r="EE32" s="1293">
        <v>0</v>
      </c>
      <c r="EF32" s="1289">
        <v>0</v>
      </c>
      <c r="EG32" s="1293">
        <v>0</v>
      </c>
      <c r="EH32" s="1293">
        <v>0</v>
      </c>
      <c r="EI32" s="1289">
        <v>0</v>
      </c>
      <c r="EJ32" s="1293">
        <v>0</v>
      </c>
      <c r="EK32" s="1293">
        <v>0</v>
      </c>
      <c r="EL32" s="1289">
        <v>0</v>
      </c>
      <c r="EM32" s="1293">
        <v>0</v>
      </c>
      <c r="EN32" s="1293">
        <v>0</v>
      </c>
      <c r="EO32" s="1289">
        <v>0</v>
      </c>
      <c r="EP32" s="1293">
        <v>0</v>
      </c>
      <c r="EQ32" s="1293">
        <v>0</v>
      </c>
      <c r="ER32" s="1289">
        <v>0</v>
      </c>
      <c r="ES32" s="1293">
        <v>0</v>
      </c>
      <c r="ET32" s="1293">
        <v>0</v>
      </c>
      <c r="EU32" s="1289">
        <v>0</v>
      </c>
      <c r="EV32" s="1293">
        <v>0</v>
      </c>
      <c r="EW32" s="1293">
        <v>0</v>
      </c>
      <c r="EX32" s="1289">
        <v>0</v>
      </c>
      <c r="EY32" s="1293">
        <v>0</v>
      </c>
      <c r="EZ32" s="1293">
        <v>0</v>
      </c>
      <c r="FA32" s="1289">
        <v>0</v>
      </c>
      <c r="FB32" s="1293">
        <v>0</v>
      </c>
      <c r="FC32" s="1293">
        <v>0</v>
      </c>
      <c r="FD32" s="1289">
        <v>0</v>
      </c>
      <c r="FE32" s="1293">
        <v>0</v>
      </c>
      <c r="FF32" s="1293">
        <v>0</v>
      </c>
      <c r="FG32" s="1289">
        <v>0</v>
      </c>
    </row>
    <row r="33" spans="1:163" s="665" customFormat="1" ht="0.2" customHeight="1">
      <c r="A33" s="1180">
        <v>1</v>
      </c>
      <c r="B33" s="1180"/>
      <c r="C33" s="1180" t="s">
        <v>1605</v>
      </c>
      <c r="D33" s="1180" t="s">
        <v>1718</v>
      </c>
      <c r="E33" s="1180"/>
      <c r="F33" s="1180"/>
      <c r="G33" s="1180" t="b">
        <v>0</v>
      </c>
      <c r="H33" s="1180"/>
      <c r="I33" s="1180"/>
      <c r="J33" s="1180"/>
      <c r="K33" s="1180"/>
      <c r="L33" s="1292" t="s">
        <v>665</v>
      </c>
      <c r="M33" s="1287" t="s">
        <v>652</v>
      </c>
      <c r="N33" s="1293"/>
      <c r="O33" s="1293"/>
      <c r="P33" s="1289">
        <v>0</v>
      </c>
      <c r="Q33" s="1293"/>
      <c r="R33" s="1293"/>
      <c r="S33" s="1289">
        <v>0</v>
      </c>
      <c r="T33" s="1293"/>
      <c r="U33" s="1293"/>
      <c r="V33" s="1289">
        <v>0</v>
      </c>
      <c r="W33" s="1293"/>
      <c r="X33" s="1293"/>
      <c r="Y33" s="1289">
        <v>0</v>
      </c>
      <c r="Z33" s="1293"/>
      <c r="AA33" s="1293"/>
      <c r="AB33" s="1289">
        <v>0</v>
      </c>
      <c r="AC33" s="1293"/>
      <c r="AD33" s="1293"/>
      <c r="AE33" s="1289">
        <v>0</v>
      </c>
      <c r="AF33" s="1293"/>
      <c r="AG33" s="1293"/>
      <c r="AH33" s="1289">
        <v>0</v>
      </c>
      <c r="AI33" s="1293"/>
      <c r="AJ33" s="1293"/>
      <c r="AK33" s="1289">
        <v>0</v>
      </c>
      <c r="AL33" s="1293"/>
      <c r="AM33" s="1293"/>
      <c r="AN33" s="1289">
        <v>0</v>
      </c>
      <c r="AO33" s="1293"/>
      <c r="AP33" s="1293"/>
      <c r="AQ33" s="1289">
        <v>0</v>
      </c>
      <c r="AR33" s="1293"/>
      <c r="AS33" s="1293"/>
      <c r="AT33" s="1289">
        <v>0</v>
      </c>
      <c r="AU33" s="1293"/>
      <c r="AV33" s="1293"/>
      <c r="AW33" s="1289">
        <v>0</v>
      </c>
      <c r="AX33" s="1293"/>
      <c r="AY33" s="1293"/>
      <c r="AZ33" s="1289">
        <v>0</v>
      </c>
      <c r="BA33" s="1293"/>
      <c r="BB33" s="1293"/>
      <c r="BC33" s="1289">
        <v>0</v>
      </c>
      <c r="BD33" s="1293"/>
      <c r="BE33" s="1293"/>
      <c r="BF33" s="1289">
        <v>0</v>
      </c>
      <c r="BG33" s="1293"/>
      <c r="BH33" s="1293"/>
      <c r="BI33" s="1289">
        <v>0</v>
      </c>
      <c r="BJ33" s="1293"/>
      <c r="BK33" s="1293"/>
      <c r="BL33" s="1289">
        <v>0</v>
      </c>
      <c r="BM33" s="1293"/>
      <c r="BN33" s="1293"/>
      <c r="BO33" s="1289">
        <v>0</v>
      </c>
      <c r="BP33" s="1293"/>
      <c r="BQ33" s="1293"/>
      <c r="BR33" s="1289">
        <v>0</v>
      </c>
      <c r="BS33" s="1293"/>
      <c r="BT33" s="1293"/>
      <c r="BU33" s="1289">
        <v>0</v>
      </c>
      <c r="BV33" s="1293"/>
      <c r="BW33" s="1293"/>
      <c r="BX33" s="1289">
        <v>0</v>
      </c>
      <c r="BY33" s="1293"/>
      <c r="BZ33" s="1293"/>
      <c r="CA33" s="1289">
        <v>0</v>
      </c>
      <c r="CB33" s="1293"/>
      <c r="CC33" s="1293"/>
      <c r="CD33" s="1289">
        <v>0</v>
      </c>
      <c r="CE33" s="1293"/>
      <c r="CF33" s="1293"/>
      <c r="CG33" s="1289">
        <v>0</v>
      </c>
      <c r="CH33" s="1293"/>
      <c r="CI33" s="1293"/>
      <c r="CJ33" s="1289">
        <v>0</v>
      </c>
      <c r="CK33" s="1293"/>
      <c r="CL33" s="1293"/>
      <c r="CM33" s="1289">
        <v>0</v>
      </c>
      <c r="CN33" s="1293"/>
      <c r="CO33" s="1293"/>
      <c r="CP33" s="1289">
        <v>0</v>
      </c>
      <c r="CQ33" s="1293"/>
      <c r="CR33" s="1293"/>
      <c r="CS33" s="1289">
        <v>0</v>
      </c>
      <c r="CT33" s="1293"/>
      <c r="CU33" s="1293"/>
      <c r="CV33" s="1289">
        <v>0</v>
      </c>
      <c r="CW33" s="1293"/>
      <c r="CX33" s="1293"/>
      <c r="CY33" s="1289">
        <v>0</v>
      </c>
      <c r="CZ33" s="1293"/>
      <c r="DA33" s="1293"/>
      <c r="DB33" s="1289">
        <v>0</v>
      </c>
      <c r="DC33" s="1293"/>
      <c r="DD33" s="1293"/>
      <c r="DE33" s="1289">
        <v>0</v>
      </c>
      <c r="DF33" s="1293"/>
      <c r="DG33" s="1293"/>
      <c r="DH33" s="1289">
        <v>0</v>
      </c>
      <c r="DI33" s="1293"/>
      <c r="DJ33" s="1293"/>
      <c r="DK33" s="1289">
        <v>0</v>
      </c>
      <c r="DL33" s="1293"/>
      <c r="DM33" s="1293"/>
      <c r="DN33" s="1289">
        <v>0</v>
      </c>
      <c r="DO33" s="1293"/>
      <c r="DP33" s="1293"/>
      <c r="DQ33" s="1289">
        <v>0</v>
      </c>
      <c r="DR33" s="1293"/>
      <c r="DS33" s="1293"/>
      <c r="DT33" s="1289">
        <v>0</v>
      </c>
      <c r="DU33" s="1293"/>
      <c r="DV33" s="1293"/>
      <c r="DW33" s="1289">
        <v>0</v>
      </c>
      <c r="DX33" s="1293"/>
      <c r="DY33" s="1293"/>
      <c r="DZ33" s="1289">
        <v>0</v>
      </c>
      <c r="EA33" s="1293"/>
      <c r="EB33" s="1293"/>
      <c r="EC33" s="1289">
        <v>0</v>
      </c>
      <c r="ED33" s="1293"/>
      <c r="EE33" s="1293"/>
      <c r="EF33" s="1289">
        <v>0</v>
      </c>
      <c r="EG33" s="1293"/>
      <c r="EH33" s="1293"/>
      <c r="EI33" s="1289">
        <v>0</v>
      </c>
      <c r="EJ33" s="1293"/>
      <c r="EK33" s="1293"/>
      <c r="EL33" s="1289">
        <v>0</v>
      </c>
      <c r="EM33" s="1293"/>
      <c r="EN33" s="1293"/>
      <c r="EO33" s="1289">
        <v>0</v>
      </c>
      <c r="EP33" s="1293"/>
      <c r="EQ33" s="1293"/>
      <c r="ER33" s="1289">
        <v>0</v>
      </c>
      <c r="ES33" s="1293"/>
      <c r="ET33" s="1293"/>
      <c r="EU33" s="1289">
        <v>0</v>
      </c>
      <c r="EV33" s="1293"/>
      <c r="EW33" s="1293"/>
      <c r="EX33" s="1289">
        <v>0</v>
      </c>
      <c r="EY33" s="1293"/>
      <c r="EZ33" s="1293"/>
      <c r="FA33" s="1289">
        <v>0</v>
      </c>
      <c r="FB33" s="1293"/>
      <c r="FC33" s="1293"/>
      <c r="FD33" s="1289">
        <v>0</v>
      </c>
      <c r="FE33" s="1293"/>
      <c r="FF33" s="1293"/>
      <c r="FG33" s="1289">
        <v>0</v>
      </c>
    </row>
    <row r="34" spans="1:163" s="665" customFormat="1" ht="0.2" customHeight="1">
      <c r="A34" s="1180">
        <v>1</v>
      </c>
      <c r="B34" s="1098" t="s">
        <v>1172</v>
      </c>
      <c r="C34" s="1180" t="s">
        <v>1660</v>
      </c>
      <c r="D34" s="1180" t="s">
        <v>1718</v>
      </c>
      <c r="E34" s="1180"/>
      <c r="F34" s="1180"/>
      <c r="G34" s="1180" t="b">
        <v>0</v>
      </c>
      <c r="H34" s="1180"/>
      <c r="I34" s="1180"/>
      <c r="J34" s="1180"/>
      <c r="K34" s="1180"/>
      <c r="L34" s="1292" t="s">
        <v>666</v>
      </c>
      <c r="M34" s="1287" t="s">
        <v>310</v>
      </c>
      <c r="N34" s="1290">
        <v>20</v>
      </c>
      <c r="O34" s="1290">
        <v>20</v>
      </c>
      <c r="P34" s="1291">
        <v>0</v>
      </c>
      <c r="Q34" s="1290">
        <v>20</v>
      </c>
      <c r="R34" s="1290">
        <v>20</v>
      </c>
      <c r="S34" s="1291">
        <v>0</v>
      </c>
      <c r="T34" s="1290">
        <v>20</v>
      </c>
      <c r="U34" s="1290">
        <v>20</v>
      </c>
      <c r="V34" s="1291">
        <v>0</v>
      </c>
      <c r="W34" s="1290">
        <v>20</v>
      </c>
      <c r="X34" s="1290">
        <v>20</v>
      </c>
      <c r="Y34" s="1291">
        <v>0</v>
      </c>
      <c r="Z34" s="1290">
        <v>20</v>
      </c>
      <c r="AA34" s="1290">
        <v>20</v>
      </c>
      <c r="AB34" s="1291">
        <v>0</v>
      </c>
      <c r="AC34" s="1290">
        <v>20</v>
      </c>
      <c r="AD34" s="1290">
        <v>0</v>
      </c>
      <c r="AE34" s="1291">
        <v>-100</v>
      </c>
      <c r="AF34" s="1290">
        <v>20</v>
      </c>
      <c r="AG34" s="1290">
        <v>0</v>
      </c>
      <c r="AH34" s="1291">
        <v>-100</v>
      </c>
      <c r="AI34" s="1290">
        <v>20</v>
      </c>
      <c r="AJ34" s="1290">
        <v>0</v>
      </c>
      <c r="AK34" s="1291">
        <v>-100</v>
      </c>
      <c r="AL34" s="1290">
        <v>20</v>
      </c>
      <c r="AM34" s="1290">
        <v>0</v>
      </c>
      <c r="AN34" s="1291">
        <v>-100</v>
      </c>
      <c r="AO34" s="1290">
        <v>20</v>
      </c>
      <c r="AP34" s="1290">
        <v>0</v>
      </c>
      <c r="AQ34" s="1291">
        <v>-100</v>
      </c>
      <c r="AR34" s="1290"/>
      <c r="AS34" s="1290"/>
      <c r="AT34" s="1291">
        <v>0</v>
      </c>
      <c r="AU34" s="1290"/>
      <c r="AV34" s="1290"/>
      <c r="AW34" s="1291">
        <v>0</v>
      </c>
      <c r="AX34" s="1290"/>
      <c r="AY34" s="1290"/>
      <c r="AZ34" s="1291">
        <v>0</v>
      </c>
      <c r="BA34" s="1290"/>
      <c r="BB34" s="1290"/>
      <c r="BC34" s="1291">
        <v>0</v>
      </c>
      <c r="BD34" s="1290"/>
      <c r="BE34" s="1290"/>
      <c r="BF34" s="1291">
        <v>0</v>
      </c>
      <c r="BG34" s="1290"/>
      <c r="BH34" s="1290"/>
      <c r="BI34" s="1291">
        <v>0</v>
      </c>
      <c r="BJ34" s="1290"/>
      <c r="BK34" s="1290"/>
      <c r="BL34" s="1291">
        <v>0</v>
      </c>
      <c r="BM34" s="1290"/>
      <c r="BN34" s="1290"/>
      <c r="BO34" s="1291">
        <v>0</v>
      </c>
      <c r="BP34" s="1290"/>
      <c r="BQ34" s="1290"/>
      <c r="BR34" s="1291">
        <v>0</v>
      </c>
      <c r="BS34" s="1290"/>
      <c r="BT34" s="1290"/>
      <c r="BU34" s="1291">
        <v>0</v>
      </c>
      <c r="BV34" s="1290"/>
      <c r="BW34" s="1290"/>
      <c r="BX34" s="1291">
        <v>0</v>
      </c>
      <c r="BY34" s="1290"/>
      <c r="BZ34" s="1290"/>
      <c r="CA34" s="1291">
        <v>0</v>
      </c>
      <c r="CB34" s="1290"/>
      <c r="CC34" s="1290"/>
      <c r="CD34" s="1291">
        <v>0</v>
      </c>
      <c r="CE34" s="1290"/>
      <c r="CF34" s="1290"/>
      <c r="CG34" s="1291">
        <v>0</v>
      </c>
      <c r="CH34" s="1290"/>
      <c r="CI34" s="1290"/>
      <c r="CJ34" s="1291">
        <v>0</v>
      </c>
      <c r="CK34" s="1290"/>
      <c r="CL34" s="1290"/>
      <c r="CM34" s="1291">
        <v>0</v>
      </c>
      <c r="CN34" s="1290"/>
      <c r="CO34" s="1290"/>
      <c r="CP34" s="1291">
        <v>0</v>
      </c>
      <c r="CQ34" s="1290"/>
      <c r="CR34" s="1290"/>
      <c r="CS34" s="1291">
        <v>0</v>
      </c>
      <c r="CT34" s="1290"/>
      <c r="CU34" s="1290"/>
      <c r="CV34" s="1291">
        <v>0</v>
      </c>
      <c r="CW34" s="1290"/>
      <c r="CX34" s="1290"/>
      <c r="CY34" s="1291">
        <v>0</v>
      </c>
      <c r="CZ34" s="1290"/>
      <c r="DA34" s="1290"/>
      <c r="DB34" s="1291">
        <v>0</v>
      </c>
      <c r="DC34" s="1290"/>
      <c r="DD34" s="1290"/>
      <c r="DE34" s="1291">
        <v>0</v>
      </c>
      <c r="DF34" s="1290"/>
      <c r="DG34" s="1290"/>
      <c r="DH34" s="1291">
        <v>0</v>
      </c>
      <c r="DI34" s="1290"/>
      <c r="DJ34" s="1290"/>
      <c r="DK34" s="1291">
        <v>0</v>
      </c>
      <c r="DL34" s="1290"/>
      <c r="DM34" s="1290"/>
      <c r="DN34" s="1291">
        <v>0</v>
      </c>
      <c r="DO34" s="1290"/>
      <c r="DP34" s="1290"/>
      <c r="DQ34" s="1291">
        <v>0</v>
      </c>
      <c r="DR34" s="1290"/>
      <c r="DS34" s="1290"/>
      <c r="DT34" s="1291">
        <v>0</v>
      </c>
      <c r="DU34" s="1290"/>
      <c r="DV34" s="1290"/>
      <c r="DW34" s="1291">
        <v>0</v>
      </c>
      <c r="DX34" s="1290"/>
      <c r="DY34" s="1290"/>
      <c r="DZ34" s="1291">
        <v>0</v>
      </c>
      <c r="EA34" s="1290"/>
      <c r="EB34" s="1290"/>
      <c r="EC34" s="1291">
        <v>0</v>
      </c>
      <c r="ED34" s="1290"/>
      <c r="EE34" s="1290"/>
      <c r="EF34" s="1291">
        <v>0</v>
      </c>
      <c r="EG34" s="1290"/>
      <c r="EH34" s="1290"/>
      <c r="EI34" s="1291">
        <v>0</v>
      </c>
      <c r="EJ34" s="1290"/>
      <c r="EK34" s="1290"/>
      <c r="EL34" s="1291">
        <v>0</v>
      </c>
      <c r="EM34" s="1290"/>
      <c r="EN34" s="1290"/>
      <c r="EO34" s="1291">
        <v>0</v>
      </c>
      <c r="EP34" s="1290"/>
      <c r="EQ34" s="1290"/>
      <c r="ER34" s="1291">
        <v>0</v>
      </c>
      <c r="ES34" s="1290"/>
      <c r="ET34" s="1290"/>
      <c r="EU34" s="1291">
        <v>0</v>
      </c>
      <c r="EV34" s="1290"/>
      <c r="EW34" s="1290"/>
      <c r="EX34" s="1291">
        <v>0</v>
      </c>
      <c r="EY34" s="1290"/>
      <c r="EZ34" s="1290"/>
      <c r="FA34" s="1291">
        <v>0</v>
      </c>
      <c r="FB34" s="1290"/>
      <c r="FC34" s="1290"/>
      <c r="FD34" s="1291">
        <v>0</v>
      </c>
      <c r="FE34" s="1290"/>
      <c r="FF34" s="1290"/>
      <c r="FG34" s="1291">
        <v>0</v>
      </c>
    </row>
    <row r="35" spans="1:163" s="665" customFormat="1" ht="0.2" customHeight="1">
      <c r="A35" s="1180">
        <v>1</v>
      </c>
      <c r="B35" s="1180"/>
      <c r="C35" s="1180" t="s">
        <v>1661</v>
      </c>
      <c r="D35" s="1180" t="s">
        <v>1718</v>
      </c>
      <c r="E35" s="1180"/>
      <c r="F35" s="1180"/>
      <c r="G35" s="1180" t="b">
        <v>0</v>
      </c>
      <c r="H35" s="1180"/>
      <c r="I35" s="1180"/>
      <c r="J35" s="1180"/>
      <c r="K35" s="1180"/>
      <c r="L35" s="1292" t="s">
        <v>667</v>
      </c>
      <c r="M35" s="1287" t="s">
        <v>668</v>
      </c>
      <c r="N35" s="1293"/>
      <c r="O35" s="1293"/>
      <c r="P35" s="1289">
        <v>0</v>
      </c>
      <c r="Q35" s="1293"/>
      <c r="R35" s="1293"/>
      <c r="S35" s="1289">
        <v>0</v>
      </c>
      <c r="T35" s="1293"/>
      <c r="U35" s="1293"/>
      <c r="V35" s="1289">
        <v>0</v>
      </c>
      <c r="W35" s="1293"/>
      <c r="X35" s="1293"/>
      <c r="Y35" s="1289">
        <v>0</v>
      </c>
      <c r="Z35" s="1293"/>
      <c r="AA35" s="1293"/>
      <c r="AB35" s="1289">
        <v>0</v>
      </c>
      <c r="AC35" s="1293"/>
      <c r="AD35" s="1293"/>
      <c r="AE35" s="1289">
        <v>0</v>
      </c>
      <c r="AF35" s="1293"/>
      <c r="AG35" s="1293"/>
      <c r="AH35" s="1289">
        <v>0</v>
      </c>
      <c r="AI35" s="1293"/>
      <c r="AJ35" s="1293"/>
      <c r="AK35" s="1289">
        <v>0</v>
      </c>
      <c r="AL35" s="1293"/>
      <c r="AM35" s="1293"/>
      <c r="AN35" s="1289">
        <v>0</v>
      </c>
      <c r="AO35" s="1293"/>
      <c r="AP35" s="1293"/>
      <c r="AQ35" s="1289">
        <v>0</v>
      </c>
      <c r="AR35" s="1293"/>
      <c r="AS35" s="1293"/>
      <c r="AT35" s="1289">
        <v>0</v>
      </c>
      <c r="AU35" s="1293"/>
      <c r="AV35" s="1293"/>
      <c r="AW35" s="1289">
        <v>0</v>
      </c>
      <c r="AX35" s="1293"/>
      <c r="AY35" s="1293"/>
      <c r="AZ35" s="1289">
        <v>0</v>
      </c>
      <c r="BA35" s="1293"/>
      <c r="BB35" s="1293"/>
      <c r="BC35" s="1289">
        <v>0</v>
      </c>
      <c r="BD35" s="1293"/>
      <c r="BE35" s="1293"/>
      <c r="BF35" s="1289">
        <v>0</v>
      </c>
      <c r="BG35" s="1293"/>
      <c r="BH35" s="1293"/>
      <c r="BI35" s="1289">
        <v>0</v>
      </c>
      <c r="BJ35" s="1293"/>
      <c r="BK35" s="1293"/>
      <c r="BL35" s="1289">
        <v>0</v>
      </c>
      <c r="BM35" s="1293"/>
      <c r="BN35" s="1293"/>
      <c r="BO35" s="1289">
        <v>0</v>
      </c>
      <c r="BP35" s="1293"/>
      <c r="BQ35" s="1293"/>
      <c r="BR35" s="1289">
        <v>0</v>
      </c>
      <c r="BS35" s="1293"/>
      <c r="BT35" s="1293"/>
      <c r="BU35" s="1289">
        <v>0</v>
      </c>
      <c r="BV35" s="1293"/>
      <c r="BW35" s="1293"/>
      <c r="BX35" s="1289">
        <v>0</v>
      </c>
      <c r="BY35" s="1293"/>
      <c r="BZ35" s="1293"/>
      <c r="CA35" s="1289">
        <v>0</v>
      </c>
      <c r="CB35" s="1293"/>
      <c r="CC35" s="1293"/>
      <c r="CD35" s="1289">
        <v>0</v>
      </c>
      <c r="CE35" s="1293"/>
      <c r="CF35" s="1293"/>
      <c r="CG35" s="1289">
        <v>0</v>
      </c>
      <c r="CH35" s="1293"/>
      <c r="CI35" s="1293"/>
      <c r="CJ35" s="1289">
        <v>0</v>
      </c>
      <c r="CK35" s="1293"/>
      <c r="CL35" s="1293"/>
      <c r="CM35" s="1289">
        <v>0</v>
      </c>
      <c r="CN35" s="1293"/>
      <c r="CO35" s="1293"/>
      <c r="CP35" s="1289">
        <v>0</v>
      </c>
      <c r="CQ35" s="1293"/>
      <c r="CR35" s="1293"/>
      <c r="CS35" s="1289">
        <v>0</v>
      </c>
      <c r="CT35" s="1293"/>
      <c r="CU35" s="1293"/>
      <c r="CV35" s="1289">
        <v>0</v>
      </c>
      <c r="CW35" s="1293"/>
      <c r="CX35" s="1293"/>
      <c r="CY35" s="1289">
        <v>0</v>
      </c>
      <c r="CZ35" s="1293"/>
      <c r="DA35" s="1293"/>
      <c r="DB35" s="1289">
        <v>0</v>
      </c>
      <c r="DC35" s="1293"/>
      <c r="DD35" s="1293"/>
      <c r="DE35" s="1289">
        <v>0</v>
      </c>
      <c r="DF35" s="1293"/>
      <c r="DG35" s="1293"/>
      <c r="DH35" s="1289">
        <v>0</v>
      </c>
      <c r="DI35" s="1293"/>
      <c r="DJ35" s="1293"/>
      <c r="DK35" s="1289">
        <v>0</v>
      </c>
      <c r="DL35" s="1293"/>
      <c r="DM35" s="1293"/>
      <c r="DN35" s="1289">
        <v>0</v>
      </c>
      <c r="DO35" s="1293"/>
      <c r="DP35" s="1293"/>
      <c r="DQ35" s="1289">
        <v>0</v>
      </c>
      <c r="DR35" s="1293"/>
      <c r="DS35" s="1293"/>
      <c r="DT35" s="1289">
        <v>0</v>
      </c>
      <c r="DU35" s="1293"/>
      <c r="DV35" s="1293"/>
      <c r="DW35" s="1289">
        <v>0</v>
      </c>
      <c r="DX35" s="1293"/>
      <c r="DY35" s="1293"/>
      <c r="DZ35" s="1289">
        <v>0</v>
      </c>
      <c r="EA35" s="1293"/>
      <c r="EB35" s="1293"/>
      <c r="EC35" s="1289">
        <v>0</v>
      </c>
      <c r="ED35" s="1293"/>
      <c r="EE35" s="1293"/>
      <c r="EF35" s="1289">
        <v>0</v>
      </c>
      <c r="EG35" s="1293"/>
      <c r="EH35" s="1293"/>
      <c r="EI35" s="1289">
        <v>0</v>
      </c>
      <c r="EJ35" s="1293"/>
      <c r="EK35" s="1293"/>
      <c r="EL35" s="1289">
        <v>0</v>
      </c>
      <c r="EM35" s="1293"/>
      <c r="EN35" s="1293"/>
      <c r="EO35" s="1289">
        <v>0</v>
      </c>
      <c r="EP35" s="1293"/>
      <c r="EQ35" s="1293"/>
      <c r="ER35" s="1289">
        <v>0</v>
      </c>
      <c r="ES35" s="1293"/>
      <c r="ET35" s="1293"/>
      <c r="EU35" s="1289">
        <v>0</v>
      </c>
      <c r="EV35" s="1293"/>
      <c r="EW35" s="1293"/>
      <c r="EX35" s="1289">
        <v>0</v>
      </c>
      <c r="EY35" s="1293"/>
      <c r="EZ35" s="1293"/>
      <c r="FA35" s="1289">
        <v>0</v>
      </c>
      <c r="FB35" s="1293"/>
      <c r="FC35" s="1293"/>
      <c r="FD35" s="1289">
        <v>0</v>
      </c>
      <c r="FE35" s="1293"/>
      <c r="FF35" s="1293"/>
      <c r="FG35" s="1289">
        <v>0</v>
      </c>
    </row>
    <row r="36" spans="1:163" s="665" customFormat="1" ht="0.2" customHeight="1">
      <c r="A36" s="1180">
        <v>1</v>
      </c>
      <c r="B36" s="1180"/>
      <c r="C36" s="1180" t="s">
        <v>1662</v>
      </c>
      <c r="D36" s="1180" t="s">
        <v>1718</v>
      </c>
      <c r="E36" s="1180"/>
      <c r="F36" s="1180"/>
      <c r="G36" s="1180" t="b">
        <v>0</v>
      </c>
      <c r="H36" s="1180"/>
      <c r="I36" s="1180"/>
      <c r="J36" s="1180"/>
      <c r="K36" s="1180"/>
      <c r="L36" s="1292" t="s">
        <v>669</v>
      </c>
      <c r="M36" s="1287" t="s">
        <v>670</v>
      </c>
      <c r="N36" s="1293"/>
      <c r="O36" s="1293"/>
      <c r="P36" s="1289">
        <v>0</v>
      </c>
      <c r="Q36" s="1293"/>
      <c r="R36" s="1293"/>
      <c r="S36" s="1289">
        <v>0</v>
      </c>
      <c r="T36" s="1293"/>
      <c r="U36" s="1293"/>
      <c r="V36" s="1289">
        <v>0</v>
      </c>
      <c r="W36" s="1293"/>
      <c r="X36" s="1293"/>
      <c r="Y36" s="1289">
        <v>0</v>
      </c>
      <c r="Z36" s="1293"/>
      <c r="AA36" s="1293"/>
      <c r="AB36" s="1289">
        <v>0</v>
      </c>
      <c r="AC36" s="1293"/>
      <c r="AD36" s="1293"/>
      <c r="AE36" s="1289">
        <v>0</v>
      </c>
      <c r="AF36" s="1293"/>
      <c r="AG36" s="1293"/>
      <c r="AH36" s="1289">
        <v>0</v>
      </c>
      <c r="AI36" s="1293"/>
      <c r="AJ36" s="1293"/>
      <c r="AK36" s="1289">
        <v>0</v>
      </c>
      <c r="AL36" s="1293"/>
      <c r="AM36" s="1293"/>
      <c r="AN36" s="1289">
        <v>0</v>
      </c>
      <c r="AO36" s="1293"/>
      <c r="AP36" s="1293"/>
      <c r="AQ36" s="1289">
        <v>0</v>
      </c>
      <c r="AR36" s="1293"/>
      <c r="AS36" s="1293"/>
      <c r="AT36" s="1289">
        <v>0</v>
      </c>
      <c r="AU36" s="1293"/>
      <c r="AV36" s="1293"/>
      <c r="AW36" s="1289">
        <v>0</v>
      </c>
      <c r="AX36" s="1293"/>
      <c r="AY36" s="1293"/>
      <c r="AZ36" s="1289">
        <v>0</v>
      </c>
      <c r="BA36" s="1293"/>
      <c r="BB36" s="1293"/>
      <c r="BC36" s="1289">
        <v>0</v>
      </c>
      <c r="BD36" s="1293"/>
      <c r="BE36" s="1293"/>
      <c r="BF36" s="1289">
        <v>0</v>
      </c>
      <c r="BG36" s="1293"/>
      <c r="BH36" s="1293"/>
      <c r="BI36" s="1289">
        <v>0</v>
      </c>
      <c r="BJ36" s="1293"/>
      <c r="BK36" s="1293"/>
      <c r="BL36" s="1289">
        <v>0</v>
      </c>
      <c r="BM36" s="1293"/>
      <c r="BN36" s="1293"/>
      <c r="BO36" s="1289">
        <v>0</v>
      </c>
      <c r="BP36" s="1293"/>
      <c r="BQ36" s="1293"/>
      <c r="BR36" s="1289">
        <v>0</v>
      </c>
      <c r="BS36" s="1293"/>
      <c r="BT36" s="1293"/>
      <c r="BU36" s="1289">
        <v>0</v>
      </c>
      <c r="BV36" s="1293"/>
      <c r="BW36" s="1293"/>
      <c r="BX36" s="1289">
        <v>0</v>
      </c>
      <c r="BY36" s="1293"/>
      <c r="BZ36" s="1293"/>
      <c r="CA36" s="1289">
        <v>0</v>
      </c>
      <c r="CB36" s="1293"/>
      <c r="CC36" s="1293"/>
      <c r="CD36" s="1289">
        <v>0</v>
      </c>
      <c r="CE36" s="1293"/>
      <c r="CF36" s="1293"/>
      <c r="CG36" s="1289">
        <v>0</v>
      </c>
      <c r="CH36" s="1293"/>
      <c r="CI36" s="1293"/>
      <c r="CJ36" s="1289">
        <v>0</v>
      </c>
      <c r="CK36" s="1293"/>
      <c r="CL36" s="1293"/>
      <c r="CM36" s="1289">
        <v>0</v>
      </c>
      <c r="CN36" s="1293"/>
      <c r="CO36" s="1293"/>
      <c r="CP36" s="1289">
        <v>0</v>
      </c>
      <c r="CQ36" s="1293"/>
      <c r="CR36" s="1293"/>
      <c r="CS36" s="1289">
        <v>0</v>
      </c>
      <c r="CT36" s="1293"/>
      <c r="CU36" s="1293"/>
      <c r="CV36" s="1289">
        <v>0</v>
      </c>
      <c r="CW36" s="1293"/>
      <c r="CX36" s="1293"/>
      <c r="CY36" s="1289">
        <v>0</v>
      </c>
      <c r="CZ36" s="1293"/>
      <c r="DA36" s="1293"/>
      <c r="DB36" s="1289">
        <v>0</v>
      </c>
      <c r="DC36" s="1293"/>
      <c r="DD36" s="1293"/>
      <c r="DE36" s="1289">
        <v>0</v>
      </c>
      <c r="DF36" s="1293"/>
      <c r="DG36" s="1293"/>
      <c r="DH36" s="1289">
        <v>0</v>
      </c>
      <c r="DI36" s="1293"/>
      <c r="DJ36" s="1293"/>
      <c r="DK36" s="1289">
        <v>0</v>
      </c>
      <c r="DL36" s="1293"/>
      <c r="DM36" s="1293"/>
      <c r="DN36" s="1289">
        <v>0</v>
      </c>
      <c r="DO36" s="1293"/>
      <c r="DP36" s="1293"/>
      <c r="DQ36" s="1289">
        <v>0</v>
      </c>
      <c r="DR36" s="1293"/>
      <c r="DS36" s="1293"/>
      <c r="DT36" s="1289">
        <v>0</v>
      </c>
      <c r="DU36" s="1293"/>
      <c r="DV36" s="1293"/>
      <c r="DW36" s="1289">
        <v>0</v>
      </c>
      <c r="DX36" s="1293"/>
      <c r="DY36" s="1293"/>
      <c r="DZ36" s="1289">
        <v>0</v>
      </c>
      <c r="EA36" s="1293"/>
      <c r="EB36" s="1293"/>
      <c r="EC36" s="1289">
        <v>0</v>
      </c>
      <c r="ED36" s="1293"/>
      <c r="EE36" s="1293"/>
      <c r="EF36" s="1289">
        <v>0</v>
      </c>
      <c r="EG36" s="1293"/>
      <c r="EH36" s="1293"/>
      <c r="EI36" s="1289">
        <v>0</v>
      </c>
      <c r="EJ36" s="1293"/>
      <c r="EK36" s="1293"/>
      <c r="EL36" s="1289">
        <v>0</v>
      </c>
      <c r="EM36" s="1293"/>
      <c r="EN36" s="1293"/>
      <c r="EO36" s="1289">
        <v>0</v>
      </c>
      <c r="EP36" s="1293"/>
      <c r="EQ36" s="1293"/>
      <c r="ER36" s="1289">
        <v>0</v>
      </c>
      <c r="ES36" s="1293"/>
      <c r="ET36" s="1293"/>
      <c r="EU36" s="1289">
        <v>0</v>
      </c>
      <c r="EV36" s="1293"/>
      <c r="EW36" s="1293"/>
      <c r="EX36" s="1289">
        <v>0</v>
      </c>
      <c r="EY36" s="1293"/>
      <c r="EZ36" s="1293"/>
      <c r="FA36" s="1289">
        <v>0</v>
      </c>
      <c r="FB36" s="1293"/>
      <c r="FC36" s="1293"/>
      <c r="FD36" s="1289">
        <v>0</v>
      </c>
      <c r="FE36" s="1293"/>
      <c r="FF36" s="1293"/>
      <c r="FG36" s="1289">
        <v>0</v>
      </c>
    </row>
    <row r="37" spans="1:163" s="665" customFormat="1" ht="0.2" customHeight="1">
      <c r="A37" s="1180">
        <v>1</v>
      </c>
      <c r="B37" s="1180"/>
      <c r="C37" s="1180"/>
      <c r="D37" s="1180"/>
      <c r="E37" s="1180"/>
      <c r="F37" s="1180"/>
      <c r="G37" s="1180" t="b">
        <v>0</v>
      </c>
      <c r="H37" s="1180"/>
      <c r="I37" s="1180"/>
      <c r="J37" s="1180"/>
      <c r="K37" s="1180"/>
      <c r="L37" s="1282" t="s">
        <v>1179</v>
      </c>
      <c r="M37" s="366"/>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8"/>
    </row>
    <row r="38" spans="1:163" s="665" customFormat="1" ht="0.2" customHeight="1">
      <c r="A38" s="1180">
        <v>1</v>
      </c>
      <c r="B38" s="1180"/>
      <c r="C38" s="1180" t="s">
        <v>1604</v>
      </c>
      <c r="D38" s="1180" t="s">
        <v>1719</v>
      </c>
      <c r="E38" s="1180"/>
      <c r="F38" s="1180"/>
      <c r="G38" s="1180" t="b">
        <v>0</v>
      </c>
      <c r="H38" s="1180"/>
      <c r="I38" s="1180"/>
      <c r="J38" s="1180"/>
      <c r="K38" s="1180"/>
      <c r="L38" s="1292" t="s">
        <v>664</v>
      </c>
      <c r="M38" s="1287" t="s">
        <v>652</v>
      </c>
      <c r="N38" s="1293">
        <v>0</v>
      </c>
      <c r="O38" s="1293">
        <v>0</v>
      </c>
      <c r="P38" s="1289">
        <v>0</v>
      </c>
      <c r="Q38" s="1293">
        <v>0</v>
      </c>
      <c r="R38" s="1293">
        <v>0</v>
      </c>
      <c r="S38" s="1289">
        <v>0</v>
      </c>
      <c r="T38" s="1293">
        <v>0</v>
      </c>
      <c r="U38" s="1293">
        <v>0</v>
      </c>
      <c r="V38" s="1289">
        <v>0</v>
      </c>
      <c r="W38" s="1293">
        <v>0</v>
      </c>
      <c r="X38" s="1293">
        <v>0</v>
      </c>
      <c r="Y38" s="1289">
        <v>0</v>
      </c>
      <c r="Z38" s="1293">
        <v>0</v>
      </c>
      <c r="AA38" s="1293">
        <v>0</v>
      </c>
      <c r="AB38" s="1289">
        <v>0</v>
      </c>
      <c r="AC38" s="1293">
        <v>0</v>
      </c>
      <c r="AD38" s="1293">
        <v>0</v>
      </c>
      <c r="AE38" s="1289">
        <v>0</v>
      </c>
      <c r="AF38" s="1293">
        <v>0</v>
      </c>
      <c r="AG38" s="1293">
        <v>0</v>
      </c>
      <c r="AH38" s="1289">
        <v>0</v>
      </c>
      <c r="AI38" s="1293">
        <v>0</v>
      </c>
      <c r="AJ38" s="1293">
        <v>0</v>
      </c>
      <c r="AK38" s="1289">
        <v>0</v>
      </c>
      <c r="AL38" s="1293">
        <v>0</v>
      </c>
      <c r="AM38" s="1293">
        <v>0</v>
      </c>
      <c r="AN38" s="1289">
        <v>0</v>
      </c>
      <c r="AO38" s="1293">
        <v>0</v>
      </c>
      <c r="AP38" s="1293">
        <v>0</v>
      </c>
      <c r="AQ38" s="1289">
        <v>0</v>
      </c>
      <c r="AR38" s="1293">
        <v>0</v>
      </c>
      <c r="AS38" s="1293">
        <v>0</v>
      </c>
      <c r="AT38" s="1289">
        <v>0</v>
      </c>
      <c r="AU38" s="1293">
        <v>0</v>
      </c>
      <c r="AV38" s="1293">
        <v>0</v>
      </c>
      <c r="AW38" s="1289">
        <v>0</v>
      </c>
      <c r="AX38" s="1293">
        <v>0</v>
      </c>
      <c r="AY38" s="1293">
        <v>0</v>
      </c>
      <c r="AZ38" s="1289">
        <v>0</v>
      </c>
      <c r="BA38" s="1293">
        <v>0</v>
      </c>
      <c r="BB38" s="1293">
        <v>0</v>
      </c>
      <c r="BC38" s="1289">
        <v>0</v>
      </c>
      <c r="BD38" s="1293">
        <v>0</v>
      </c>
      <c r="BE38" s="1293">
        <v>0</v>
      </c>
      <c r="BF38" s="1289">
        <v>0</v>
      </c>
      <c r="BG38" s="1293">
        <v>0</v>
      </c>
      <c r="BH38" s="1293">
        <v>0</v>
      </c>
      <c r="BI38" s="1289">
        <v>0</v>
      </c>
      <c r="BJ38" s="1293">
        <v>0</v>
      </c>
      <c r="BK38" s="1293">
        <v>0</v>
      </c>
      <c r="BL38" s="1289">
        <v>0</v>
      </c>
      <c r="BM38" s="1293">
        <v>0</v>
      </c>
      <c r="BN38" s="1293">
        <v>0</v>
      </c>
      <c r="BO38" s="1289">
        <v>0</v>
      </c>
      <c r="BP38" s="1293">
        <v>0</v>
      </c>
      <c r="BQ38" s="1293">
        <v>0</v>
      </c>
      <c r="BR38" s="1289">
        <v>0</v>
      </c>
      <c r="BS38" s="1293">
        <v>0</v>
      </c>
      <c r="BT38" s="1293">
        <v>0</v>
      </c>
      <c r="BU38" s="1289">
        <v>0</v>
      </c>
      <c r="BV38" s="1293">
        <v>0</v>
      </c>
      <c r="BW38" s="1293">
        <v>0</v>
      </c>
      <c r="BX38" s="1289">
        <v>0</v>
      </c>
      <c r="BY38" s="1293">
        <v>0</v>
      </c>
      <c r="BZ38" s="1293">
        <v>0</v>
      </c>
      <c r="CA38" s="1289">
        <v>0</v>
      </c>
      <c r="CB38" s="1293">
        <v>0</v>
      </c>
      <c r="CC38" s="1293">
        <v>0</v>
      </c>
      <c r="CD38" s="1289">
        <v>0</v>
      </c>
      <c r="CE38" s="1293">
        <v>0</v>
      </c>
      <c r="CF38" s="1293">
        <v>0</v>
      </c>
      <c r="CG38" s="1289">
        <v>0</v>
      </c>
      <c r="CH38" s="1293">
        <v>0</v>
      </c>
      <c r="CI38" s="1293">
        <v>0</v>
      </c>
      <c r="CJ38" s="1289">
        <v>0</v>
      </c>
      <c r="CK38" s="1293">
        <v>0</v>
      </c>
      <c r="CL38" s="1293">
        <v>0</v>
      </c>
      <c r="CM38" s="1289">
        <v>0</v>
      </c>
      <c r="CN38" s="1293">
        <v>0</v>
      </c>
      <c r="CO38" s="1293">
        <v>0</v>
      </c>
      <c r="CP38" s="1289">
        <v>0</v>
      </c>
      <c r="CQ38" s="1293">
        <v>0</v>
      </c>
      <c r="CR38" s="1293">
        <v>0</v>
      </c>
      <c r="CS38" s="1289">
        <v>0</v>
      </c>
      <c r="CT38" s="1293">
        <v>0</v>
      </c>
      <c r="CU38" s="1293">
        <v>0</v>
      </c>
      <c r="CV38" s="1289">
        <v>0</v>
      </c>
      <c r="CW38" s="1293">
        <v>0</v>
      </c>
      <c r="CX38" s="1293">
        <v>0</v>
      </c>
      <c r="CY38" s="1289">
        <v>0</v>
      </c>
      <c r="CZ38" s="1293">
        <v>0</v>
      </c>
      <c r="DA38" s="1293">
        <v>0</v>
      </c>
      <c r="DB38" s="1289">
        <v>0</v>
      </c>
      <c r="DC38" s="1293">
        <v>0</v>
      </c>
      <c r="DD38" s="1293">
        <v>0</v>
      </c>
      <c r="DE38" s="1289">
        <v>0</v>
      </c>
      <c r="DF38" s="1293">
        <v>0</v>
      </c>
      <c r="DG38" s="1293">
        <v>0</v>
      </c>
      <c r="DH38" s="1289">
        <v>0</v>
      </c>
      <c r="DI38" s="1293">
        <v>0</v>
      </c>
      <c r="DJ38" s="1293">
        <v>0</v>
      </c>
      <c r="DK38" s="1289">
        <v>0</v>
      </c>
      <c r="DL38" s="1293">
        <v>0</v>
      </c>
      <c r="DM38" s="1293">
        <v>0</v>
      </c>
      <c r="DN38" s="1289">
        <v>0</v>
      </c>
      <c r="DO38" s="1293">
        <v>0</v>
      </c>
      <c r="DP38" s="1293">
        <v>0</v>
      </c>
      <c r="DQ38" s="1289">
        <v>0</v>
      </c>
      <c r="DR38" s="1293">
        <v>0</v>
      </c>
      <c r="DS38" s="1293">
        <v>0</v>
      </c>
      <c r="DT38" s="1289">
        <v>0</v>
      </c>
      <c r="DU38" s="1293">
        <v>0</v>
      </c>
      <c r="DV38" s="1293">
        <v>0</v>
      </c>
      <c r="DW38" s="1289">
        <v>0</v>
      </c>
      <c r="DX38" s="1293">
        <v>0</v>
      </c>
      <c r="DY38" s="1293">
        <v>0</v>
      </c>
      <c r="DZ38" s="1289">
        <v>0</v>
      </c>
      <c r="EA38" s="1293">
        <v>0</v>
      </c>
      <c r="EB38" s="1293">
        <v>0</v>
      </c>
      <c r="EC38" s="1289">
        <v>0</v>
      </c>
      <c r="ED38" s="1293">
        <v>0</v>
      </c>
      <c r="EE38" s="1293">
        <v>0</v>
      </c>
      <c r="EF38" s="1289">
        <v>0</v>
      </c>
      <c r="EG38" s="1293">
        <v>0</v>
      </c>
      <c r="EH38" s="1293">
        <v>0</v>
      </c>
      <c r="EI38" s="1289">
        <v>0</v>
      </c>
      <c r="EJ38" s="1293">
        <v>0</v>
      </c>
      <c r="EK38" s="1293">
        <v>0</v>
      </c>
      <c r="EL38" s="1289">
        <v>0</v>
      </c>
      <c r="EM38" s="1293">
        <v>0</v>
      </c>
      <c r="EN38" s="1293">
        <v>0</v>
      </c>
      <c r="EO38" s="1289">
        <v>0</v>
      </c>
      <c r="EP38" s="1293">
        <v>0</v>
      </c>
      <c r="EQ38" s="1293">
        <v>0</v>
      </c>
      <c r="ER38" s="1289">
        <v>0</v>
      </c>
      <c r="ES38" s="1293">
        <v>0</v>
      </c>
      <c r="ET38" s="1293">
        <v>0</v>
      </c>
      <c r="EU38" s="1289">
        <v>0</v>
      </c>
      <c r="EV38" s="1293">
        <v>0</v>
      </c>
      <c r="EW38" s="1293">
        <v>0</v>
      </c>
      <c r="EX38" s="1289">
        <v>0</v>
      </c>
      <c r="EY38" s="1293">
        <v>0</v>
      </c>
      <c r="EZ38" s="1293">
        <v>0</v>
      </c>
      <c r="FA38" s="1289">
        <v>0</v>
      </c>
      <c r="FB38" s="1293">
        <v>0</v>
      </c>
      <c r="FC38" s="1293">
        <v>0</v>
      </c>
      <c r="FD38" s="1289">
        <v>0</v>
      </c>
      <c r="FE38" s="1293">
        <v>0</v>
      </c>
      <c r="FF38" s="1293">
        <v>0</v>
      </c>
      <c r="FG38" s="1289">
        <v>0</v>
      </c>
    </row>
    <row r="39" spans="1:163" s="665" customFormat="1" ht="0.2" customHeight="1">
      <c r="A39" s="1180">
        <v>1</v>
      </c>
      <c r="B39" s="1180"/>
      <c r="C39" s="1180" t="s">
        <v>1605</v>
      </c>
      <c r="D39" s="1180" t="s">
        <v>1719</v>
      </c>
      <c r="E39" s="1180"/>
      <c r="F39" s="1180"/>
      <c r="G39" s="1180" t="b">
        <v>0</v>
      </c>
      <c r="H39" s="1180"/>
      <c r="I39" s="1180"/>
      <c r="J39" s="1180"/>
      <c r="K39" s="1180"/>
      <c r="L39" s="1292" t="s">
        <v>665</v>
      </c>
      <c r="M39" s="1287" t="s">
        <v>652</v>
      </c>
      <c r="N39" s="1293"/>
      <c r="O39" s="1293"/>
      <c r="P39" s="1289">
        <v>0</v>
      </c>
      <c r="Q39" s="1293"/>
      <c r="R39" s="1293"/>
      <c r="S39" s="1289">
        <v>0</v>
      </c>
      <c r="T39" s="1293"/>
      <c r="U39" s="1293"/>
      <c r="V39" s="1289">
        <v>0</v>
      </c>
      <c r="W39" s="1293"/>
      <c r="X39" s="1293"/>
      <c r="Y39" s="1289">
        <v>0</v>
      </c>
      <c r="Z39" s="1293"/>
      <c r="AA39" s="1293"/>
      <c r="AB39" s="1289">
        <v>0</v>
      </c>
      <c r="AC39" s="1293"/>
      <c r="AD39" s="1293"/>
      <c r="AE39" s="1289">
        <v>0</v>
      </c>
      <c r="AF39" s="1293"/>
      <c r="AG39" s="1293"/>
      <c r="AH39" s="1289">
        <v>0</v>
      </c>
      <c r="AI39" s="1293"/>
      <c r="AJ39" s="1293"/>
      <c r="AK39" s="1289">
        <v>0</v>
      </c>
      <c r="AL39" s="1293"/>
      <c r="AM39" s="1293"/>
      <c r="AN39" s="1289">
        <v>0</v>
      </c>
      <c r="AO39" s="1293"/>
      <c r="AP39" s="1293"/>
      <c r="AQ39" s="1289">
        <v>0</v>
      </c>
      <c r="AR39" s="1293"/>
      <c r="AS39" s="1293"/>
      <c r="AT39" s="1289">
        <v>0</v>
      </c>
      <c r="AU39" s="1293"/>
      <c r="AV39" s="1293"/>
      <c r="AW39" s="1289">
        <v>0</v>
      </c>
      <c r="AX39" s="1293"/>
      <c r="AY39" s="1293"/>
      <c r="AZ39" s="1289">
        <v>0</v>
      </c>
      <c r="BA39" s="1293"/>
      <c r="BB39" s="1293"/>
      <c r="BC39" s="1289">
        <v>0</v>
      </c>
      <c r="BD39" s="1293"/>
      <c r="BE39" s="1293"/>
      <c r="BF39" s="1289">
        <v>0</v>
      </c>
      <c r="BG39" s="1293"/>
      <c r="BH39" s="1293"/>
      <c r="BI39" s="1289">
        <v>0</v>
      </c>
      <c r="BJ39" s="1293"/>
      <c r="BK39" s="1293"/>
      <c r="BL39" s="1289">
        <v>0</v>
      </c>
      <c r="BM39" s="1293"/>
      <c r="BN39" s="1293"/>
      <c r="BO39" s="1289">
        <v>0</v>
      </c>
      <c r="BP39" s="1293"/>
      <c r="BQ39" s="1293"/>
      <c r="BR39" s="1289">
        <v>0</v>
      </c>
      <c r="BS39" s="1293"/>
      <c r="BT39" s="1293"/>
      <c r="BU39" s="1289">
        <v>0</v>
      </c>
      <c r="BV39" s="1293"/>
      <c r="BW39" s="1293"/>
      <c r="BX39" s="1289">
        <v>0</v>
      </c>
      <c r="BY39" s="1293"/>
      <c r="BZ39" s="1293"/>
      <c r="CA39" s="1289">
        <v>0</v>
      </c>
      <c r="CB39" s="1293"/>
      <c r="CC39" s="1293"/>
      <c r="CD39" s="1289">
        <v>0</v>
      </c>
      <c r="CE39" s="1293"/>
      <c r="CF39" s="1293"/>
      <c r="CG39" s="1289">
        <v>0</v>
      </c>
      <c r="CH39" s="1293"/>
      <c r="CI39" s="1293"/>
      <c r="CJ39" s="1289">
        <v>0</v>
      </c>
      <c r="CK39" s="1293"/>
      <c r="CL39" s="1293"/>
      <c r="CM39" s="1289">
        <v>0</v>
      </c>
      <c r="CN39" s="1293"/>
      <c r="CO39" s="1293"/>
      <c r="CP39" s="1289">
        <v>0</v>
      </c>
      <c r="CQ39" s="1293"/>
      <c r="CR39" s="1293"/>
      <c r="CS39" s="1289">
        <v>0</v>
      </c>
      <c r="CT39" s="1293"/>
      <c r="CU39" s="1293"/>
      <c r="CV39" s="1289">
        <v>0</v>
      </c>
      <c r="CW39" s="1293"/>
      <c r="CX39" s="1293"/>
      <c r="CY39" s="1289">
        <v>0</v>
      </c>
      <c r="CZ39" s="1293"/>
      <c r="DA39" s="1293"/>
      <c r="DB39" s="1289">
        <v>0</v>
      </c>
      <c r="DC39" s="1293"/>
      <c r="DD39" s="1293"/>
      <c r="DE39" s="1289">
        <v>0</v>
      </c>
      <c r="DF39" s="1293"/>
      <c r="DG39" s="1293"/>
      <c r="DH39" s="1289">
        <v>0</v>
      </c>
      <c r="DI39" s="1293"/>
      <c r="DJ39" s="1293"/>
      <c r="DK39" s="1289">
        <v>0</v>
      </c>
      <c r="DL39" s="1293"/>
      <c r="DM39" s="1293"/>
      <c r="DN39" s="1289">
        <v>0</v>
      </c>
      <c r="DO39" s="1293"/>
      <c r="DP39" s="1293"/>
      <c r="DQ39" s="1289">
        <v>0</v>
      </c>
      <c r="DR39" s="1293"/>
      <c r="DS39" s="1293"/>
      <c r="DT39" s="1289">
        <v>0</v>
      </c>
      <c r="DU39" s="1293"/>
      <c r="DV39" s="1293"/>
      <c r="DW39" s="1289">
        <v>0</v>
      </c>
      <c r="DX39" s="1293"/>
      <c r="DY39" s="1293"/>
      <c r="DZ39" s="1289">
        <v>0</v>
      </c>
      <c r="EA39" s="1293"/>
      <c r="EB39" s="1293"/>
      <c r="EC39" s="1289">
        <v>0</v>
      </c>
      <c r="ED39" s="1293"/>
      <c r="EE39" s="1293"/>
      <c r="EF39" s="1289">
        <v>0</v>
      </c>
      <c r="EG39" s="1293"/>
      <c r="EH39" s="1293"/>
      <c r="EI39" s="1289">
        <v>0</v>
      </c>
      <c r="EJ39" s="1293"/>
      <c r="EK39" s="1293"/>
      <c r="EL39" s="1289">
        <v>0</v>
      </c>
      <c r="EM39" s="1293"/>
      <c r="EN39" s="1293"/>
      <c r="EO39" s="1289">
        <v>0</v>
      </c>
      <c r="EP39" s="1293"/>
      <c r="EQ39" s="1293"/>
      <c r="ER39" s="1289">
        <v>0</v>
      </c>
      <c r="ES39" s="1293"/>
      <c r="ET39" s="1293"/>
      <c r="EU39" s="1289">
        <v>0</v>
      </c>
      <c r="EV39" s="1293"/>
      <c r="EW39" s="1293"/>
      <c r="EX39" s="1289">
        <v>0</v>
      </c>
      <c r="EY39" s="1293"/>
      <c r="EZ39" s="1293"/>
      <c r="FA39" s="1289">
        <v>0</v>
      </c>
      <c r="FB39" s="1293"/>
      <c r="FC39" s="1293"/>
      <c r="FD39" s="1289">
        <v>0</v>
      </c>
      <c r="FE39" s="1293"/>
      <c r="FF39" s="1293"/>
      <c r="FG39" s="1289">
        <v>0</v>
      </c>
    </row>
    <row r="40" spans="1:163" s="665" customFormat="1" ht="0.2" customHeight="1">
      <c r="A40" s="1180">
        <v>1</v>
      </c>
      <c r="B40" s="1098" t="s">
        <v>1173</v>
      </c>
      <c r="C40" s="1180" t="s">
        <v>1660</v>
      </c>
      <c r="D40" s="1180" t="s">
        <v>1719</v>
      </c>
      <c r="E40" s="1180"/>
      <c r="F40" s="1180"/>
      <c r="G40" s="1180" t="b">
        <v>0</v>
      </c>
      <c r="H40" s="1180"/>
      <c r="I40" s="1180"/>
      <c r="J40" s="1180"/>
      <c r="K40" s="1180"/>
      <c r="L40" s="1292" t="s">
        <v>666</v>
      </c>
      <c r="M40" s="1287" t="s">
        <v>310</v>
      </c>
      <c r="N40" s="1290">
        <v>20</v>
      </c>
      <c r="O40" s="1290">
        <v>20</v>
      </c>
      <c r="P40" s="1291">
        <v>0</v>
      </c>
      <c r="Q40" s="1290">
        <v>20</v>
      </c>
      <c r="R40" s="1290">
        <v>20</v>
      </c>
      <c r="S40" s="1291">
        <v>0</v>
      </c>
      <c r="T40" s="1290">
        <v>20</v>
      </c>
      <c r="U40" s="1290">
        <v>20</v>
      </c>
      <c r="V40" s="1291">
        <v>0</v>
      </c>
      <c r="W40" s="1290">
        <v>20</v>
      </c>
      <c r="X40" s="1290">
        <v>20</v>
      </c>
      <c r="Y40" s="1291">
        <v>0</v>
      </c>
      <c r="Z40" s="1290">
        <v>20</v>
      </c>
      <c r="AA40" s="1290">
        <v>20</v>
      </c>
      <c r="AB40" s="1291">
        <v>0</v>
      </c>
      <c r="AC40" s="1290">
        <v>20</v>
      </c>
      <c r="AD40" s="1290">
        <v>0</v>
      </c>
      <c r="AE40" s="1291">
        <v>-100</v>
      </c>
      <c r="AF40" s="1290">
        <v>20</v>
      </c>
      <c r="AG40" s="1290">
        <v>0</v>
      </c>
      <c r="AH40" s="1291">
        <v>-100</v>
      </c>
      <c r="AI40" s="1290">
        <v>20</v>
      </c>
      <c r="AJ40" s="1290">
        <v>0</v>
      </c>
      <c r="AK40" s="1291">
        <v>-100</v>
      </c>
      <c r="AL40" s="1290">
        <v>20</v>
      </c>
      <c r="AM40" s="1290">
        <v>0</v>
      </c>
      <c r="AN40" s="1291">
        <v>-100</v>
      </c>
      <c r="AO40" s="1290">
        <v>20</v>
      </c>
      <c r="AP40" s="1290">
        <v>0</v>
      </c>
      <c r="AQ40" s="1294">
        <v>-100</v>
      </c>
      <c r="AR40" s="1290"/>
      <c r="AS40" s="1290"/>
      <c r="AT40" s="1294">
        <v>0</v>
      </c>
      <c r="AU40" s="1290"/>
      <c r="AV40" s="1290"/>
      <c r="AW40" s="1294">
        <v>0</v>
      </c>
      <c r="AX40" s="1290"/>
      <c r="AY40" s="1290"/>
      <c r="AZ40" s="1294">
        <v>0</v>
      </c>
      <c r="BA40" s="1290"/>
      <c r="BB40" s="1290"/>
      <c r="BC40" s="1294">
        <v>0</v>
      </c>
      <c r="BD40" s="1290"/>
      <c r="BE40" s="1290"/>
      <c r="BF40" s="1294">
        <v>0</v>
      </c>
      <c r="BG40" s="1290"/>
      <c r="BH40" s="1290"/>
      <c r="BI40" s="1294">
        <v>0</v>
      </c>
      <c r="BJ40" s="1290"/>
      <c r="BK40" s="1290"/>
      <c r="BL40" s="1294">
        <v>0</v>
      </c>
      <c r="BM40" s="1290"/>
      <c r="BN40" s="1290"/>
      <c r="BO40" s="1294">
        <v>0</v>
      </c>
      <c r="BP40" s="1290"/>
      <c r="BQ40" s="1290"/>
      <c r="BR40" s="1294">
        <v>0</v>
      </c>
      <c r="BS40" s="1290"/>
      <c r="BT40" s="1290"/>
      <c r="BU40" s="1294">
        <v>0</v>
      </c>
      <c r="BV40" s="1290"/>
      <c r="BW40" s="1290"/>
      <c r="BX40" s="1294">
        <v>0</v>
      </c>
      <c r="BY40" s="1290"/>
      <c r="BZ40" s="1290"/>
      <c r="CA40" s="1294">
        <v>0</v>
      </c>
      <c r="CB40" s="1290"/>
      <c r="CC40" s="1290"/>
      <c r="CD40" s="1294">
        <v>0</v>
      </c>
      <c r="CE40" s="1290"/>
      <c r="CF40" s="1290"/>
      <c r="CG40" s="1294">
        <v>0</v>
      </c>
      <c r="CH40" s="1290"/>
      <c r="CI40" s="1290"/>
      <c r="CJ40" s="1294">
        <v>0</v>
      </c>
      <c r="CK40" s="1290"/>
      <c r="CL40" s="1290"/>
      <c r="CM40" s="1294">
        <v>0</v>
      </c>
      <c r="CN40" s="1290"/>
      <c r="CO40" s="1290"/>
      <c r="CP40" s="1294">
        <v>0</v>
      </c>
      <c r="CQ40" s="1290"/>
      <c r="CR40" s="1290"/>
      <c r="CS40" s="1294">
        <v>0</v>
      </c>
      <c r="CT40" s="1290"/>
      <c r="CU40" s="1290"/>
      <c r="CV40" s="1294">
        <v>0</v>
      </c>
      <c r="CW40" s="1290"/>
      <c r="CX40" s="1290"/>
      <c r="CY40" s="1294">
        <v>0</v>
      </c>
      <c r="CZ40" s="1290"/>
      <c r="DA40" s="1290"/>
      <c r="DB40" s="1294">
        <v>0</v>
      </c>
      <c r="DC40" s="1290"/>
      <c r="DD40" s="1290"/>
      <c r="DE40" s="1294">
        <v>0</v>
      </c>
      <c r="DF40" s="1290"/>
      <c r="DG40" s="1290"/>
      <c r="DH40" s="1294">
        <v>0</v>
      </c>
      <c r="DI40" s="1290"/>
      <c r="DJ40" s="1290"/>
      <c r="DK40" s="1294">
        <v>0</v>
      </c>
      <c r="DL40" s="1290"/>
      <c r="DM40" s="1290"/>
      <c r="DN40" s="1294">
        <v>0</v>
      </c>
      <c r="DO40" s="1290"/>
      <c r="DP40" s="1290"/>
      <c r="DQ40" s="1294">
        <v>0</v>
      </c>
      <c r="DR40" s="1290"/>
      <c r="DS40" s="1290"/>
      <c r="DT40" s="1294">
        <v>0</v>
      </c>
      <c r="DU40" s="1290"/>
      <c r="DV40" s="1290"/>
      <c r="DW40" s="1294">
        <v>0</v>
      </c>
      <c r="DX40" s="1290"/>
      <c r="DY40" s="1290"/>
      <c r="DZ40" s="1294">
        <v>0</v>
      </c>
      <c r="EA40" s="1290"/>
      <c r="EB40" s="1290"/>
      <c r="EC40" s="1294">
        <v>0</v>
      </c>
      <c r="ED40" s="1290"/>
      <c r="EE40" s="1290"/>
      <c r="EF40" s="1294">
        <v>0</v>
      </c>
      <c r="EG40" s="1290"/>
      <c r="EH40" s="1290"/>
      <c r="EI40" s="1294">
        <v>0</v>
      </c>
      <c r="EJ40" s="1290"/>
      <c r="EK40" s="1290"/>
      <c r="EL40" s="1294">
        <v>0</v>
      </c>
      <c r="EM40" s="1290"/>
      <c r="EN40" s="1290"/>
      <c r="EO40" s="1294">
        <v>0</v>
      </c>
      <c r="EP40" s="1290"/>
      <c r="EQ40" s="1290"/>
      <c r="ER40" s="1294">
        <v>0</v>
      </c>
      <c r="ES40" s="1290"/>
      <c r="ET40" s="1290"/>
      <c r="EU40" s="1294">
        <v>0</v>
      </c>
      <c r="EV40" s="1290"/>
      <c r="EW40" s="1290"/>
      <c r="EX40" s="1294">
        <v>0</v>
      </c>
      <c r="EY40" s="1290"/>
      <c r="EZ40" s="1290"/>
      <c r="FA40" s="1294">
        <v>0</v>
      </c>
      <c r="FB40" s="1290"/>
      <c r="FC40" s="1290"/>
      <c r="FD40" s="1294">
        <v>0</v>
      </c>
      <c r="FE40" s="1290"/>
      <c r="FF40" s="1290"/>
      <c r="FG40" s="1294">
        <v>0</v>
      </c>
    </row>
    <row r="41" spans="1:163" s="665" customFormat="1" ht="0.2" customHeight="1">
      <c r="A41" s="1180">
        <v>1</v>
      </c>
      <c r="B41" s="1180"/>
      <c r="C41" s="1180" t="s">
        <v>1661</v>
      </c>
      <c r="D41" s="1180" t="s">
        <v>1719</v>
      </c>
      <c r="E41" s="1180"/>
      <c r="F41" s="1180"/>
      <c r="G41" s="1180" t="b">
        <v>0</v>
      </c>
      <c r="H41" s="1180"/>
      <c r="I41" s="1180"/>
      <c r="J41" s="1180"/>
      <c r="K41" s="1180"/>
      <c r="L41" s="1292" t="s">
        <v>667</v>
      </c>
      <c r="M41" s="1287" t="s">
        <v>668</v>
      </c>
      <c r="N41" s="1293"/>
      <c r="O41" s="1293"/>
      <c r="P41" s="1289">
        <v>0</v>
      </c>
      <c r="Q41" s="1293"/>
      <c r="R41" s="1293"/>
      <c r="S41" s="1289">
        <v>0</v>
      </c>
      <c r="T41" s="1293"/>
      <c r="U41" s="1293"/>
      <c r="V41" s="1289">
        <v>0</v>
      </c>
      <c r="W41" s="1293"/>
      <c r="X41" s="1293"/>
      <c r="Y41" s="1289">
        <v>0</v>
      </c>
      <c r="Z41" s="1293"/>
      <c r="AA41" s="1293"/>
      <c r="AB41" s="1289">
        <v>0</v>
      </c>
      <c r="AC41" s="1293"/>
      <c r="AD41" s="1293"/>
      <c r="AE41" s="1289">
        <v>0</v>
      </c>
      <c r="AF41" s="1293"/>
      <c r="AG41" s="1293"/>
      <c r="AH41" s="1289">
        <v>0</v>
      </c>
      <c r="AI41" s="1293"/>
      <c r="AJ41" s="1293"/>
      <c r="AK41" s="1289">
        <v>0</v>
      </c>
      <c r="AL41" s="1293"/>
      <c r="AM41" s="1293"/>
      <c r="AN41" s="1289">
        <v>0</v>
      </c>
      <c r="AO41" s="1293"/>
      <c r="AP41" s="1293"/>
      <c r="AQ41" s="1289">
        <v>0</v>
      </c>
      <c r="AR41" s="1293"/>
      <c r="AS41" s="1293"/>
      <c r="AT41" s="1289">
        <v>0</v>
      </c>
      <c r="AU41" s="1293"/>
      <c r="AV41" s="1293"/>
      <c r="AW41" s="1289">
        <v>0</v>
      </c>
      <c r="AX41" s="1293"/>
      <c r="AY41" s="1293"/>
      <c r="AZ41" s="1289">
        <v>0</v>
      </c>
      <c r="BA41" s="1293"/>
      <c r="BB41" s="1293"/>
      <c r="BC41" s="1289">
        <v>0</v>
      </c>
      <c r="BD41" s="1293"/>
      <c r="BE41" s="1293"/>
      <c r="BF41" s="1289">
        <v>0</v>
      </c>
      <c r="BG41" s="1293"/>
      <c r="BH41" s="1293"/>
      <c r="BI41" s="1289">
        <v>0</v>
      </c>
      <c r="BJ41" s="1293"/>
      <c r="BK41" s="1293"/>
      <c r="BL41" s="1289">
        <v>0</v>
      </c>
      <c r="BM41" s="1293"/>
      <c r="BN41" s="1293"/>
      <c r="BO41" s="1289">
        <v>0</v>
      </c>
      <c r="BP41" s="1293"/>
      <c r="BQ41" s="1293"/>
      <c r="BR41" s="1289">
        <v>0</v>
      </c>
      <c r="BS41" s="1293"/>
      <c r="BT41" s="1293"/>
      <c r="BU41" s="1289">
        <v>0</v>
      </c>
      <c r="BV41" s="1293"/>
      <c r="BW41" s="1293"/>
      <c r="BX41" s="1289">
        <v>0</v>
      </c>
      <c r="BY41" s="1293"/>
      <c r="BZ41" s="1293"/>
      <c r="CA41" s="1289">
        <v>0</v>
      </c>
      <c r="CB41" s="1293"/>
      <c r="CC41" s="1293"/>
      <c r="CD41" s="1289">
        <v>0</v>
      </c>
      <c r="CE41" s="1293"/>
      <c r="CF41" s="1293"/>
      <c r="CG41" s="1289">
        <v>0</v>
      </c>
      <c r="CH41" s="1293"/>
      <c r="CI41" s="1293"/>
      <c r="CJ41" s="1289">
        <v>0</v>
      </c>
      <c r="CK41" s="1293"/>
      <c r="CL41" s="1293"/>
      <c r="CM41" s="1289">
        <v>0</v>
      </c>
      <c r="CN41" s="1293"/>
      <c r="CO41" s="1293"/>
      <c r="CP41" s="1289">
        <v>0</v>
      </c>
      <c r="CQ41" s="1293"/>
      <c r="CR41" s="1293"/>
      <c r="CS41" s="1289">
        <v>0</v>
      </c>
      <c r="CT41" s="1293"/>
      <c r="CU41" s="1293"/>
      <c r="CV41" s="1289">
        <v>0</v>
      </c>
      <c r="CW41" s="1293"/>
      <c r="CX41" s="1293"/>
      <c r="CY41" s="1289">
        <v>0</v>
      </c>
      <c r="CZ41" s="1293"/>
      <c r="DA41" s="1293"/>
      <c r="DB41" s="1289">
        <v>0</v>
      </c>
      <c r="DC41" s="1293"/>
      <c r="DD41" s="1293"/>
      <c r="DE41" s="1289">
        <v>0</v>
      </c>
      <c r="DF41" s="1293"/>
      <c r="DG41" s="1293"/>
      <c r="DH41" s="1289">
        <v>0</v>
      </c>
      <c r="DI41" s="1293"/>
      <c r="DJ41" s="1293"/>
      <c r="DK41" s="1289">
        <v>0</v>
      </c>
      <c r="DL41" s="1293"/>
      <c r="DM41" s="1293"/>
      <c r="DN41" s="1289">
        <v>0</v>
      </c>
      <c r="DO41" s="1293"/>
      <c r="DP41" s="1293"/>
      <c r="DQ41" s="1289">
        <v>0</v>
      </c>
      <c r="DR41" s="1293"/>
      <c r="DS41" s="1293"/>
      <c r="DT41" s="1289">
        <v>0</v>
      </c>
      <c r="DU41" s="1293"/>
      <c r="DV41" s="1293"/>
      <c r="DW41" s="1289">
        <v>0</v>
      </c>
      <c r="DX41" s="1293"/>
      <c r="DY41" s="1293"/>
      <c r="DZ41" s="1289">
        <v>0</v>
      </c>
      <c r="EA41" s="1293"/>
      <c r="EB41" s="1293"/>
      <c r="EC41" s="1289">
        <v>0</v>
      </c>
      <c r="ED41" s="1293"/>
      <c r="EE41" s="1293"/>
      <c r="EF41" s="1289">
        <v>0</v>
      </c>
      <c r="EG41" s="1293"/>
      <c r="EH41" s="1293"/>
      <c r="EI41" s="1289">
        <v>0</v>
      </c>
      <c r="EJ41" s="1293"/>
      <c r="EK41" s="1293"/>
      <c r="EL41" s="1289">
        <v>0</v>
      </c>
      <c r="EM41" s="1293"/>
      <c r="EN41" s="1293"/>
      <c r="EO41" s="1289">
        <v>0</v>
      </c>
      <c r="EP41" s="1293"/>
      <c r="EQ41" s="1293"/>
      <c r="ER41" s="1289">
        <v>0</v>
      </c>
      <c r="ES41" s="1293"/>
      <c r="ET41" s="1293"/>
      <c r="EU41" s="1289">
        <v>0</v>
      </c>
      <c r="EV41" s="1293"/>
      <c r="EW41" s="1293"/>
      <c r="EX41" s="1289">
        <v>0</v>
      </c>
      <c r="EY41" s="1293"/>
      <c r="EZ41" s="1293"/>
      <c r="FA41" s="1289">
        <v>0</v>
      </c>
      <c r="FB41" s="1293"/>
      <c r="FC41" s="1293"/>
      <c r="FD41" s="1289">
        <v>0</v>
      </c>
      <c r="FE41" s="1293"/>
      <c r="FF41" s="1293"/>
      <c r="FG41" s="1289">
        <v>0</v>
      </c>
    </row>
    <row r="42" spans="1:163" s="665" customFormat="1" ht="0.2" customHeight="1">
      <c r="A42" s="1180">
        <v>1</v>
      </c>
      <c r="B42" s="1180"/>
      <c r="C42" s="1180" t="s">
        <v>1662</v>
      </c>
      <c r="D42" s="1180" t="s">
        <v>1719</v>
      </c>
      <c r="E42" s="1180"/>
      <c r="F42" s="1180"/>
      <c r="G42" s="1180" t="b">
        <v>0</v>
      </c>
      <c r="H42" s="1180"/>
      <c r="I42" s="1180"/>
      <c r="J42" s="1180"/>
      <c r="K42" s="1180"/>
      <c r="L42" s="1292" t="s">
        <v>669</v>
      </c>
      <c r="M42" s="1287" t="s">
        <v>670</v>
      </c>
      <c r="N42" s="1293"/>
      <c r="O42" s="1293"/>
      <c r="P42" s="1289">
        <v>0</v>
      </c>
      <c r="Q42" s="1293"/>
      <c r="R42" s="1293"/>
      <c r="S42" s="1289">
        <v>0</v>
      </c>
      <c r="T42" s="1293"/>
      <c r="U42" s="1293"/>
      <c r="V42" s="1289">
        <v>0</v>
      </c>
      <c r="W42" s="1293"/>
      <c r="X42" s="1293"/>
      <c r="Y42" s="1289">
        <v>0</v>
      </c>
      <c r="Z42" s="1293"/>
      <c r="AA42" s="1293"/>
      <c r="AB42" s="1289">
        <v>0</v>
      </c>
      <c r="AC42" s="1293"/>
      <c r="AD42" s="1293"/>
      <c r="AE42" s="1289">
        <v>0</v>
      </c>
      <c r="AF42" s="1293"/>
      <c r="AG42" s="1293"/>
      <c r="AH42" s="1289">
        <v>0</v>
      </c>
      <c r="AI42" s="1293"/>
      <c r="AJ42" s="1293"/>
      <c r="AK42" s="1289">
        <v>0</v>
      </c>
      <c r="AL42" s="1293"/>
      <c r="AM42" s="1293"/>
      <c r="AN42" s="1289">
        <v>0</v>
      </c>
      <c r="AO42" s="1293"/>
      <c r="AP42" s="1293"/>
      <c r="AQ42" s="1289">
        <v>0</v>
      </c>
      <c r="AR42" s="1293"/>
      <c r="AS42" s="1293"/>
      <c r="AT42" s="1289">
        <v>0</v>
      </c>
      <c r="AU42" s="1293"/>
      <c r="AV42" s="1293"/>
      <c r="AW42" s="1289">
        <v>0</v>
      </c>
      <c r="AX42" s="1293"/>
      <c r="AY42" s="1293"/>
      <c r="AZ42" s="1289">
        <v>0</v>
      </c>
      <c r="BA42" s="1293"/>
      <c r="BB42" s="1293"/>
      <c r="BC42" s="1289">
        <v>0</v>
      </c>
      <c r="BD42" s="1293"/>
      <c r="BE42" s="1293"/>
      <c r="BF42" s="1289">
        <v>0</v>
      </c>
      <c r="BG42" s="1293"/>
      <c r="BH42" s="1293"/>
      <c r="BI42" s="1289">
        <v>0</v>
      </c>
      <c r="BJ42" s="1293"/>
      <c r="BK42" s="1293"/>
      <c r="BL42" s="1289">
        <v>0</v>
      </c>
      <c r="BM42" s="1293"/>
      <c r="BN42" s="1293"/>
      <c r="BO42" s="1289">
        <v>0</v>
      </c>
      <c r="BP42" s="1293"/>
      <c r="BQ42" s="1293"/>
      <c r="BR42" s="1289">
        <v>0</v>
      </c>
      <c r="BS42" s="1293"/>
      <c r="BT42" s="1293"/>
      <c r="BU42" s="1289">
        <v>0</v>
      </c>
      <c r="BV42" s="1293"/>
      <c r="BW42" s="1293"/>
      <c r="BX42" s="1289">
        <v>0</v>
      </c>
      <c r="BY42" s="1293"/>
      <c r="BZ42" s="1293"/>
      <c r="CA42" s="1289">
        <v>0</v>
      </c>
      <c r="CB42" s="1293"/>
      <c r="CC42" s="1293"/>
      <c r="CD42" s="1289">
        <v>0</v>
      </c>
      <c r="CE42" s="1293"/>
      <c r="CF42" s="1293"/>
      <c r="CG42" s="1289">
        <v>0</v>
      </c>
      <c r="CH42" s="1293"/>
      <c r="CI42" s="1293"/>
      <c r="CJ42" s="1289">
        <v>0</v>
      </c>
      <c r="CK42" s="1293"/>
      <c r="CL42" s="1293"/>
      <c r="CM42" s="1289">
        <v>0</v>
      </c>
      <c r="CN42" s="1293"/>
      <c r="CO42" s="1293"/>
      <c r="CP42" s="1289">
        <v>0</v>
      </c>
      <c r="CQ42" s="1293"/>
      <c r="CR42" s="1293"/>
      <c r="CS42" s="1289">
        <v>0</v>
      </c>
      <c r="CT42" s="1293"/>
      <c r="CU42" s="1293"/>
      <c r="CV42" s="1289">
        <v>0</v>
      </c>
      <c r="CW42" s="1293"/>
      <c r="CX42" s="1293"/>
      <c r="CY42" s="1289">
        <v>0</v>
      </c>
      <c r="CZ42" s="1293"/>
      <c r="DA42" s="1293"/>
      <c r="DB42" s="1289">
        <v>0</v>
      </c>
      <c r="DC42" s="1293"/>
      <c r="DD42" s="1293"/>
      <c r="DE42" s="1289">
        <v>0</v>
      </c>
      <c r="DF42" s="1293"/>
      <c r="DG42" s="1293"/>
      <c r="DH42" s="1289">
        <v>0</v>
      </c>
      <c r="DI42" s="1293"/>
      <c r="DJ42" s="1293"/>
      <c r="DK42" s="1289">
        <v>0</v>
      </c>
      <c r="DL42" s="1293"/>
      <c r="DM42" s="1293"/>
      <c r="DN42" s="1289">
        <v>0</v>
      </c>
      <c r="DO42" s="1293"/>
      <c r="DP42" s="1293"/>
      <c r="DQ42" s="1289">
        <v>0</v>
      </c>
      <c r="DR42" s="1293"/>
      <c r="DS42" s="1293"/>
      <c r="DT42" s="1289">
        <v>0</v>
      </c>
      <c r="DU42" s="1293"/>
      <c r="DV42" s="1293"/>
      <c r="DW42" s="1289">
        <v>0</v>
      </c>
      <c r="DX42" s="1293"/>
      <c r="DY42" s="1293"/>
      <c r="DZ42" s="1289">
        <v>0</v>
      </c>
      <c r="EA42" s="1293"/>
      <c r="EB42" s="1293"/>
      <c r="EC42" s="1289">
        <v>0</v>
      </c>
      <c r="ED42" s="1293"/>
      <c r="EE42" s="1293"/>
      <c r="EF42" s="1289">
        <v>0</v>
      </c>
      <c r="EG42" s="1293"/>
      <c r="EH42" s="1293"/>
      <c r="EI42" s="1289">
        <v>0</v>
      </c>
      <c r="EJ42" s="1293"/>
      <c r="EK42" s="1293"/>
      <c r="EL42" s="1289">
        <v>0</v>
      </c>
      <c r="EM42" s="1293"/>
      <c r="EN42" s="1293"/>
      <c r="EO42" s="1289">
        <v>0</v>
      </c>
      <c r="EP42" s="1293"/>
      <c r="EQ42" s="1293"/>
      <c r="ER42" s="1289">
        <v>0</v>
      </c>
      <c r="ES42" s="1293"/>
      <c r="ET42" s="1293"/>
      <c r="EU42" s="1289">
        <v>0</v>
      </c>
      <c r="EV42" s="1293"/>
      <c r="EW42" s="1293"/>
      <c r="EX42" s="1289">
        <v>0</v>
      </c>
      <c r="EY42" s="1293"/>
      <c r="EZ42" s="1293"/>
      <c r="FA42" s="1289">
        <v>0</v>
      </c>
      <c r="FB42" s="1293"/>
      <c r="FC42" s="1293"/>
      <c r="FD42" s="1289">
        <v>0</v>
      </c>
      <c r="FE42" s="1293"/>
      <c r="FF42" s="1293"/>
      <c r="FG42" s="1289">
        <v>0</v>
      </c>
    </row>
    <row r="43" spans="1:163" s="665" customFormat="1" ht="0.2" customHeight="1">
      <c r="A43" s="1180">
        <v>1</v>
      </c>
      <c r="B43" s="1180"/>
      <c r="C43" s="1180"/>
      <c r="D43" s="1180"/>
      <c r="E43" s="1180"/>
      <c r="F43" s="1180"/>
      <c r="G43" s="1180" t="b">
        <v>0</v>
      </c>
      <c r="H43" s="1180"/>
      <c r="I43" s="1180"/>
      <c r="J43" s="1180"/>
      <c r="K43" s="1180"/>
      <c r="L43" s="1282" t="s">
        <v>1180</v>
      </c>
      <c r="M43" s="366"/>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8"/>
    </row>
    <row r="44" spans="1:163" s="665" customFormat="1" ht="0.2" customHeight="1">
      <c r="A44" s="1180">
        <v>1</v>
      </c>
      <c r="B44" s="1180"/>
      <c r="C44" s="1180" t="s">
        <v>1604</v>
      </c>
      <c r="D44" s="1180" t="s">
        <v>1721</v>
      </c>
      <c r="E44" s="1180"/>
      <c r="F44" s="1180"/>
      <c r="G44" s="1180" t="b">
        <v>0</v>
      </c>
      <c r="H44" s="1180"/>
      <c r="I44" s="1180"/>
      <c r="J44" s="1180"/>
      <c r="K44" s="1180"/>
      <c r="L44" s="1292" t="s">
        <v>664</v>
      </c>
      <c r="M44" s="1287" t="s">
        <v>652</v>
      </c>
      <c r="N44" s="1293">
        <v>0</v>
      </c>
      <c r="O44" s="1293">
        <v>0</v>
      </c>
      <c r="P44" s="1289">
        <v>0</v>
      </c>
      <c r="Q44" s="1293">
        <v>0</v>
      </c>
      <c r="R44" s="1293">
        <v>0</v>
      </c>
      <c r="S44" s="1289">
        <v>0</v>
      </c>
      <c r="T44" s="1293">
        <v>0</v>
      </c>
      <c r="U44" s="1293">
        <v>0</v>
      </c>
      <c r="V44" s="1289">
        <v>0</v>
      </c>
      <c r="W44" s="1293">
        <v>0</v>
      </c>
      <c r="X44" s="1293">
        <v>0</v>
      </c>
      <c r="Y44" s="1289">
        <v>0</v>
      </c>
      <c r="Z44" s="1293">
        <v>0</v>
      </c>
      <c r="AA44" s="1293">
        <v>0</v>
      </c>
      <c r="AB44" s="1289">
        <v>0</v>
      </c>
      <c r="AC44" s="1293">
        <v>0</v>
      </c>
      <c r="AD44" s="1293">
        <v>0</v>
      </c>
      <c r="AE44" s="1289">
        <v>0</v>
      </c>
      <c r="AF44" s="1293">
        <v>0</v>
      </c>
      <c r="AG44" s="1293">
        <v>0</v>
      </c>
      <c r="AH44" s="1289">
        <v>0</v>
      </c>
      <c r="AI44" s="1293">
        <v>0</v>
      </c>
      <c r="AJ44" s="1293">
        <v>0</v>
      </c>
      <c r="AK44" s="1289">
        <v>0</v>
      </c>
      <c r="AL44" s="1293">
        <v>0</v>
      </c>
      <c r="AM44" s="1293">
        <v>0</v>
      </c>
      <c r="AN44" s="1289">
        <v>0</v>
      </c>
      <c r="AO44" s="1293">
        <v>0</v>
      </c>
      <c r="AP44" s="1293">
        <v>0</v>
      </c>
      <c r="AQ44" s="1289">
        <v>0</v>
      </c>
      <c r="AR44" s="1293">
        <v>0</v>
      </c>
      <c r="AS44" s="1293">
        <v>0</v>
      </c>
      <c r="AT44" s="1289">
        <v>0</v>
      </c>
      <c r="AU44" s="1293">
        <v>0</v>
      </c>
      <c r="AV44" s="1293">
        <v>0</v>
      </c>
      <c r="AW44" s="1289">
        <v>0</v>
      </c>
      <c r="AX44" s="1293">
        <v>0</v>
      </c>
      <c r="AY44" s="1293">
        <v>0</v>
      </c>
      <c r="AZ44" s="1289">
        <v>0</v>
      </c>
      <c r="BA44" s="1293">
        <v>0</v>
      </c>
      <c r="BB44" s="1293">
        <v>0</v>
      </c>
      <c r="BC44" s="1289">
        <v>0</v>
      </c>
      <c r="BD44" s="1293">
        <v>0</v>
      </c>
      <c r="BE44" s="1293">
        <v>0</v>
      </c>
      <c r="BF44" s="1289">
        <v>0</v>
      </c>
      <c r="BG44" s="1293">
        <v>0</v>
      </c>
      <c r="BH44" s="1293">
        <v>0</v>
      </c>
      <c r="BI44" s="1289">
        <v>0</v>
      </c>
      <c r="BJ44" s="1293">
        <v>0</v>
      </c>
      <c r="BK44" s="1293">
        <v>0</v>
      </c>
      <c r="BL44" s="1289">
        <v>0</v>
      </c>
      <c r="BM44" s="1293">
        <v>0</v>
      </c>
      <c r="BN44" s="1293">
        <v>0</v>
      </c>
      <c r="BO44" s="1289">
        <v>0</v>
      </c>
      <c r="BP44" s="1293">
        <v>0</v>
      </c>
      <c r="BQ44" s="1293">
        <v>0</v>
      </c>
      <c r="BR44" s="1289">
        <v>0</v>
      </c>
      <c r="BS44" s="1293">
        <v>0</v>
      </c>
      <c r="BT44" s="1293">
        <v>0</v>
      </c>
      <c r="BU44" s="1289">
        <v>0</v>
      </c>
      <c r="BV44" s="1293">
        <v>0</v>
      </c>
      <c r="BW44" s="1293">
        <v>0</v>
      </c>
      <c r="BX44" s="1289">
        <v>0</v>
      </c>
      <c r="BY44" s="1293">
        <v>0</v>
      </c>
      <c r="BZ44" s="1293">
        <v>0</v>
      </c>
      <c r="CA44" s="1289">
        <v>0</v>
      </c>
      <c r="CB44" s="1293">
        <v>0</v>
      </c>
      <c r="CC44" s="1293">
        <v>0</v>
      </c>
      <c r="CD44" s="1289">
        <v>0</v>
      </c>
      <c r="CE44" s="1293">
        <v>0</v>
      </c>
      <c r="CF44" s="1293">
        <v>0</v>
      </c>
      <c r="CG44" s="1289">
        <v>0</v>
      </c>
      <c r="CH44" s="1293">
        <v>0</v>
      </c>
      <c r="CI44" s="1293">
        <v>0</v>
      </c>
      <c r="CJ44" s="1289">
        <v>0</v>
      </c>
      <c r="CK44" s="1293">
        <v>0</v>
      </c>
      <c r="CL44" s="1293">
        <v>0</v>
      </c>
      <c r="CM44" s="1289">
        <v>0</v>
      </c>
      <c r="CN44" s="1293">
        <v>0</v>
      </c>
      <c r="CO44" s="1293">
        <v>0</v>
      </c>
      <c r="CP44" s="1289">
        <v>0</v>
      </c>
      <c r="CQ44" s="1293">
        <v>0</v>
      </c>
      <c r="CR44" s="1293">
        <v>0</v>
      </c>
      <c r="CS44" s="1289">
        <v>0</v>
      </c>
      <c r="CT44" s="1293">
        <v>0</v>
      </c>
      <c r="CU44" s="1293">
        <v>0</v>
      </c>
      <c r="CV44" s="1289">
        <v>0</v>
      </c>
      <c r="CW44" s="1293">
        <v>0</v>
      </c>
      <c r="CX44" s="1293">
        <v>0</v>
      </c>
      <c r="CY44" s="1289">
        <v>0</v>
      </c>
      <c r="CZ44" s="1293">
        <v>0</v>
      </c>
      <c r="DA44" s="1293">
        <v>0</v>
      </c>
      <c r="DB44" s="1289">
        <v>0</v>
      </c>
      <c r="DC44" s="1293">
        <v>0</v>
      </c>
      <c r="DD44" s="1293">
        <v>0</v>
      </c>
      <c r="DE44" s="1289">
        <v>0</v>
      </c>
      <c r="DF44" s="1293">
        <v>0</v>
      </c>
      <c r="DG44" s="1293">
        <v>0</v>
      </c>
      <c r="DH44" s="1289">
        <v>0</v>
      </c>
      <c r="DI44" s="1293">
        <v>0</v>
      </c>
      <c r="DJ44" s="1293">
        <v>0</v>
      </c>
      <c r="DK44" s="1289">
        <v>0</v>
      </c>
      <c r="DL44" s="1293">
        <v>0</v>
      </c>
      <c r="DM44" s="1293">
        <v>0</v>
      </c>
      <c r="DN44" s="1289">
        <v>0</v>
      </c>
      <c r="DO44" s="1293">
        <v>0</v>
      </c>
      <c r="DP44" s="1293">
        <v>0</v>
      </c>
      <c r="DQ44" s="1289">
        <v>0</v>
      </c>
      <c r="DR44" s="1293">
        <v>0</v>
      </c>
      <c r="DS44" s="1293">
        <v>0</v>
      </c>
      <c r="DT44" s="1289">
        <v>0</v>
      </c>
      <c r="DU44" s="1293">
        <v>0</v>
      </c>
      <c r="DV44" s="1293">
        <v>0</v>
      </c>
      <c r="DW44" s="1289">
        <v>0</v>
      </c>
      <c r="DX44" s="1293">
        <v>0</v>
      </c>
      <c r="DY44" s="1293">
        <v>0</v>
      </c>
      <c r="DZ44" s="1289">
        <v>0</v>
      </c>
      <c r="EA44" s="1293">
        <v>0</v>
      </c>
      <c r="EB44" s="1293">
        <v>0</v>
      </c>
      <c r="EC44" s="1289">
        <v>0</v>
      </c>
      <c r="ED44" s="1293">
        <v>0</v>
      </c>
      <c r="EE44" s="1293">
        <v>0</v>
      </c>
      <c r="EF44" s="1289">
        <v>0</v>
      </c>
      <c r="EG44" s="1293">
        <v>0</v>
      </c>
      <c r="EH44" s="1293">
        <v>0</v>
      </c>
      <c r="EI44" s="1289">
        <v>0</v>
      </c>
      <c r="EJ44" s="1293">
        <v>0</v>
      </c>
      <c r="EK44" s="1293">
        <v>0</v>
      </c>
      <c r="EL44" s="1289">
        <v>0</v>
      </c>
      <c r="EM44" s="1293">
        <v>0</v>
      </c>
      <c r="EN44" s="1293">
        <v>0</v>
      </c>
      <c r="EO44" s="1289">
        <v>0</v>
      </c>
      <c r="EP44" s="1293">
        <v>0</v>
      </c>
      <c r="EQ44" s="1293">
        <v>0</v>
      </c>
      <c r="ER44" s="1289">
        <v>0</v>
      </c>
      <c r="ES44" s="1293">
        <v>0</v>
      </c>
      <c r="ET44" s="1293">
        <v>0</v>
      </c>
      <c r="EU44" s="1289">
        <v>0</v>
      </c>
      <c r="EV44" s="1293">
        <v>0</v>
      </c>
      <c r="EW44" s="1293">
        <v>0</v>
      </c>
      <c r="EX44" s="1289">
        <v>0</v>
      </c>
      <c r="EY44" s="1293">
        <v>0</v>
      </c>
      <c r="EZ44" s="1293">
        <v>0</v>
      </c>
      <c r="FA44" s="1289">
        <v>0</v>
      </c>
      <c r="FB44" s="1293">
        <v>0</v>
      </c>
      <c r="FC44" s="1293">
        <v>0</v>
      </c>
      <c r="FD44" s="1289">
        <v>0</v>
      </c>
      <c r="FE44" s="1293">
        <v>0</v>
      </c>
      <c r="FF44" s="1293">
        <v>0</v>
      </c>
      <c r="FG44" s="1289">
        <v>0</v>
      </c>
    </row>
    <row r="45" spans="1:163" s="665" customFormat="1" ht="0.2" customHeight="1">
      <c r="A45" s="1180">
        <v>1</v>
      </c>
      <c r="B45" s="1180"/>
      <c r="C45" s="1180" t="s">
        <v>1605</v>
      </c>
      <c r="D45" s="1180" t="s">
        <v>1721</v>
      </c>
      <c r="E45" s="1180"/>
      <c r="F45" s="1180"/>
      <c r="G45" s="1180" t="b">
        <v>0</v>
      </c>
      <c r="H45" s="1180"/>
      <c r="I45" s="1180"/>
      <c r="J45" s="1180"/>
      <c r="K45" s="1180"/>
      <c r="L45" s="1292" t="s">
        <v>665</v>
      </c>
      <c r="M45" s="1287" t="s">
        <v>652</v>
      </c>
      <c r="N45" s="1293"/>
      <c r="O45" s="1293"/>
      <c r="P45" s="1289">
        <v>0</v>
      </c>
      <c r="Q45" s="1293"/>
      <c r="R45" s="1293"/>
      <c r="S45" s="1289">
        <v>0</v>
      </c>
      <c r="T45" s="1293"/>
      <c r="U45" s="1293"/>
      <c r="V45" s="1289">
        <v>0</v>
      </c>
      <c r="W45" s="1293"/>
      <c r="X45" s="1293"/>
      <c r="Y45" s="1289">
        <v>0</v>
      </c>
      <c r="Z45" s="1293"/>
      <c r="AA45" s="1293"/>
      <c r="AB45" s="1289">
        <v>0</v>
      </c>
      <c r="AC45" s="1293"/>
      <c r="AD45" s="1293"/>
      <c r="AE45" s="1289">
        <v>0</v>
      </c>
      <c r="AF45" s="1293"/>
      <c r="AG45" s="1293"/>
      <c r="AH45" s="1289">
        <v>0</v>
      </c>
      <c r="AI45" s="1293"/>
      <c r="AJ45" s="1293"/>
      <c r="AK45" s="1289">
        <v>0</v>
      </c>
      <c r="AL45" s="1293"/>
      <c r="AM45" s="1293"/>
      <c r="AN45" s="1289">
        <v>0</v>
      </c>
      <c r="AO45" s="1293"/>
      <c r="AP45" s="1293"/>
      <c r="AQ45" s="1289">
        <v>0</v>
      </c>
      <c r="AR45" s="1293"/>
      <c r="AS45" s="1293"/>
      <c r="AT45" s="1289">
        <v>0</v>
      </c>
      <c r="AU45" s="1293"/>
      <c r="AV45" s="1293"/>
      <c r="AW45" s="1289">
        <v>0</v>
      </c>
      <c r="AX45" s="1293"/>
      <c r="AY45" s="1293"/>
      <c r="AZ45" s="1289">
        <v>0</v>
      </c>
      <c r="BA45" s="1293"/>
      <c r="BB45" s="1293"/>
      <c r="BC45" s="1289">
        <v>0</v>
      </c>
      <c r="BD45" s="1293"/>
      <c r="BE45" s="1293"/>
      <c r="BF45" s="1289">
        <v>0</v>
      </c>
      <c r="BG45" s="1293"/>
      <c r="BH45" s="1293"/>
      <c r="BI45" s="1289">
        <v>0</v>
      </c>
      <c r="BJ45" s="1293"/>
      <c r="BK45" s="1293"/>
      <c r="BL45" s="1289">
        <v>0</v>
      </c>
      <c r="BM45" s="1293"/>
      <c r="BN45" s="1293"/>
      <c r="BO45" s="1289">
        <v>0</v>
      </c>
      <c r="BP45" s="1293"/>
      <c r="BQ45" s="1293"/>
      <c r="BR45" s="1289">
        <v>0</v>
      </c>
      <c r="BS45" s="1293"/>
      <c r="BT45" s="1293"/>
      <c r="BU45" s="1289">
        <v>0</v>
      </c>
      <c r="BV45" s="1293"/>
      <c r="BW45" s="1293"/>
      <c r="BX45" s="1289">
        <v>0</v>
      </c>
      <c r="BY45" s="1293"/>
      <c r="BZ45" s="1293"/>
      <c r="CA45" s="1289">
        <v>0</v>
      </c>
      <c r="CB45" s="1293"/>
      <c r="CC45" s="1293"/>
      <c r="CD45" s="1289">
        <v>0</v>
      </c>
      <c r="CE45" s="1293"/>
      <c r="CF45" s="1293"/>
      <c r="CG45" s="1289">
        <v>0</v>
      </c>
      <c r="CH45" s="1293"/>
      <c r="CI45" s="1293"/>
      <c r="CJ45" s="1289">
        <v>0</v>
      </c>
      <c r="CK45" s="1293"/>
      <c r="CL45" s="1293"/>
      <c r="CM45" s="1289">
        <v>0</v>
      </c>
      <c r="CN45" s="1293"/>
      <c r="CO45" s="1293"/>
      <c r="CP45" s="1289">
        <v>0</v>
      </c>
      <c r="CQ45" s="1293"/>
      <c r="CR45" s="1293"/>
      <c r="CS45" s="1289">
        <v>0</v>
      </c>
      <c r="CT45" s="1293"/>
      <c r="CU45" s="1293"/>
      <c r="CV45" s="1289">
        <v>0</v>
      </c>
      <c r="CW45" s="1293"/>
      <c r="CX45" s="1293"/>
      <c r="CY45" s="1289">
        <v>0</v>
      </c>
      <c r="CZ45" s="1293"/>
      <c r="DA45" s="1293"/>
      <c r="DB45" s="1289">
        <v>0</v>
      </c>
      <c r="DC45" s="1293"/>
      <c r="DD45" s="1293"/>
      <c r="DE45" s="1289">
        <v>0</v>
      </c>
      <c r="DF45" s="1293"/>
      <c r="DG45" s="1293"/>
      <c r="DH45" s="1289">
        <v>0</v>
      </c>
      <c r="DI45" s="1293"/>
      <c r="DJ45" s="1293"/>
      <c r="DK45" s="1289">
        <v>0</v>
      </c>
      <c r="DL45" s="1293"/>
      <c r="DM45" s="1293"/>
      <c r="DN45" s="1289">
        <v>0</v>
      </c>
      <c r="DO45" s="1293"/>
      <c r="DP45" s="1293"/>
      <c r="DQ45" s="1289">
        <v>0</v>
      </c>
      <c r="DR45" s="1293"/>
      <c r="DS45" s="1293"/>
      <c r="DT45" s="1289">
        <v>0</v>
      </c>
      <c r="DU45" s="1293"/>
      <c r="DV45" s="1293"/>
      <c r="DW45" s="1289">
        <v>0</v>
      </c>
      <c r="DX45" s="1293"/>
      <c r="DY45" s="1293"/>
      <c r="DZ45" s="1289">
        <v>0</v>
      </c>
      <c r="EA45" s="1293"/>
      <c r="EB45" s="1293"/>
      <c r="EC45" s="1289">
        <v>0</v>
      </c>
      <c r="ED45" s="1293"/>
      <c r="EE45" s="1293"/>
      <c r="EF45" s="1289">
        <v>0</v>
      </c>
      <c r="EG45" s="1293"/>
      <c r="EH45" s="1293"/>
      <c r="EI45" s="1289">
        <v>0</v>
      </c>
      <c r="EJ45" s="1293"/>
      <c r="EK45" s="1293"/>
      <c r="EL45" s="1289">
        <v>0</v>
      </c>
      <c r="EM45" s="1293"/>
      <c r="EN45" s="1293"/>
      <c r="EO45" s="1289">
        <v>0</v>
      </c>
      <c r="EP45" s="1293"/>
      <c r="EQ45" s="1293"/>
      <c r="ER45" s="1289">
        <v>0</v>
      </c>
      <c r="ES45" s="1293"/>
      <c r="ET45" s="1293"/>
      <c r="EU45" s="1289">
        <v>0</v>
      </c>
      <c r="EV45" s="1293"/>
      <c r="EW45" s="1293"/>
      <c r="EX45" s="1289">
        <v>0</v>
      </c>
      <c r="EY45" s="1293"/>
      <c r="EZ45" s="1293"/>
      <c r="FA45" s="1289">
        <v>0</v>
      </c>
      <c r="FB45" s="1293"/>
      <c r="FC45" s="1293"/>
      <c r="FD45" s="1289">
        <v>0</v>
      </c>
      <c r="FE45" s="1293"/>
      <c r="FF45" s="1293"/>
      <c r="FG45" s="1289">
        <v>0</v>
      </c>
    </row>
    <row r="46" spans="1:163" s="665" customFormat="1" ht="0.2" customHeight="1">
      <c r="A46" s="1180">
        <v>1</v>
      </c>
      <c r="B46" s="1098" t="s">
        <v>1174</v>
      </c>
      <c r="C46" s="1180" t="s">
        <v>1660</v>
      </c>
      <c r="D46" s="1180" t="s">
        <v>1721</v>
      </c>
      <c r="E46" s="1180"/>
      <c r="F46" s="1180"/>
      <c r="G46" s="1180" t="b">
        <v>0</v>
      </c>
      <c r="H46" s="1180"/>
      <c r="I46" s="1180"/>
      <c r="J46" s="1180"/>
      <c r="K46" s="1180"/>
      <c r="L46" s="1292" t="s">
        <v>666</v>
      </c>
      <c r="M46" s="1287" t="s">
        <v>310</v>
      </c>
      <c r="N46" s="1290">
        <v>19.75</v>
      </c>
      <c r="O46" s="1290">
        <v>19.75</v>
      </c>
      <c r="P46" s="1291">
        <v>0</v>
      </c>
      <c r="Q46" s="1290">
        <v>19.75</v>
      </c>
      <c r="R46" s="1290">
        <v>19.75</v>
      </c>
      <c r="S46" s="1291">
        <v>0</v>
      </c>
      <c r="T46" s="1290">
        <v>19.75</v>
      </c>
      <c r="U46" s="1290">
        <v>19.75</v>
      </c>
      <c r="V46" s="1291">
        <v>0</v>
      </c>
      <c r="W46" s="1290">
        <v>19.75</v>
      </c>
      <c r="X46" s="1290">
        <v>19.75</v>
      </c>
      <c r="Y46" s="1291">
        <v>0</v>
      </c>
      <c r="Z46" s="1290">
        <v>19.75</v>
      </c>
      <c r="AA46" s="1290">
        <v>19.75</v>
      </c>
      <c r="AB46" s="1291">
        <v>0</v>
      </c>
      <c r="AC46" s="1290">
        <v>19.75</v>
      </c>
      <c r="AD46" s="1290">
        <v>0</v>
      </c>
      <c r="AE46" s="1291">
        <v>-100</v>
      </c>
      <c r="AF46" s="1290">
        <v>19.75</v>
      </c>
      <c r="AG46" s="1290">
        <v>0</v>
      </c>
      <c r="AH46" s="1291">
        <v>-100</v>
      </c>
      <c r="AI46" s="1290">
        <v>19.75</v>
      </c>
      <c r="AJ46" s="1290">
        <v>0</v>
      </c>
      <c r="AK46" s="1291">
        <v>-100</v>
      </c>
      <c r="AL46" s="1290">
        <v>19.75</v>
      </c>
      <c r="AM46" s="1290">
        <v>0</v>
      </c>
      <c r="AN46" s="1291">
        <v>-100</v>
      </c>
      <c r="AO46" s="1290">
        <v>19.75</v>
      </c>
      <c r="AP46" s="1290">
        <v>0</v>
      </c>
      <c r="AQ46" s="1291">
        <v>-100</v>
      </c>
      <c r="AR46" s="1290"/>
      <c r="AS46" s="1290"/>
      <c r="AT46" s="1291">
        <v>0</v>
      </c>
      <c r="AU46" s="1290"/>
      <c r="AV46" s="1290"/>
      <c r="AW46" s="1291">
        <v>0</v>
      </c>
      <c r="AX46" s="1290"/>
      <c r="AY46" s="1290"/>
      <c r="AZ46" s="1291">
        <v>0</v>
      </c>
      <c r="BA46" s="1290"/>
      <c r="BB46" s="1290"/>
      <c r="BC46" s="1291">
        <v>0</v>
      </c>
      <c r="BD46" s="1290"/>
      <c r="BE46" s="1290"/>
      <c r="BF46" s="1291">
        <v>0</v>
      </c>
      <c r="BG46" s="1290"/>
      <c r="BH46" s="1290"/>
      <c r="BI46" s="1291">
        <v>0</v>
      </c>
      <c r="BJ46" s="1290"/>
      <c r="BK46" s="1290"/>
      <c r="BL46" s="1291">
        <v>0</v>
      </c>
      <c r="BM46" s="1290"/>
      <c r="BN46" s="1290"/>
      <c r="BO46" s="1291">
        <v>0</v>
      </c>
      <c r="BP46" s="1290"/>
      <c r="BQ46" s="1290"/>
      <c r="BR46" s="1291">
        <v>0</v>
      </c>
      <c r="BS46" s="1290"/>
      <c r="BT46" s="1290"/>
      <c r="BU46" s="1291">
        <v>0</v>
      </c>
      <c r="BV46" s="1290"/>
      <c r="BW46" s="1290"/>
      <c r="BX46" s="1291">
        <v>0</v>
      </c>
      <c r="BY46" s="1290"/>
      <c r="BZ46" s="1290"/>
      <c r="CA46" s="1291">
        <v>0</v>
      </c>
      <c r="CB46" s="1290"/>
      <c r="CC46" s="1290"/>
      <c r="CD46" s="1291">
        <v>0</v>
      </c>
      <c r="CE46" s="1290"/>
      <c r="CF46" s="1290"/>
      <c r="CG46" s="1291">
        <v>0</v>
      </c>
      <c r="CH46" s="1290"/>
      <c r="CI46" s="1290"/>
      <c r="CJ46" s="1291">
        <v>0</v>
      </c>
      <c r="CK46" s="1290"/>
      <c r="CL46" s="1290"/>
      <c r="CM46" s="1291">
        <v>0</v>
      </c>
      <c r="CN46" s="1290"/>
      <c r="CO46" s="1290"/>
      <c r="CP46" s="1291">
        <v>0</v>
      </c>
      <c r="CQ46" s="1290"/>
      <c r="CR46" s="1290"/>
      <c r="CS46" s="1291">
        <v>0</v>
      </c>
      <c r="CT46" s="1290"/>
      <c r="CU46" s="1290"/>
      <c r="CV46" s="1291">
        <v>0</v>
      </c>
      <c r="CW46" s="1290"/>
      <c r="CX46" s="1290"/>
      <c r="CY46" s="1291">
        <v>0</v>
      </c>
      <c r="CZ46" s="1290"/>
      <c r="DA46" s="1290"/>
      <c r="DB46" s="1291">
        <v>0</v>
      </c>
      <c r="DC46" s="1290"/>
      <c r="DD46" s="1290"/>
      <c r="DE46" s="1291">
        <v>0</v>
      </c>
      <c r="DF46" s="1290"/>
      <c r="DG46" s="1290"/>
      <c r="DH46" s="1291">
        <v>0</v>
      </c>
      <c r="DI46" s="1290"/>
      <c r="DJ46" s="1290"/>
      <c r="DK46" s="1291">
        <v>0</v>
      </c>
      <c r="DL46" s="1290"/>
      <c r="DM46" s="1290"/>
      <c r="DN46" s="1291">
        <v>0</v>
      </c>
      <c r="DO46" s="1290"/>
      <c r="DP46" s="1290"/>
      <c r="DQ46" s="1291">
        <v>0</v>
      </c>
      <c r="DR46" s="1290"/>
      <c r="DS46" s="1290"/>
      <c r="DT46" s="1291">
        <v>0</v>
      </c>
      <c r="DU46" s="1290"/>
      <c r="DV46" s="1290"/>
      <c r="DW46" s="1291">
        <v>0</v>
      </c>
      <c r="DX46" s="1290"/>
      <c r="DY46" s="1290"/>
      <c r="DZ46" s="1291">
        <v>0</v>
      </c>
      <c r="EA46" s="1290"/>
      <c r="EB46" s="1290"/>
      <c r="EC46" s="1291">
        <v>0</v>
      </c>
      <c r="ED46" s="1290"/>
      <c r="EE46" s="1290"/>
      <c r="EF46" s="1291">
        <v>0</v>
      </c>
      <c r="EG46" s="1290"/>
      <c r="EH46" s="1290"/>
      <c r="EI46" s="1291">
        <v>0</v>
      </c>
      <c r="EJ46" s="1290"/>
      <c r="EK46" s="1290"/>
      <c r="EL46" s="1291">
        <v>0</v>
      </c>
      <c r="EM46" s="1290"/>
      <c r="EN46" s="1290"/>
      <c r="EO46" s="1291">
        <v>0</v>
      </c>
      <c r="EP46" s="1290"/>
      <c r="EQ46" s="1290"/>
      <c r="ER46" s="1291">
        <v>0</v>
      </c>
      <c r="ES46" s="1290"/>
      <c r="ET46" s="1290"/>
      <c r="EU46" s="1291">
        <v>0</v>
      </c>
      <c r="EV46" s="1290"/>
      <c r="EW46" s="1290"/>
      <c r="EX46" s="1291">
        <v>0</v>
      </c>
      <c r="EY46" s="1290"/>
      <c r="EZ46" s="1290"/>
      <c r="FA46" s="1291">
        <v>0</v>
      </c>
      <c r="FB46" s="1290"/>
      <c r="FC46" s="1290"/>
      <c r="FD46" s="1291">
        <v>0</v>
      </c>
      <c r="FE46" s="1290"/>
      <c r="FF46" s="1290"/>
      <c r="FG46" s="1291">
        <v>0</v>
      </c>
    </row>
    <row r="47" spans="1:163" s="665" customFormat="1" ht="0.2" customHeight="1">
      <c r="A47" s="1180">
        <v>1</v>
      </c>
      <c r="B47" s="1180"/>
      <c r="C47" s="1180" t="s">
        <v>1661</v>
      </c>
      <c r="D47" s="1180" t="s">
        <v>1721</v>
      </c>
      <c r="E47" s="1180"/>
      <c r="F47" s="1180"/>
      <c r="G47" s="1180" t="b">
        <v>0</v>
      </c>
      <c r="H47" s="1180"/>
      <c r="I47" s="1180"/>
      <c r="J47" s="1180"/>
      <c r="K47" s="1180"/>
      <c r="L47" s="1292" t="s">
        <v>667</v>
      </c>
      <c r="M47" s="1287" t="s">
        <v>668</v>
      </c>
      <c r="N47" s="1293"/>
      <c r="O47" s="1293"/>
      <c r="P47" s="1289">
        <v>0</v>
      </c>
      <c r="Q47" s="1293"/>
      <c r="R47" s="1293"/>
      <c r="S47" s="1289">
        <v>0</v>
      </c>
      <c r="T47" s="1293"/>
      <c r="U47" s="1293"/>
      <c r="V47" s="1289">
        <v>0</v>
      </c>
      <c r="W47" s="1293"/>
      <c r="X47" s="1293"/>
      <c r="Y47" s="1289">
        <v>0</v>
      </c>
      <c r="Z47" s="1293"/>
      <c r="AA47" s="1293"/>
      <c r="AB47" s="1289">
        <v>0</v>
      </c>
      <c r="AC47" s="1293"/>
      <c r="AD47" s="1293"/>
      <c r="AE47" s="1289">
        <v>0</v>
      </c>
      <c r="AF47" s="1293"/>
      <c r="AG47" s="1293"/>
      <c r="AH47" s="1289">
        <v>0</v>
      </c>
      <c r="AI47" s="1293"/>
      <c r="AJ47" s="1293"/>
      <c r="AK47" s="1289">
        <v>0</v>
      </c>
      <c r="AL47" s="1293"/>
      <c r="AM47" s="1293"/>
      <c r="AN47" s="1289">
        <v>0</v>
      </c>
      <c r="AO47" s="1293"/>
      <c r="AP47" s="1293"/>
      <c r="AQ47" s="1289">
        <v>0</v>
      </c>
      <c r="AR47" s="1293"/>
      <c r="AS47" s="1293"/>
      <c r="AT47" s="1289">
        <v>0</v>
      </c>
      <c r="AU47" s="1293"/>
      <c r="AV47" s="1293"/>
      <c r="AW47" s="1289">
        <v>0</v>
      </c>
      <c r="AX47" s="1293"/>
      <c r="AY47" s="1293"/>
      <c r="AZ47" s="1289">
        <v>0</v>
      </c>
      <c r="BA47" s="1293"/>
      <c r="BB47" s="1293"/>
      <c r="BC47" s="1289">
        <v>0</v>
      </c>
      <c r="BD47" s="1293"/>
      <c r="BE47" s="1293"/>
      <c r="BF47" s="1289">
        <v>0</v>
      </c>
      <c r="BG47" s="1293"/>
      <c r="BH47" s="1293"/>
      <c r="BI47" s="1289">
        <v>0</v>
      </c>
      <c r="BJ47" s="1293"/>
      <c r="BK47" s="1293"/>
      <c r="BL47" s="1289">
        <v>0</v>
      </c>
      <c r="BM47" s="1293"/>
      <c r="BN47" s="1293"/>
      <c r="BO47" s="1289">
        <v>0</v>
      </c>
      <c r="BP47" s="1293"/>
      <c r="BQ47" s="1293"/>
      <c r="BR47" s="1289">
        <v>0</v>
      </c>
      <c r="BS47" s="1293"/>
      <c r="BT47" s="1293"/>
      <c r="BU47" s="1289">
        <v>0</v>
      </c>
      <c r="BV47" s="1293"/>
      <c r="BW47" s="1293"/>
      <c r="BX47" s="1289">
        <v>0</v>
      </c>
      <c r="BY47" s="1293"/>
      <c r="BZ47" s="1293"/>
      <c r="CA47" s="1289">
        <v>0</v>
      </c>
      <c r="CB47" s="1293"/>
      <c r="CC47" s="1293"/>
      <c r="CD47" s="1289">
        <v>0</v>
      </c>
      <c r="CE47" s="1293"/>
      <c r="CF47" s="1293"/>
      <c r="CG47" s="1289">
        <v>0</v>
      </c>
      <c r="CH47" s="1293"/>
      <c r="CI47" s="1293"/>
      <c r="CJ47" s="1289">
        <v>0</v>
      </c>
      <c r="CK47" s="1293"/>
      <c r="CL47" s="1293"/>
      <c r="CM47" s="1289">
        <v>0</v>
      </c>
      <c r="CN47" s="1293"/>
      <c r="CO47" s="1293"/>
      <c r="CP47" s="1289">
        <v>0</v>
      </c>
      <c r="CQ47" s="1293"/>
      <c r="CR47" s="1293"/>
      <c r="CS47" s="1289">
        <v>0</v>
      </c>
      <c r="CT47" s="1293"/>
      <c r="CU47" s="1293"/>
      <c r="CV47" s="1289">
        <v>0</v>
      </c>
      <c r="CW47" s="1293"/>
      <c r="CX47" s="1293"/>
      <c r="CY47" s="1289">
        <v>0</v>
      </c>
      <c r="CZ47" s="1293"/>
      <c r="DA47" s="1293"/>
      <c r="DB47" s="1289">
        <v>0</v>
      </c>
      <c r="DC47" s="1293"/>
      <c r="DD47" s="1293"/>
      <c r="DE47" s="1289">
        <v>0</v>
      </c>
      <c r="DF47" s="1293"/>
      <c r="DG47" s="1293"/>
      <c r="DH47" s="1289">
        <v>0</v>
      </c>
      <c r="DI47" s="1293"/>
      <c r="DJ47" s="1293"/>
      <c r="DK47" s="1289">
        <v>0</v>
      </c>
      <c r="DL47" s="1293"/>
      <c r="DM47" s="1293"/>
      <c r="DN47" s="1289">
        <v>0</v>
      </c>
      <c r="DO47" s="1293"/>
      <c r="DP47" s="1293"/>
      <c r="DQ47" s="1289">
        <v>0</v>
      </c>
      <c r="DR47" s="1293"/>
      <c r="DS47" s="1293"/>
      <c r="DT47" s="1289">
        <v>0</v>
      </c>
      <c r="DU47" s="1293"/>
      <c r="DV47" s="1293"/>
      <c r="DW47" s="1289">
        <v>0</v>
      </c>
      <c r="DX47" s="1293"/>
      <c r="DY47" s="1293"/>
      <c r="DZ47" s="1289">
        <v>0</v>
      </c>
      <c r="EA47" s="1293"/>
      <c r="EB47" s="1293"/>
      <c r="EC47" s="1289">
        <v>0</v>
      </c>
      <c r="ED47" s="1293"/>
      <c r="EE47" s="1293"/>
      <c r="EF47" s="1289">
        <v>0</v>
      </c>
      <c r="EG47" s="1293"/>
      <c r="EH47" s="1293"/>
      <c r="EI47" s="1289">
        <v>0</v>
      </c>
      <c r="EJ47" s="1293"/>
      <c r="EK47" s="1293"/>
      <c r="EL47" s="1289">
        <v>0</v>
      </c>
      <c r="EM47" s="1293"/>
      <c r="EN47" s="1293"/>
      <c r="EO47" s="1289">
        <v>0</v>
      </c>
      <c r="EP47" s="1293"/>
      <c r="EQ47" s="1293"/>
      <c r="ER47" s="1289">
        <v>0</v>
      </c>
      <c r="ES47" s="1293"/>
      <c r="ET47" s="1293"/>
      <c r="EU47" s="1289">
        <v>0</v>
      </c>
      <c r="EV47" s="1293"/>
      <c r="EW47" s="1293"/>
      <c r="EX47" s="1289">
        <v>0</v>
      </c>
      <c r="EY47" s="1293"/>
      <c r="EZ47" s="1293"/>
      <c r="FA47" s="1289">
        <v>0</v>
      </c>
      <c r="FB47" s="1293"/>
      <c r="FC47" s="1293"/>
      <c r="FD47" s="1289">
        <v>0</v>
      </c>
      <c r="FE47" s="1293"/>
      <c r="FF47" s="1293"/>
      <c r="FG47" s="1289">
        <v>0</v>
      </c>
    </row>
    <row r="48" spans="1:163" s="665" customFormat="1" ht="0.2" customHeight="1">
      <c r="A48" s="1180">
        <v>1</v>
      </c>
      <c r="B48" s="1180"/>
      <c r="C48" s="1180" t="s">
        <v>1662</v>
      </c>
      <c r="D48" s="1180" t="s">
        <v>1721</v>
      </c>
      <c r="E48" s="1180"/>
      <c r="F48" s="1180"/>
      <c r="G48" s="1180" t="b">
        <v>0</v>
      </c>
      <c r="H48" s="1180"/>
      <c r="I48" s="1180"/>
      <c r="J48" s="1180"/>
      <c r="K48" s="1180"/>
      <c r="L48" s="1292" t="s">
        <v>669</v>
      </c>
      <c r="M48" s="1287" t="s">
        <v>670</v>
      </c>
      <c r="N48" s="1293"/>
      <c r="O48" s="1293"/>
      <c r="P48" s="1289">
        <v>0</v>
      </c>
      <c r="Q48" s="1293"/>
      <c r="R48" s="1293"/>
      <c r="S48" s="1289">
        <v>0</v>
      </c>
      <c r="T48" s="1293"/>
      <c r="U48" s="1293"/>
      <c r="V48" s="1289">
        <v>0</v>
      </c>
      <c r="W48" s="1293"/>
      <c r="X48" s="1293"/>
      <c r="Y48" s="1289">
        <v>0</v>
      </c>
      <c r="Z48" s="1293"/>
      <c r="AA48" s="1293"/>
      <c r="AB48" s="1289">
        <v>0</v>
      </c>
      <c r="AC48" s="1293"/>
      <c r="AD48" s="1293"/>
      <c r="AE48" s="1289">
        <v>0</v>
      </c>
      <c r="AF48" s="1293"/>
      <c r="AG48" s="1293"/>
      <c r="AH48" s="1289">
        <v>0</v>
      </c>
      <c r="AI48" s="1293"/>
      <c r="AJ48" s="1293"/>
      <c r="AK48" s="1289">
        <v>0</v>
      </c>
      <c r="AL48" s="1293"/>
      <c r="AM48" s="1293"/>
      <c r="AN48" s="1289">
        <v>0</v>
      </c>
      <c r="AO48" s="1293"/>
      <c r="AP48" s="1293"/>
      <c r="AQ48" s="1289">
        <v>0</v>
      </c>
      <c r="AR48" s="1293"/>
      <c r="AS48" s="1293"/>
      <c r="AT48" s="1289">
        <v>0</v>
      </c>
      <c r="AU48" s="1293"/>
      <c r="AV48" s="1293"/>
      <c r="AW48" s="1289">
        <v>0</v>
      </c>
      <c r="AX48" s="1293"/>
      <c r="AY48" s="1293"/>
      <c r="AZ48" s="1289">
        <v>0</v>
      </c>
      <c r="BA48" s="1293"/>
      <c r="BB48" s="1293"/>
      <c r="BC48" s="1289">
        <v>0</v>
      </c>
      <c r="BD48" s="1293"/>
      <c r="BE48" s="1293"/>
      <c r="BF48" s="1289">
        <v>0</v>
      </c>
      <c r="BG48" s="1293"/>
      <c r="BH48" s="1293"/>
      <c r="BI48" s="1289">
        <v>0</v>
      </c>
      <c r="BJ48" s="1293"/>
      <c r="BK48" s="1293"/>
      <c r="BL48" s="1289">
        <v>0</v>
      </c>
      <c r="BM48" s="1293"/>
      <c r="BN48" s="1293"/>
      <c r="BO48" s="1289">
        <v>0</v>
      </c>
      <c r="BP48" s="1293"/>
      <c r="BQ48" s="1293"/>
      <c r="BR48" s="1289">
        <v>0</v>
      </c>
      <c r="BS48" s="1293"/>
      <c r="BT48" s="1293"/>
      <c r="BU48" s="1289">
        <v>0</v>
      </c>
      <c r="BV48" s="1293"/>
      <c r="BW48" s="1293"/>
      <c r="BX48" s="1289">
        <v>0</v>
      </c>
      <c r="BY48" s="1293"/>
      <c r="BZ48" s="1293"/>
      <c r="CA48" s="1289">
        <v>0</v>
      </c>
      <c r="CB48" s="1293"/>
      <c r="CC48" s="1293"/>
      <c r="CD48" s="1289">
        <v>0</v>
      </c>
      <c r="CE48" s="1293"/>
      <c r="CF48" s="1293"/>
      <c r="CG48" s="1289">
        <v>0</v>
      </c>
      <c r="CH48" s="1293"/>
      <c r="CI48" s="1293"/>
      <c r="CJ48" s="1289">
        <v>0</v>
      </c>
      <c r="CK48" s="1293"/>
      <c r="CL48" s="1293"/>
      <c r="CM48" s="1289">
        <v>0</v>
      </c>
      <c r="CN48" s="1293"/>
      <c r="CO48" s="1293"/>
      <c r="CP48" s="1289">
        <v>0</v>
      </c>
      <c r="CQ48" s="1293"/>
      <c r="CR48" s="1293"/>
      <c r="CS48" s="1289">
        <v>0</v>
      </c>
      <c r="CT48" s="1293"/>
      <c r="CU48" s="1293"/>
      <c r="CV48" s="1289">
        <v>0</v>
      </c>
      <c r="CW48" s="1293"/>
      <c r="CX48" s="1293"/>
      <c r="CY48" s="1289">
        <v>0</v>
      </c>
      <c r="CZ48" s="1293"/>
      <c r="DA48" s="1293"/>
      <c r="DB48" s="1289">
        <v>0</v>
      </c>
      <c r="DC48" s="1293"/>
      <c r="DD48" s="1293"/>
      <c r="DE48" s="1289">
        <v>0</v>
      </c>
      <c r="DF48" s="1293"/>
      <c r="DG48" s="1293"/>
      <c r="DH48" s="1289">
        <v>0</v>
      </c>
      <c r="DI48" s="1293"/>
      <c r="DJ48" s="1293"/>
      <c r="DK48" s="1289">
        <v>0</v>
      </c>
      <c r="DL48" s="1293"/>
      <c r="DM48" s="1293"/>
      <c r="DN48" s="1289">
        <v>0</v>
      </c>
      <c r="DO48" s="1293"/>
      <c r="DP48" s="1293"/>
      <c r="DQ48" s="1289">
        <v>0</v>
      </c>
      <c r="DR48" s="1293"/>
      <c r="DS48" s="1293"/>
      <c r="DT48" s="1289">
        <v>0</v>
      </c>
      <c r="DU48" s="1293"/>
      <c r="DV48" s="1293"/>
      <c r="DW48" s="1289">
        <v>0</v>
      </c>
      <c r="DX48" s="1293"/>
      <c r="DY48" s="1293"/>
      <c r="DZ48" s="1289">
        <v>0</v>
      </c>
      <c r="EA48" s="1293"/>
      <c r="EB48" s="1293"/>
      <c r="EC48" s="1289">
        <v>0</v>
      </c>
      <c r="ED48" s="1293"/>
      <c r="EE48" s="1293"/>
      <c r="EF48" s="1289">
        <v>0</v>
      </c>
      <c r="EG48" s="1293"/>
      <c r="EH48" s="1293"/>
      <c r="EI48" s="1289">
        <v>0</v>
      </c>
      <c r="EJ48" s="1293"/>
      <c r="EK48" s="1293"/>
      <c r="EL48" s="1289">
        <v>0</v>
      </c>
      <c r="EM48" s="1293"/>
      <c r="EN48" s="1293"/>
      <c r="EO48" s="1289">
        <v>0</v>
      </c>
      <c r="EP48" s="1293"/>
      <c r="EQ48" s="1293"/>
      <c r="ER48" s="1289">
        <v>0</v>
      </c>
      <c r="ES48" s="1293"/>
      <c r="ET48" s="1293"/>
      <c r="EU48" s="1289">
        <v>0</v>
      </c>
      <c r="EV48" s="1293"/>
      <c r="EW48" s="1293"/>
      <c r="EX48" s="1289">
        <v>0</v>
      </c>
      <c r="EY48" s="1293"/>
      <c r="EZ48" s="1293"/>
      <c r="FA48" s="1289">
        <v>0</v>
      </c>
      <c r="FB48" s="1293"/>
      <c r="FC48" s="1293"/>
      <c r="FD48" s="1289">
        <v>0</v>
      </c>
      <c r="FE48" s="1293"/>
      <c r="FF48" s="1293"/>
      <c r="FG48" s="1289">
        <v>0</v>
      </c>
    </row>
    <row r="49" spans="1:163" s="665" customFormat="1" ht="0.2" customHeight="1">
      <c r="A49" s="1180">
        <v>1</v>
      </c>
      <c r="B49" s="1180"/>
      <c r="C49" s="1180"/>
      <c r="D49" s="1180"/>
      <c r="E49" s="1180"/>
      <c r="F49" s="1180"/>
      <c r="G49" s="1180" t="b">
        <v>0</v>
      </c>
      <c r="H49" s="1180"/>
      <c r="I49" s="1180"/>
      <c r="J49" s="1180"/>
      <c r="K49" s="1180"/>
      <c r="L49" s="1282" t="s">
        <v>1180</v>
      </c>
      <c r="M49" s="366"/>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8"/>
    </row>
    <row r="50" spans="1:163" s="665" customFormat="1" ht="0.2" customHeight="1">
      <c r="A50" s="1180">
        <v>1</v>
      </c>
      <c r="B50" s="1180"/>
      <c r="C50" s="1180" t="s">
        <v>1604</v>
      </c>
      <c r="D50" s="1180" t="s">
        <v>1722</v>
      </c>
      <c r="E50" s="1180"/>
      <c r="F50" s="1180"/>
      <c r="G50" s="1180" t="b">
        <v>0</v>
      </c>
      <c r="H50" s="1180"/>
      <c r="I50" s="1180"/>
      <c r="J50" s="1180"/>
      <c r="K50" s="1180"/>
      <c r="L50" s="1292" t="s">
        <v>664</v>
      </c>
      <c r="M50" s="1287" t="s">
        <v>652</v>
      </c>
      <c r="N50" s="1293">
        <v>0</v>
      </c>
      <c r="O50" s="1293">
        <v>0</v>
      </c>
      <c r="P50" s="1289">
        <v>0</v>
      </c>
      <c r="Q50" s="1293">
        <v>0</v>
      </c>
      <c r="R50" s="1293">
        <v>0</v>
      </c>
      <c r="S50" s="1289">
        <v>0</v>
      </c>
      <c r="T50" s="1293">
        <v>0</v>
      </c>
      <c r="U50" s="1293">
        <v>0</v>
      </c>
      <c r="V50" s="1289">
        <v>0</v>
      </c>
      <c r="W50" s="1293">
        <v>0</v>
      </c>
      <c r="X50" s="1293">
        <v>0</v>
      </c>
      <c r="Y50" s="1289">
        <v>0</v>
      </c>
      <c r="Z50" s="1293">
        <v>0</v>
      </c>
      <c r="AA50" s="1293">
        <v>0</v>
      </c>
      <c r="AB50" s="1289">
        <v>0</v>
      </c>
      <c r="AC50" s="1293">
        <v>0</v>
      </c>
      <c r="AD50" s="1293">
        <v>0</v>
      </c>
      <c r="AE50" s="1289">
        <v>0</v>
      </c>
      <c r="AF50" s="1293">
        <v>0</v>
      </c>
      <c r="AG50" s="1293">
        <v>0</v>
      </c>
      <c r="AH50" s="1289">
        <v>0</v>
      </c>
      <c r="AI50" s="1293">
        <v>0</v>
      </c>
      <c r="AJ50" s="1293">
        <v>0</v>
      </c>
      <c r="AK50" s="1289">
        <v>0</v>
      </c>
      <c r="AL50" s="1293">
        <v>0</v>
      </c>
      <c r="AM50" s="1293">
        <v>0</v>
      </c>
      <c r="AN50" s="1289">
        <v>0</v>
      </c>
      <c r="AO50" s="1293">
        <v>0</v>
      </c>
      <c r="AP50" s="1293">
        <v>0</v>
      </c>
      <c r="AQ50" s="1289">
        <v>0</v>
      </c>
      <c r="AR50" s="1293">
        <v>0</v>
      </c>
      <c r="AS50" s="1293">
        <v>0</v>
      </c>
      <c r="AT50" s="1289">
        <v>0</v>
      </c>
      <c r="AU50" s="1293">
        <v>0</v>
      </c>
      <c r="AV50" s="1293">
        <v>0</v>
      </c>
      <c r="AW50" s="1289">
        <v>0</v>
      </c>
      <c r="AX50" s="1293">
        <v>0</v>
      </c>
      <c r="AY50" s="1293">
        <v>0</v>
      </c>
      <c r="AZ50" s="1289">
        <v>0</v>
      </c>
      <c r="BA50" s="1293">
        <v>0</v>
      </c>
      <c r="BB50" s="1293">
        <v>0</v>
      </c>
      <c r="BC50" s="1289">
        <v>0</v>
      </c>
      <c r="BD50" s="1293">
        <v>0</v>
      </c>
      <c r="BE50" s="1293">
        <v>0</v>
      </c>
      <c r="BF50" s="1289">
        <v>0</v>
      </c>
      <c r="BG50" s="1293">
        <v>0</v>
      </c>
      <c r="BH50" s="1293">
        <v>0</v>
      </c>
      <c r="BI50" s="1289">
        <v>0</v>
      </c>
      <c r="BJ50" s="1293">
        <v>0</v>
      </c>
      <c r="BK50" s="1293">
        <v>0</v>
      </c>
      <c r="BL50" s="1289">
        <v>0</v>
      </c>
      <c r="BM50" s="1293">
        <v>0</v>
      </c>
      <c r="BN50" s="1293">
        <v>0</v>
      </c>
      <c r="BO50" s="1289">
        <v>0</v>
      </c>
      <c r="BP50" s="1293">
        <v>0</v>
      </c>
      <c r="BQ50" s="1293">
        <v>0</v>
      </c>
      <c r="BR50" s="1289">
        <v>0</v>
      </c>
      <c r="BS50" s="1293">
        <v>0</v>
      </c>
      <c r="BT50" s="1293">
        <v>0</v>
      </c>
      <c r="BU50" s="1289">
        <v>0</v>
      </c>
      <c r="BV50" s="1293">
        <v>0</v>
      </c>
      <c r="BW50" s="1293">
        <v>0</v>
      </c>
      <c r="BX50" s="1289">
        <v>0</v>
      </c>
      <c r="BY50" s="1293">
        <v>0</v>
      </c>
      <c r="BZ50" s="1293">
        <v>0</v>
      </c>
      <c r="CA50" s="1289">
        <v>0</v>
      </c>
      <c r="CB50" s="1293">
        <v>0</v>
      </c>
      <c r="CC50" s="1293">
        <v>0</v>
      </c>
      <c r="CD50" s="1289">
        <v>0</v>
      </c>
      <c r="CE50" s="1293">
        <v>0</v>
      </c>
      <c r="CF50" s="1293">
        <v>0</v>
      </c>
      <c r="CG50" s="1289">
        <v>0</v>
      </c>
      <c r="CH50" s="1293">
        <v>0</v>
      </c>
      <c r="CI50" s="1293">
        <v>0</v>
      </c>
      <c r="CJ50" s="1289">
        <v>0</v>
      </c>
      <c r="CK50" s="1293">
        <v>0</v>
      </c>
      <c r="CL50" s="1293">
        <v>0</v>
      </c>
      <c r="CM50" s="1289">
        <v>0</v>
      </c>
      <c r="CN50" s="1293">
        <v>0</v>
      </c>
      <c r="CO50" s="1293">
        <v>0</v>
      </c>
      <c r="CP50" s="1289">
        <v>0</v>
      </c>
      <c r="CQ50" s="1293">
        <v>0</v>
      </c>
      <c r="CR50" s="1293">
        <v>0</v>
      </c>
      <c r="CS50" s="1289">
        <v>0</v>
      </c>
      <c r="CT50" s="1293">
        <v>0</v>
      </c>
      <c r="CU50" s="1293">
        <v>0</v>
      </c>
      <c r="CV50" s="1289">
        <v>0</v>
      </c>
      <c r="CW50" s="1293">
        <v>0</v>
      </c>
      <c r="CX50" s="1293">
        <v>0</v>
      </c>
      <c r="CY50" s="1289">
        <v>0</v>
      </c>
      <c r="CZ50" s="1293">
        <v>0</v>
      </c>
      <c r="DA50" s="1293">
        <v>0</v>
      </c>
      <c r="DB50" s="1289">
        <v>0</v>
      </c>
      <c r="DC50" s="1293">
        <v>0</v>
      </c>
      <c r="DD50" s="1293">
        <v>0</v>
      </c>
      <c r="DE50" s="1289">
        <v>0</v>
      </c>
      <c r="DF50" s="1293">
        <v>0</v>
      </c>
      <c r="DG50" s="1293">
        <v>0</v>
      </c>
      <c r="DH50" s="1289">
        <v>0</v>
      </c>
      <c r="DI50" s="1293">
        <v>0</v>
      </c>
      <c r="DJ50" s="1293">
        <v>0</v>
      </c>
      <c r="DK50" s="1289">
        <v>0</v>
      </c>
      <c r="DL50" s="1293">
        <v>0</v>
      </c>
      <c r="DM50" s="1293">
        <v>0</v>
      </c>
      <c r="DN50" s="1289">
        <v>0</v>
      </c>
      <c r="DO50" s="1293">
        <v>0</v>
      </c>
      <c r="DP50" s="1293">
        <v>0</v>
      </c>
      <c r="DQ50" s="1289">
        <v>0</v>
      </c>
      <c r="DR50" s="1293">
        <v>0</v>
      </c>
      <c r="DS50" s="1293">
        <v>0</v>
      </c>
      <c r="DT50" s="1289">
        <v>0</v>
      </c>
      <c r="DU50" s="1293">
        <v>0</v>
      </c>
      <c r="DV50" s="1293">
        <v>0</v>
      </c>
      <c r="DW50" s="1289">
        <v>0</v>
      </c>
      <c r="DX50" s="1293">
        <v>0</v>
      </c>
      <c r="DY50" s="1293">
        <v>0</v>
      </c>
      <c r="DZ50" s="1289">
        <v>0</v>
      </c>
      <c r="EA50" s="1293">
        <v>0</v>
      </c>
      <c r="EB50" s="1293">
        <v>0</v>
      </c>
      <c r="EC50" s="1289">
        <v>0</v>
      </c>
      <c r="ED50" s="1293">
        <v>0</v>
      </c>
      <c r="EE50" s="1293">
        <v>0</v>
      </c>
      <c r="EF50" s="1289">
        <v>0</v>
      </c>
      <c r="EG50" s="1293">
        <v>0</v>
      </c>
      <c r="EH50" s="1293">
        <v>0</v>
      </c>
      <c r="EI50" s="1289">
        <v>0</v>
      </c>
      <c r="EJ50" s="1293">
        <v>0</v>
      </c>
      <c r="EK50" s="1293">
        <v>0</v>
      </c>
      <c r="EL50" s="1289">
        <v>0</v>
      </c>
      <c r="EM50" s="1293">
        <v>0</v>
      </c>
      <c r="EN50" s="1293">
        <v>0</v>
      </c>
      <c r="EO50" s="1289">
        <v>0</v>
      </c>
      <c r="EP50" s="1293">
        <v>0</v>
      </c>
      <c r="EQ50" s="1293">
        <v>0</v>
      </c>
      <c r="ER50" s="1289">
        <v>0</v>
      </c>
      <c r="ES50" s="1293">
        <v>0</v>
      </c>
      <c r="ET50" s="1293">
        <v>0</v>
      </c>
      <c r="EU50" s="1289">
        <v>0</v>
      </c>
      <c r="EV50" s="1293">
        <v>0</v>
      </c>
      <c r="EW50" s="1293">
        <v>0</v>
      </c>
      <c r="EX50" s="1289">
        <v>0</v>
      </c>
      <c r="EY50" s="1293">
        <v>0</v>
      </c>
      <c r="EZ50" s="1293">
        <v>0</v>
      </c>
      <c r="FA50" s="1289">
        <v>0</v>
      </c>
      <c r="FB50" s="1293">
        <v>0</v>
      </c>
      <c r="FC50" s="1293">
        <v>0</v>
      </c>
      <c r="FD50" s="1289">
        <v>0</v>
      </c>
      <c r="FE50" s="1293">
        <v>0</v>
      </c>
      <c r="FF50" s="1293">
        <v>0</v>
      </c>
      <c r="FG50" s="1289">
        <v>0</v>
      </c>
    </row>
    <row r="51" spans="1:163" s="665" customFormat="1" ht="0.2" customHeight="1">
      <c r="A51" s="1180">
        <v>1</v>
      </c>
      <c r="B51" s="1180"/>
      <c r="C51" s="1180" t="s">
        <v>1605</v>
      </c>
      <c r="D51" s="1180" t="s">
        <v>1722</v>
      </c>
      <c r="E51" s="1180"/>
      <c r="F51" s="1180"/>
      <c r="G51" s="1180" t="b">
        <v>0</v>
      </c>
      <c r="H51" s="1180"/>
      <c r="I51" s="1180"/>
      <c r="J51" s="1180"/>
      <c r="K51" s="1180"/>
      <c r="L51" s="1292" t="s">
        <v>665</v>
      </c>
      <c r="M51" s="1287" t="s">
        <v>652</v>
      </c>
      <c r="N51" s="1293"/>
      <c r="O51" s="1293"/>
      <c r="P51" s="1289">
        <v>0</v>
      </c>
      <c r="Q51" s="1293"/>
      <c r="R51" s="1293"/>
      <c r="S51" s="1289">
        <v>0</v>
      </c>
      <c r="T51" s="1293"/>
      <c r="U51" s="1293"/>
      <c r="V51" s="1289">
        <v>0</v>
      </c>
      <c r="W51" s="1293"/>
      <c r="X51" s="1293"/>
      <c r="Y51" s="1289">
        <v>0</v>
      </c>
      <c r="Z51" s="1293"/>
      <c r="AA51" s="1293"/>
      <c r="AB51" s="1289">
        <v>0</v>
      </c>
      <c r="AC51" s="1293"/>
      <c r="AD51" s="1293"/>
      <c r="AE51" s="1289">
        <v>0</v>
      </c>
      <c r="AF51" s="1293"/>
      <c r="AG51" s="1293"/>
      <c r="AH51" s="1289">
        <v>0</v>
      </c>
      <c r="AI51" s="1293"/>
      <c r="AJ51" s="1293"/>
      <c r="AK51" s="1289">
        <v>0</v>
      </c>
      <c r="AL51" s="1293"/>
      <c r="AM51" s="1293"/>
      <c r="AN51" s="1289">
        <v>0</v>
      </c>
      <c r="AO51" s="1293"/>
      <c r="AP51" s="1293"/>
      <c r="AQ51" s="1289">
        <v>0</v>
      </c>
      <c r="AR51" s="1293"/>
      <c r="AS51" s="1293"/>
      <c r="AT51" s="1289">
        <v>0</v>
      </c>
      <c r="AU51" s="1293"/>
      <c r="AV51" s="1293"/>
      <c r="AW51" s="1289">
        <v>0</v>
      </c>
      <c r="AX51" s="1293"/>
      <c r="AY51" s="1293"/>
      <c r="AZ51" s="1289">
        <v>0</v>
      </c>
      <c r="BA51" s="1293"/>
      <c r="BB51" s="1293"/>
      <c r="BC51" s="1289">
        <v>0</v>
      </c>
      <c r="BD51" s="1293"/>
      <c r="BE51" s="1293"/>
      <c r="BF51" s="1289">
        <v>0</v>
      </c>
      <c r="BG51" s="1293"/>
      <c r="BH51" s="1293"/>
      <c r="BI51" s="1289">
        <v>0</v>
      </c>
      <c r="BJ51" s="1293"/>
      <c r="BK51" s="1293"/>
      <c r="BL51" s="1289">
        <v>0</v>
      </c>
      <c r="BM51" s="1293"/>
      <c r="BN51" s="1293"/>
      <c r="BO51" s="1289">
        <v>0</v>
      </c>
      <c r="BP51" s="1293"/>
      <c r="BQ51" s="1293"/>
      <c r="BR51" s="1289">
        <v>0</v>
      </c>
      <c r="BS51" s="1293"/>
      <c r="BT51" s="1293"/>
      <c r="BU51" s="1289">
        <v>0</v>
      </c>
      <c r="BV51" s="1293"/>
      <c r="BW51" s="1293"/>
      <c r="BX51" s="1289">
        <v>0</v>
      </c>
      <c r="BY51" s="1293"/>
      <c r="BZ51" s="1293"/>
      <c r="CA51" s="1289">
        <v>0</v>
      </c>
      <c r="CB51" s="1293"/>
      <c r="CC51" s="1293"/>
      <c r="CD51" s="1289">
        <v>0</v>
      </c>
      <c r="CE51" s="1293"/>
      <c r="CF51" s="1293"/>
      <c r="CG51" s="1289">
        <v>0</v>
      </c>
      <c r="CH51" s="1293"/>
      <c r="CI51" s="1293"/>
      <c r="CJ51" s="1289">
        <v>0</v>
      </c>
      <c r="CK51" s="1293"/>
      <c r="CL51" s="1293"/>
      <c r="CM51" s="1289">
        <v>0</v>
      </c>
      <c r="CN51" s="1293"/>
      <c r="CO51" s="1293"/>
      <c r="CP51" s="1289">
        <v>0</v>
      </c>
      <c r="CQ51" s="1293"/>
      <c r="CR51" s="1293"/>
      <c r="CS51" s="1289">
        <v>0</v>
      </c>
      <c r="CT51" s="1293"/>
      <c r="CU51" s="1293"/>
      <c r="CV51" s="1289">
        <v>0</v>
      </c>
      <c r="CW51" s="1293"/>
      <c r="CX51" s="1293"/>
      <c r="CY51" s="1289">
        <v>0</v>
      </c>
      <c r="CZ51" s="1293"/>
      <c r="DA51" s="1293"/>
      <c r="DB51" s="1289">
        <v>0</v>
      </c>
      <c r="DC51" s="1293"/>
      <c r="DD51" s="1293"/>
      <c r="DE51" s="1289">
        <v>0</v>
      </c>
      <c r="DF51" s="1293"/>
      <c r="DG51" s="1293"/>
      <c r="DH51" s="1289">
        <v>0</v>
      </c>
      <c r="DI51" s="1293"/>
      <c r="DJ51" s="1293"/>
      <c r="DK51" s="1289">
        <v>0</v>
      </c>
      <c r="DL51" s="1293"/>
      <c r="DM51" s="1293"/>
      <c r="DN51" s="1289">
        <v>0</v>
      </c>
      <c r="DO51" s="1293"/>
      <c r="DP51" s="1293"/>
      <c r="DQ51" s="1289">
        <v>0</v>
      </c>
      <c r="DR51" s="1293"/>
      <c r="DS51" s="1293"/>
      <c r="DT51" s="1289">
        <v>0</v>
      </c>
      <c r="DU51" s="1293"/>
      <c r="DV51" s="1293"/>
      <c r="DW51" s="1289">
        <v>0</v>
      </c>
      <c r="DX51" s="1293"/>
      <c r="DY51" s="1293"/>
      <c r="DZ51" s="1289">
        <v>0</v>
      </c>
      <c r="EA51" s="1293"/>
      <c r="EB51" s="1293"/>
      <c r="EC51" s="1289">
        <v>0</v>
      </c>
      <c r="ED51" s="1293"/>
      <c r="EE51" s="1293"/>
      <c r="EF51" s="1289">
        <v>0</v>
      </c>
      <c r="EG51" s="1293"/>
      <c r="EH51" s="1293"/>
      <c r="EI51" s="1289">
        <v>0</v>
      </c>
      <c r="EJ51" s="1293"/>
      <c r="EK51" s="1293"/>
      <c r="EL51" s="1289">
        <v>0</v>
      </c>
      <c r="EM51" s="1293"/>
      <c r="EN51" s="1293"/>
      <c r="EO51" s="1289">
        <v>0</v>
      </c>
      <c r="EP51" s="1293"/>
      <c r="EQ51" s="1293"/>
      <c r="ER51" s="1289">
        <v>0</v>
      </c>
      <c r="ES51" s="1293"/>
      <c r="ET51" s="1293"/>
      <c r="EU51" s="1289">
        <v>0</v>
      </c>
      <c r="EV51" s="1293"/>
      <c r="EW51" s="1293"/>
      <c r="EX51" s="1289">
        <v>0</v>
      </c>
      <c r="EY51" s="1293"/>
      <c r="EZ51" s="1293"/>
      <c r="FA51" s="1289">
        <v>0</v>
      </c>
      <c r="FB51" s="1293"/>
      <c r="FC51" s="1293"/>
      <c r="FD51" s="1289">
        <v>0</v>
      </c>
      <c r="FE51" s="1293"/>
      <c r="FF51" s="1293"/>
      <c r="FG51" s="1289">
        <v>0</v>
      </c>
    </row>
    <row r="52" spans="1:163" s="665" customFormat="1" ht="0.2" customHeight="1">
      <c r="A52" s="1180">
        <v>1</v>
      </c>
      <c r="B52" s="1098" t="s">
        <v>1175</v>
      </c>
      <c r="C52" s="1180" t="s">
        <v>1660</v>
      </c>
      <c r="D52" s="1180" t="s">
        <v>1722</v>
      </c>
      <c r="E52" s="1180"/>
      <c r="F52" s="1180"/>
      <c r="G52" s="1180" t="b">
        <v>0</v>
      </c>
      <c r="H52" s="1180"/>
      <c r="I52" s="1180"/>
      <c r="J52" s="1180"/>
      <c r="K52" s="1180"/>
      <c r="L52" s="1292" t="s">
        <v>666</v>
      </c>
      <c r="M52" s="1287" t="s">
        <v>310</v>
      </c>
      <c r="N52" s="1290">
        <v>19.75</v>
      </c>
      <c r="O52" s="1290">
        <v>19.75</v>
      </c>
      <c r="P52" s="1291">
        <v>0</v>
      </c>
      <c r="Q52" s="1290">
        <v>19.75</v>
      </c>
      <c r="R52" s="1290">
        <v>19.75</v>
      </c>
      <c r="S52" s="1291">
        <v>0</v>
      </c>
      <c r="T52" s="1290">
        <v>19.75</v>
      </c>
      <c r="U52" s="1290">
        <v>19.75</v>
      </c>
      <c r="V52" s="1291">
        <v>0</v>
      </c>
      <c r="W52" s="1290">
        <v>19.75</v>
      </c>
      <c r="X52" s="1290">
        <v>19.75</v>
      </c>
      <c r="Y52" s="1291">
        <v>0</v>
      </c>
      <c r="Z52" s="1290">
        <v>19.75</v>
      </c>
      <c r="AA52" s="1290">
        <v>19.75</v>
      </c>
      <c r="AB52" s="1291">
        <v>0</v>
      </c>
      <c r="AC52" s="1290">
        <v>19.75</v>
      </c>
      <c r="AD52" s="1290">
        <v>0</v>
      </c>
      <c r="AE52" s="1291">
        <v>-100</v>
      </c>
      <c r="AF52" s="1290">
        <v>19.75</v>
      </c>
      <c r="AG52" s="1290">
        <v>0</v>
      </c>
      <c r="AH52" s="1291">
        <v>-100</v>
      </c>
      <c r="AI52" s="1290">
        <v>19.75</v>
      </c>
      <c r="AJ52" s="1290">
        <v>0</v>
      </c>
      <c r="AK52" s="1291">
        <v>-100</v>
      </c>
      <c r="AL52" s="1290">
        <v>19.75</v>
      </c>
      <c r="AM52" s="1290">
        <v>0</v>
      </c>
      <c r="AN52" s="1291">
        <v>-100</v>
      </c>
      <c r="AO52" s="1290">
        <v>19.75</v>
      </c>
      <c r="AP52" s="1290">
        <v>0</v>
      </c>
      <c r="AQ52" s="1291">
        <v>-100</v>
      </c>
      <c r="AR52" s="1290"/>
      <c r="AS52" s="1290"/>
      <c r="AT52" s="1291">
        <v>0</v>
      </c>
      <c r="AU52" s="1290"/>
      <c r="AV52" s="1290"/>
      <c r="AW52" s="1291">
        <v>0</v>
      </c>
      <c r="AX52" s="1290"/>
      <c r="AY52" s="1290"/>
      <c r="AZ52" s="1291">
        <v>0</v>
      </c>
      <c r="BA52" s="1290"/>
      <c r="BB52" s="1290"/>
      <c r="BC52" s="1291">
        <v>0</v>
      </c>
      <c r="BD52" s="1290"/>
      <c r="BE52" s="1290"/>
      <c r="BF52" s="1291">
        <v>0</v>
      </c>
      <c r="BG52" s="1290"/>
      <c r="BH52" s="1290"/>
      <c r="BI52" s="1291">
        <v>0</v>
      </c>
      <c r="BJ52" s="1290"/>
      <c r="BK52" s="1290"/>
      <c r="BL52" s="1291">
        <v>0</v>
      </c>
      <c r="BM52" s="1290"/>
      <c r="BN52" s="1290"/>
      <c r="BO52" s="1291">
        <v>0</v>
      </c>
      <c r="BP52" s="1290"/>
      <c r="BQ52" s="1290"/>
      <c r="BR52" s="1291">
        <v>0</v>
      </c>
      <c r="BS52" s="1290"/>
      <c r="BT52" s="1290"/>
      <c r="BU52" s="1291">
        <v>0</v>
      </c>
      <c r="BV52" s="1290"/>
      <c r="BW52" s="1290"/>
      <c r="BX52" s="1291">
        <v>0</v>
      </c>
      <c r="BY52" s="1290"/>
      <c r="BZ52" s="1290"/>
      <c r="CA52" s="1291">
        <v>0</v>
      </c>
      <c r="CB52" s="1290"/>
      <c r="CC52" s="1290"/>
      <c r="CD52" s="1291">
        <v>0</v>
      </c>
      <c r="CE52" s="1290"/>
      <c r="CF52" s="1290"/>
      <c r="CG52" s="1291">
        <v>0</v>
      </c>
      <c r="CH52" s="1290"/>
      <c r="CI52" s="1290"/>
      <c r="CJ52" s="1291">
        <v>0</v>
      </c>
      <c r="CK52" s="1290"/>
      <c r="CL52" s="1290"/>
      <c r="CM52" s="1291">
        <v>0</v>
      </c>
      <c r="CN52" s="1290"/>
      <c r="CO52" s="1290"/>
      <c r="CP52" s="1291">
        <v>0</v>
      </c>
      <c r="CQ52" s="1290"/>
      <c r="CR52" s="1290"/>
      <c r="CS52" s="1291">
        <v>0</v>
      </c>
      <c r="CT52" s="1290"/>
      <c r="CU52" s="1290"/>
      <c r="CV52" s="1291">
        <v>0</v>
      </c>
      <c r="CW52" s="1290"/>
      <c r="CX52" s="1290"/>
      <c r="CY52" s="1291">
        <v>0</v>
      </c>
      <c r="CZ52" s="1290"/>
      <c r="DA52" s="1290"/>
      <c r="DB52" s="1291">
        <v>0</v>
      </c>
      <c r="DC52" s="1290"/>
      <c r="DD52" s="1290"/>
      <c r="DE52" s="1291">
        <v>0</v>
      </c>
      <c r="DF52" s="1290"/>
      <c r="DG52" s="1290"/>
      <c r="DH52" s="1291">
        <v>0</v>
      </c>
      <c r="DI52" s="1290"/>
      <c r="DJ52" s="1290"/>
      <c r="DK52" s="1291">
        <v>0</v>
      </c>
      <c r="DL52" s="1290"/>
      <c r="DM52" s="1290"/>
      <c r="DN52" s="1291">
        <v>0</v>
      </c>
      <c r="DO52" s="1290"/>
      <c r="DP52" s="1290"/>
      <c r="DQ52" s="1291">
        <v>0</v>
      </c>
      <c r="DR52" s="1290"/>
      <c r="DS52" s="1290"/>
      <c r="DT52" s="1291">
        <v>0</v>
      </c>
      <c r="DU52" s="1290"/>
      <c r="DV52" s="1290"/>
      <c r="DW52" s="1291">
        <v>0</v>
      </c>
      <c r="DX52" s="1290"/>
      <c r="DY52" s="1290"/>
      <c r="DZ52" s="1291">
        <v>0</v>
      </c>
      <c r="EA52" s="1290"/>
      <c r="EB52" s="1290"/>
      <c r="EC52" s="1291">
        <v>0</v>
      </c>
      <c r="ED52" s="1290"/>
      <c r="EE52" s="1290"/>
      <c r="EF52" s="1291">
        <v>0</v>
      </c>
      <c r="EG52" s="1290"/>
      <c r="EH52" s="1290"/>
      <c r="EI52" s="1291">
        <v>0</v>
      </c>
      <c r="EJ52" s="1290"/>
      <c r="EK52" s="1290"/>
      <c r="EL52" s="1291">
        <v>0</v>
      </c>
      <c r="EM52" s="1290"/>
      <c r="EN52" s="1290"/>
      <c r="EO52" s="1291">
        <v>0</v>
      </c>
      <c r="EP52" s="1290"/>
      <c r="EQ52" s="1290"/>
      <c r="ER52" s="1291">
        <v>0</v>
      </c>
      <c r="ES52" s="1290"/>
      <c r="ET52" s="1290"/>
      <c r="EU52" s="1291">
        <v>0</v>
      </c>
      <c r="EV52" s="1290"/>
      <c r="EW52" s="1290"/>
      <c r="EX52" s="1291">
        <v>0</v>
      </c>
      <c r="EY52" s="1290"/>
      <c r="EZ52" s="1290"/>
      <c r="FA52" s="1291">
        <v>0</v>
      </c>
      <c r="FB52" s="1290"/>
      <c r="FC52" s="1290"/>
      <c r="FD52" s="1291">
        <v>0</v>
      </c>
      <c r="FE52" s="1290"/>
      <c r="FF52" s="1290"/>
      <c r="FG52" s="1291">
        <v>0</v>
      </c>
    </row>
    <row r="53" spans="1:163" s="665" customFormat="1" ht="0.2" customHeight="1">
      <c r="A53" s="1180">
        <v>1</v>
      </c>
      <c r="B53" s="1180"/>
      <c r="C53" s="1180" t="s">
        <v>1661</v>
      </c>
      <c r="D53" s="1180" t="s">
        <v>1722</v>
      </c>
      <c r="E53" s="1180"/>
      <c r="F53" s="1180"/>
      <c r="G53" s="1180" t="b">
        <v>0</v>
      </c>
      <c r="H53" s="1180"/>
      <c r="I53" s="1180"/>
      <c r="J53" s="1180"/>
      <c r="K53" s="1180"/>
      <c r="L53" s="1292" t="s">
        <v>667</v>
      </c>
      <c r="M53" s="1287" t="s">
        <v>668</v>
      </c>
      <c r="N53" s="1293"/>
      <c r="O53" s="1293"/>
      <c r="P53" s="1289">
        <v>0</v>
      </c>
      <c r="Q53" s="1293"/>
      <c r="R53" s="1293"/>
      <c r="S53" s="1289">
        <v>0</v>
      </c>
      <c r="T53" s="1293"/>
      <c r="U53" s="1293"/>
      <c r="V53" s="1289">
        <v>0</v>
      </c>
      <c r="W53" s="1293"/>
      <c r="X53" s="1293"/>
      <c r="Y53" s="1289">
        <v>0</v>
      </c>
      <c r="Z53" s="1293"/>
      <c r="AA53" s="1293"/>
      <c r="AB53" s="1289">
        <v>0</v>
      </c>
      <c r="AC53" s="1293"/>
      <c r="AD53" s="1293"/>
      <c r="AE53" s="1289">
        <v>0</v>
      </c>
      <c r="AF53" s="1293"/>
      <c r="AG53" s="1293"/>
      <c r="AH53" s="1289">
        <v>0</v>
      </c>
      <c r="AI53" s="1293"/>
      <c r="AJ53" s="1293"/>
      <c r="AK53" s="1289">
        <v>0</v>
      </c>
      <c r="AL53" s="1293"/>
      <c r="AM53" s="1293"/>
      <c r="AN53" s="1289">
        <v>0</v>
      </c>
      <c r="AO53" s="1293"/>
      <c r="AP53" s="1293"/>
      <c r="AQ53" s="1289">
        <v>0</v>
      </c>
      <c r="AR53" s="1293"/>
      <c r="AS53" s="1293"/>
      <c r="AT53" s="1289">
        <v>0</v>
      </c>
      <c r="AU53" s="1293"/>
      <c r="AV53" s="1293"/>
      <c r="AW53" s="1289">
        <v>0</v>
      </c>
      <c r="AX53" s="1293"/>
      <c r="AY53" s="1293"/>
      <c r="AZ53" s="1289">
        <v>0</v>
      </c>
      <c r="BA53" s="1293"/>
      <c r="BB53" s="1293"/>
      <c r="BC53" s="1289">
        <v>0</v>
      </c>
      <c r="BD53" s="1293"/>
      <c r="BE53" s="1293"/>
      <c r="BF53" s="1289">
        <v>0</v>
      </c>
      <c r="BG53" s="1293"/>
      <c r="BH53" s="1293"/>
      <c r="BI53" s="1289">
        <v>0</v>
      </c>
      <c r="BJ53" s="1293"/>
      <c r="BK53" s="1293"/>
      <c r="BL53" s="1289">
        <v>0</v>
      </c>
      <c r="BM53" s="1293"/>
      <c r="BN53" s="1293"/>
      <c r="BO53" s="1289">
        <v>0</v>
      </c>
      <c r="BP53" s="1293"/>
      <c r="BQ53" s="1293"/>
      <c r="BR53" s="1289">
        <v>0</v>
      </c>
      <c r="BS53" s="1293"/>
      <c r="BT53" s="1293"/>
      <c r="BU53" s="1289">
        <v>0</v>
      </c>
      <c r="BV53" s="1293"/>
      <c r="BW53" s="1293"/>
      <c r="BX53" s="1289">
        <v>0</v>
      </c>
      <c r="BY53" s="1293"/>
      <c r="BZ53" s="1293"/>
      <c r="CA53" s="1289">
        <v>0</v>
      </c>
      <c r="CB53" s="1293"/>
      <c r="CC53" s="1293"/>
      <c r="CD53" s="1289">
        <v>0</v>
      </c>
      <c r="CE53" s="1293"/>
      <c r="CF53" s="1293"/>
      <c r="CG53" s="1289">
        <v>0</v>
      </c>
      <c r="CH53" s="1293"/>
      <c r="CI53" s="1293"/>
      <c r="CJ53" s="1289">
        <v>0</v>
      </c>
      <c r="CK53" s="1293"/>
      <c r="CL53" s="1293"/>
      <c r="CM53" s="1289">
        <v>0</v>
      </c>
      <c r="CN53" s="1293"/>
      <c r="CO53" s="1293"/>
      <c r="CP53" s="1289">
        <v>0</v>
      </c>
      <c r="CQ53" s="1293"/>
      <c r="CR53" s="1293"/>
      <c r="CS53" s="1289">
        <v>0</v>
      </c>
      <c r="CT53" s="1293"/>
      <c r="CU53" s="1293"/>
      <c r="CV53" s="1289">
        <v>0</v>
      </c>
      <c r="CW53" s="1293"/>
      <c r="CX53" s="1293"/>
      <c r="CY53" s="1289">
        <v>0</v>
      </c>
      <c r="CZ53" s="1293"/>
      <c r="DA53" s="1293"/>
      <c r="DB53" s="1289">
        <v>0</v>
      </c>
      <c r="DC53" s="1293"/>
      <c r="DD53" s="1293"/>
      <c r="DE53" s="1289">
        <v>0</v>
      </c>
      <c r="DF53" s="1293"/>
      <c r="DG53" s="1293"/>
      <c r="DH53" s="1289">
        <v>0</v>
      </c>
      <c r="DI53" s="1293"/>
      <c r="DJ53" s="1293"/>
      <c r="DK53" s="1289">
        <v>0</v>
      </c>
      <c r="DL53" s="1293"/>
      <c r="DM53" s="1293"/>
      <c r="DN53" s="1289">
        <v>0</v>
      </c>
      <c r="DO53" s="1293"/>
      <c r="DP53" s="1293"/>
      <c r="DQ53" s="1289">
        <v>0</v>
      </c>
      <c r="DR53" s="1293"/>
      <c r="DS53" s="1293"/>
      <c r="DT53" s="1289">
        <v>0</v>
      </c>
      <c r="DU53" s="1293"/>
      <c r="DV53" s="1293"/>
      <c r="DW53" s="1289">
        <v>0</v>
      </c>
      <c r="DX53" s="1293"/>
      <c r="DY53" s="1293"/>
      <c r="DZ53" s="1289">
        <v>0</v>
      </c>
      <c r="EA53" s="1293"/>
      <c r="EB53" s="1293"/>
      <c r="EC53" s="1289">
        <v>0</v>
      </c>
      <c r="ED53" s="1293"/>
      <c r="EE53" s="1293"/>
      <c r="EF53" s="1289">
        <v>0</v>
      </c>
      <c r="EG53" s="1293"/>
      <c r="EH53" s="1293"/>
      <c r="EI53" s="1289">
        <v>0</v>
      </c>
      <c r="EJ53" s="1293"/>
      <c r="EK53" s="1293"/>
      <c r="EL53" s="1289">
        <v>0</v>
      </c>
      <c r="EM53" s="1293"/>
      <c r="EN53" s="1293"/>
      <c r="EO53" s="1289">
        <v>0</v>
      </c>
      <c r="EP53" s="1293"/>
      <c r="EQ53" s="1293"/>
      <c r="ER53" s="1289">
        <v>0</v>
      </c>
      <c r="ES53" s="1293"/>
      <c r="ET53" s="1293"/>
      <c r="EU53" s="1289">
        <v>0</v>
      </c>
      <c r="EV53" s="1293"/>
      <c r="EW53" s="1293"/>
      <c r="EX53" s="1289">
        <v>0</v>
      </c>
      <c r="EY53" s="1293"/>
      <c r="EZ53" s="1293"/>
      <c r="FA53" s="1289">
        <v>0</v>
      </c>
      <c r="FB53" s="1293"/>
      <c r="FC53" s="1293"/>
      <c r="FD53" s="1289">
        <v>0</v>
      </c>
      <c r="FE53" s="1293"/>
      <c r="FF53" s="1293"/>
      <c r="FG53" s="1289">
        <v>0</v>
      </c>
    </row>
    <row r="54" spans="1:163" s="665" customFormat="1" ht="0.2" customHeight="1">
      <c r="A54" s="1180">
        <v>1</v>
      </c>
      <c r="B54" s="1180"/>
      <c r="C54" s="1180" t="s">
        <v>1662</v>
      </c>
      <c r="D54" s="1180" t="s">
        <v>1722</v>
      </c>
      <c r="E54" s="1180"/>
      <c r="F54" s="1180"/>
      <c r="G54" s="1180" t="b">
        <v>0</v>
      </c>
      <c r="H54" s="1180"/>
      <c r="I54" s="1180"/>
      <c r="J54" s="1180"/>
      <c r="K54" s="1180"/>
      <c r="L54" s="1292" t="s">
        <v>669</v>
      </c>
      <c r="M54" s="1287" t="s">
        <v>670</v>
      </c>
      <c r="N54" s="1293"/>
      <c r="O54" s="1293"/>
      <c r="P54" s="1289">
        <v>0</v>
      </c>
      <c r="Q54" s="1293"/>
      <c r="R54" s="1293"/>
      <c r="S54" s="1289">
        <v>0</v>
      </c>
      <c r="T54" s="1293"/>
      <c r="U54" s="1293"/>
      <c r="V54" s="1289">
        <v>0</v>
      </c>
      <c r="W54" s="1293"/>
      <c r="X54" s="1293"/>
      <c r="Y54" s="1289">
        <v>0</v>
      </c>
      <c r="Z54" s="1293"/>
      <c r="AA54" s="1293"/>
      <c r="AB54" s="1289">
        <v>0</v>
      </c>
      <c r="AC54" s="1293"/>
      <c r="AD54" s="1293"/>
      <c r="AE54" s="1289">
        <v>0</v>
      </c>
      <c r="AF54" s="1293"/>
      <c r="AG54" s="1293"/>
      <c r="AH54" s="1289">
        <v>0</v>
      </c>
      <c r="AI54" s="1293"/>
      <c r="AJ54" s="1293"/>
      <c r="AK54" s="1289">
        <v>0</v>
      </c>
      <c r="AL54" s="1293"/>
      <c r="AM54" s="1293"/>
      <c r="AN54" s="1289">
        <v>0</v>
      </c>
      <c r="AO54" s="1293"/>
      <c r="AP54" s="1293"/>
      <c r="AQ54" s="1289">
        <v>0</v>
      </c>
      <c r="AR54" s="1293"/>
      <c r="AS54" s="1293"/>
      <c r="AT54" s="1289">
        <v>0</v>
      </c>
      <c r="AU54" s="1293"/>
      <c r="AV54" s="1293"/>
      <c r="AW54" s="1289">
        <v>0</v>
      </c>
      <c r="AX54" s="1293"/>
      <c r="AY54" s="1293"/>
      <c r="AZ54" s="1289">
        <v>0</v>
      </c>
      <c r="BA54" s="1293"/>
      <c r="BB54" s="1293"/>
      <c r="BC54" s="1289">
        <v>0</v>
      </c>
      <c r="BD54" s="1293"/>
      <c r="BE54" s="1293"/>
      <c r="BF54" s="1289">
        <v>0</v>
      </c>
      <c r="BG54" s="1293"/>
      <c r="BH54" s="1293"/>
      <c r="BI54" s="1289">
        <v>0</v>
      </c>
      <c r="BJ54" s="1293"/>
      <c r="BK54" s="1293"/>
      <c r="BL54" s="1289">
        <v>0</v>
      </c>
      <c r="BM54" s="1293"/>
      <c r="BN54" s="1293"/>
      <c r="BO54" s="1289">
        <v>0</v>
      </c>
      <c r="BP54" s="1293"/>
      <c r="BQ54" s="1293"/>
      <c r="BR54" s="1289">
        <v>0</v>
      </c>
      <c r="BS54" s="1293"/>
      <c r="BT54" s="1293"/>
      <c r="BU54" s="1289">
        <v>0</v>
      </c>
      <c r="BV54" s="1293"/>
      <c r="BW54" s="1293"/>
      <c r="BX54" s="1289">
        <v>0</v>
      </c>
      <c r="BY54" s="1293"/>
      <c r="BZ54" s="1293"/>
      <c r="CA54" s="1289">
        <v>0</v>
      </c>
      <c r="CB54" s="1293"/>
      <c r="CC54" s="1293"/>
      <c r="CD54" s="1289">
        <v>0</v>
      </c>
      <c r="CE54" s="1293"/>
      <c r="CF54" s="1293"/>
      <c r="CG54" s="1289">
        <v>0</v>
      </c>
      <c r="CH54" s="1293"/>
      <c r="CI54" s="1293"/>
      <c r="CJ54" s="1289">
        <v>0</v>
      </c>
      <c r="CK54" s="1293"/>
      <c r="CL54" s="1293"/>
      <c r="CM54" s="1289">
        <v>0</v>
      </c>
      <c r="CN54" s="1293"/>
      <c r="CO54" s="1293"/>
      <c r="CP54" s="1289">
        <v>0</v>
      </c>
      <c r="CQ54" s="1293"/>
      <c r="CR54" s="1293"/>
      <c r="CS54" s="1289">
        <v>0</v>
      </c>
      <c r="CT54" s="1293"/>
      <c r="CU54" s="1293"/>
      <c r="CV54" s="1289">
        <v>0</v>
      </c>
      <c r="CW54" s="1293"/>
      <c r="CX54" s="1293"/>
      <c r="CY54" s="1289">
        <v>0</v>
      </c>
      <c r="CZ54" s="1293"/>
      <c r="DA54" s="1293"/>
      <c r="DB54" s="1289">
        <v>0</v>
      </c>
      <c r="DC54" s="1293"/>
      <c r="DD54" s="1293"/>
      <c r="DE54" s="1289">
        <v>0</v>
      </c>
      <c r="DF54" s="1293"/>
      <c r="DG54" s="1293"/>
      <c r="DH54" s="1289">
        <v>0</v>
      </c>
      <c r="DI54" s="1293"/>
      <c r="DJ54" s="1293"/>
      <c r="DK54" s="1289">
        <v>0</v>
      </c>
      <c r="DL54" s="1293"/>
      <c r="DM54" s="1293"/>
      <c r="DN54" s="1289">
        <v>0</v>
      </c>
      <c r="DO54" s="1293"/>
      <c r="DP54" s="1293"/>
      <c r="DQ54" s="1289">
        <v>0</v>
      </c>
      <c r="DR54" s="1293"/>
      <c r="DS54" s="1293"/>
      <c r="DT54" s="1289">
        <v>0</v>
      </c>
      <c r="DU54" s="1293"/>
      <c r="DV54" s="1293"/>
      <c r="DW54" s="1289">
        <v>0</v>
      </c>
      <c r="DX54" s="1293"/>
      <c r="DY54" s="1293"/>
      <c r="DZ54" s="1289">
        <v>0</v>
      </c>
      <c r="EA54" s="1293"/>
      <c r="EB54" s="1293"/>
      <c r="EC54" s="1289">
        <v>0</v>
      </c>
      <c r="ED54" s="1293"/>
      <c r="EE54" s="1293"/>
      <c r="EF54" s="1289">
        <v>0</v>
      </c>
      <c r="EG54" s="1293"/>
      <c r="EH54" s="1293"/>
      <c r="EI54" s="1289">
        <v>0</v>
      </c>
      <c r="EJ54" s="1293"/>
      <c r="EK54" s="1293"/>
      <c r="EL54" s="1289">
        <v>0</v>
      </c>
      <c r="EM54" s="1293"/>
      <c r="EN54" s="1293"/>
      <c r="EO54" s="1289">
        <v>0</v>
      </c>
      <c r="EP54" s="1293"/>
      <c r="EQ54" s="1293"/>
      <c r="ER54" s="1289">
        <v>0</v>
      </c>
      <c r="ES54" s="1293"/>
      <c r="ET54" s="1293"/>
      <c r="EU54" s="1289">
        <v>0</v>
      </c>
      <c r="EV54" s="1293"/>
      <c r="EW54" s="1293"/>
      <c r="EX54" s="1289">
        <v>0</v>
      </c>
      <c r="EY54" s="1293"/>
      <c r="EZ54" s="1293"/>
      <c r="FA54" s="1289">
        <v>0</v>
      </c>
      <c r="FB54" s="1293"/>
      <c r="FC54" s="1293"/>
      <c r="FD54" s="1289">
        <v>0</v>
      </c>
      <c r="FE54" s="1293"/>
      <c r="FF54" s="1293"/>
      <c r="FG54" s="1289">
        <v>0</v>
      </c>
    </row>
    <row r="55" spans="1:163">
      <c r="A55" s="1180"/>
      <c r="B55" s="1180"/>
      <c r="C55" s="1180"/>
      <c r="D55" s="1180"/>
      <c r="E55" s="1180"/>
      <c r="F55" s="1180"/>
      <c r="G55" s="1049" t="b">
        <v>1</v>
      </c>
      <c r="H55" s="1180"/>
      <c r="I55" s="1180"/>
      <c r="J55" s="1180"/>
      <c r="K55" s="1180"/>
      <c r="L55" s="1295"/>
      <c r="M55" s="1296"/>
      <c r="N55" s="1297"/>
      <c r="O55" s="1297"/>
      <c r="P55" s="1297"/>
      <c r="Q55" s="1297"/>
      <c r="R55" s="1297"/>
      <c r="S55" s="1297"/>
      <c r="T55" s="1297"/>
      <c r="U55" s="1297"/>
      <c r="V55" s="1297"/>
      <c r="W55" s="1297"/>
      <c r="X55" s="1297"/>
      <c r="Y55" s="1297"/>
      <c r="Z55" s="1297"/>
      <c r="AA55" s="1297"/>
      <c r="AB55" s="1297"/>
      <c r="AC55" s="1297"/>
      <c r="AD55" s="1297"/>
      <c r="AE55" s="1297"/>
      <c r="AF55" s="1297"/>
      <c r="AG55" s="1297"/>
      <c r="AH55" s="1297"/>
      <c r="AI55" s="1297"/>
      <c r="AJ55" s="1297"/>
      <c r="AK55" s="1297"/>
      <c r="AL55" s="1297"/>
      <c r="AM55" s="1297"/>
      <c r="AN55" s="1297"/>
      <c r="AO55" s="1297"/>
      <c r="AP55" s="1297"/>
      <c r="AQ55" s="1297"/>
      <c r="AR55" s="1297"/>
      <c r="AS55" s="1297"/>
      <c r="AT55" s="1297"/>
      <c r="AU55" s="1297"/>
      <c r="AV55" s="1297"/>
      <c r="AW55" s="1297"/>
      <c r="AX55" s="1297"/>
      <c r="AY55" s="1297"/>
      <c r="AZ55" s="1297"/>
      <c r="BA55" s="1297"/>
      <c r="BB55" s="1297"/>
      <c r="BC55" s="1297"/>
      <c r="BD55" s="1297"/>
      <c r="BE55" s="1297"/>
      <c r="BF55" s="1297"/>
      <c r="BG55" s="1297"/>
      <c r="BH55" s="1297"/>
      <c r="BI55" s="1297"/>
      <c r="BJ55" s="1297"/>
      <c r="BK55" s="1297"/>
      <c r="BL55" s="1297"/>
      <c r="BM55" s="1297"/>
      <c r="BN55" s="1297"/>
      <c r="BO55" s="1297"/>
      <c r="BP55" s="1297"/>
      <c r="BQ55" s="1297"/>
      <c r="BR55" s="1297"/>
      <c r="BS55" s="1297"/>
      <c r="BT55" s="1297"/>
      <c r="BU55" s="1297"/>
      <c r="BV55" s="1297"/>
      <c r="BW55" s="1297"/>
      <c r="BX55" s="1297"/>
      <c r="BY55" s="1297"/>
      <c r="BZ55" s="1297"/>
      <c r="CA55" s="1297"/>
      <c r="CB55" s="1297"/>
      <c r="CC55" s="1297"/>
      <c r="CD55" s="1297"/>
      <c r="CE55" s="1297"/>
      <c r="CF55" s="1297"/>
      <c r="CG55" s="1297"/>
      <c r="CH55" s="1297"/>
      <c r="CI55" s="1297"/>
      <c r="CJ55" s="1297"/>
      <c r="CK55" s="1297"/>
      <c r="CL55" s="1297"/>
      <c r="CM55" s="1297"/>
      <c r="CN55" s="1297"/>
      <c r="CO55" s="1297"/>
      <c r="CP55" s="1297"/>
      <c r="CQ55" s="1297"/>
      <c r="CR55" s="1297"/>
      <c r="CS55" s="1297"/>
      <c r="CT55" s="1297"/>
      <c r="CU55" s="1297"/>
      <c r="CV55" s="1297"/>
      <c r="CW55" s="1297"/>
      <c r="CX55" s="1297"/>
      <c r="CY55" s="1297"/>
      <c r="CZ55" s="1297"/>
      <c r="DA55" s="1297"/>
      <c r="DB55" s="1297"/>
      <c r="DC55" s="1297"/>
      <c r="DD55" s="1297"/>
      <c r="DE55" s="1297"/>
      <c r="DF55" s="1297"/>
      <c r="DG55" s="1297"/>
      <c r="DH55" s="1297"/>
      <c r="DI55" s="1297"/>
      <c r="DJ55" s="1297"/>
      <c r="DK55" s="1297"/>
      <c r="DL55" s="1297"/>
      <c r="DM55" s="1297"/>
      <c r="DN55" s="1297"/>
      <c r="DO55" s="1297"/>
      <c r="DP55" s="1297"/>
      <c r="DQ55" s="1297"/>
      <c r="DR55" s="1297"/>
      <c r="DS55" s="1297"/>
      <c r="DT55" s="1297"/>
      <c r="DU55" s="1297"/>
      <c r="DV55" s="1297"/>
      <c r="DW55" s="1297"/>
      <c r="DX55" s="1297"/>
      <c r="DY55" s="1297"/>
      <c r="DZ55" s="1297"/>
      <c r="EA55" s="1297"/>
      <c r="EB55" s="1297"/>
      <c r="EC55" s="1297"/>
      <c r="ED55" s="1297"/>
      <c r="EE55" s="1297"/>
      <c r="EF55" s="1297"/>
      <c r="EG55" s="1297"/>
      <c r="EH55" s="1297"/>
      <c r="EI55" s="1297"/>
      <c r="EJ55" s="1297"/>
      <c r="EK55" s="1297"/>
      <c r="EL55" s="1297"/>
      <c r="EM55" s="1297"/>
      <c r="EN55" s="1297"/>
      <c r="EO55" s="1297"/>
      <c r="EP55" s="1297"/>
      <c r="EQ55" s="1297"/>
      <c r="ER55" s="1297"/>
      <c r="ES55" s="1297"/>
      <c r="ET55" s="1297"/>
      <c r="EU55" s="1297"/>
      <c r="EV55" s="1297"/>
      <c r="EW55" s="1297"/>
      <c r="EX55" s="1297"/>
      <c r="EY55" s="1297"/>
      <c r="EZ55" s="1297"/>
      <c r="FA55" s="1297"/>
      <c r="FB55" s="1297"/>
      <c r="FC55" s="1297"/>
      <c r="FD55" s="1297"/>
      <c r="FE55" s="1297"/>
      <c r="FF55" s="1297"/>
      <c r="FG55" s="1297"/>
    </row>
    <row r="56" spans="1:163" s="296" customFormat="1" ht="0.2" customHeight="1">
      <c r="A56" s="1049"/>
      <c r="B56" s="1049"/>
      <c r="C56" s="1049"/>
      <c r="D56" s="1049"/>
      <c r="E56" s="1049"/>
      <c r="F56" s="1049"/>
      <c r="G56" s="1049" t="b">
        <v>0</v>
      </c>
      <c r="H56" s="1049"/>
      <c r="I56" s="1049"/>
      <c r="J56" s="1049"/>
      <c r="K56" s="1259"/>
      <c r="L56" s="1260" t="s">
        <v>1342</v>
      </c>
      <c r="M56" s="1261"/>
      <c r="N56" s="1261"/>
      <c r="O56" s="1261"/>
      <c r="P56" s="1261"/>
      <c r="Q56" s="1261"/>
      <c r="R56" s="1261"/>
      <c r="S56" s="1261"/>
      <c r="T56" s="1261"/>
      <c r="U56" s="1261"/>
      <c r="V56" s="1261"/>
      <c r="W56" s="1261"/>
      <c r="X56" s="1261"/>
      <c r="Y56" s="1261"/>
      <c r="Z56" s="1261"/>
      <c r="AA56" s="1261"/>
      <c r="AB56" s="1261"/>
      <c r="AC56" s="1261"/>
      <c r="AD56" s="1261"/>
      <c r="AE56" s="1261"/>
      <c r="AF56" s="1261"/>
      <c r="AG56" s="1261"/>
      <c r="AH56" s="1261"/>
      <c r="AI56" s="1261"/>
      <c r="AJ56" s="1261"/>
      <c r="AK56" s="1261"/>
      <c r="AL56" s="1261"/>
      <c r="AM56" s="1261"/>
      <c r="AN56" s="1261"/>
      <c r="AO56" s="1261"/>
      <c r="AP56" s="1261"/>
      <c r="AQ56" s="1262"/>
      <c r="AR56" s="1262"/>
      <c r="AS56" s="1262"/>
      <c r="AT56" s="1262"/>
      <c r="AU56" s="1262"/>
      <c r="AV56" s="1262"/>
      <c r="AW56" s="1262"/>
      <c r="AX56" s="1262"/>
      <c r="AY56" s="1262"/>
      <c r="AZ56" s="1262"/>
      <c r="BA56" s="1262"/>
      <c r="BB56" s="1262"/>
      <c r="BC56" s="1262"/>
      <c r="BD56" s="1262"/>
      <c r="BE56" s="1262"/>
      <c r="BF56" s="1262"/>
      <c r="BG56" s="1262"/>
      <c r="BH56" s="1262"/>
      <c r="BI56" s="1262"/>
      <c r="BJ56" s="1262"/>
      <c r="BK56" s="1262"/>
      <c r="BL56" s="1262"/>
      <c r="BM56" s="1262"/>
      <c r="BN56" s="1262"/>
      <c r="BO56" s="1262"/>
      <c r="BP56" s="1262"/>
      <c r="BQ56" s="1262"/>
      <c r="BR56" s="1262"/>
      <c r="BS56" s="1262"/>
      <c r="BT56" s="1262"/>
      <c r="BU56" s="1262"/>
      <c r="BV56" s="1262"/>
      <c r="BW56" s="1262"/>
      <c r="BX56" s="1262"/>
      <c r="BY56" s="1262"/>
      <c r="BZ56" s="1262"/>
      <c r="CA56" s="1262"/>
      <c r="CB56" s="1262"/>
      <c r="CC56" s="1262"/>
      <c r="CD56" s="1262"/>
      <c r="CE56" s="1262"/>
      <c r="CF56" s="1262"/>
      <c r="CG56" s="1262"/>
      <c r="CH56" s="1262"/>
      <c r="CI56" s="1262"/>
      <c r="CJ56" s="1262"/>
      <c r="CK56" s="1262"/>
      <c r="CL56" s="1262"/>
      <c r="CM56" s="1262"/>
      <c r="CN56" s="1262"/>
      <c r="CO56" s="1262"/>
      <c r="CP56" s="1262"/>
      <c r="CQ56" s="1262"/>
      <c r="CR56" s="1262"/>
      <c r="CS56" s="1262"/>
      <c r="CT56" s="1262"/>
      <c r="CU56" s="1262"/>
      <c r="CV56" s="1262"/>
      <c r="CW56" s="1262"/>
      <c r="CX56" s="1262"/>
      <c r="CY56" s="1262"/>
      <c r="CZ56" s="1262"/>
      <c r="DA56" s="1262"/>
      <c r="DB56" s="1262"/>
      <c r="DC56" s="1262"/>
      <c r="DD56" s="1262"/>
      <c r="DE56" s="1262"/>
      <c r="DF56" s="1262"/>
      <c r="DG56" s="1262"/>
      <c r="DH56" s="1262"/>
      <c r="DI56" s="1262"/>
      <c r="DJ56" s="1262"/>
      <c r="DK56" s="1262"/>
      <c r="DL56" s="1262"/>
      <c r="DM56" s="1262"/>
      <c r="DN56" s="1262"/>
      <c r="DO56" s="1262"/>
      <c r="DP56" s="1262"/>
      <c r="DQ56" s="1262"/>
      <c r="DR56" s="1262"/>
      <c r="DS56" s="1262"/>
      <c r="DT56" s="1262"/>
      <c r="DU56" s="1262"/>
      <c r="DV56" s="1262"/>
      <c r="DW56" s="1262"/>
      <c r="DX56" s="1262"/>
      <c r="DY56" s="1262"/>
      <c r="DZ56" s="1262"/>
      <c r="EA56" s="1262"/>
      <c r="EB56" s="1262"/>
      <c r="EC56" s="1262"/>
      <c r="ED56" s="1262"/>
      <c r="EE56" s="1262"/>
      <c r="EF56" s="1262"/>
      <c r="EG56" s="1262"/>
      <c r="EH56" s="1262"/>
      <c r="EI56" s="1262"/>
      <c r="EJ56" s="1262"/>
      <c r="EK56" s="1262"/>
      <c r="EL56" s="1262"/>
      <c r="EM56" s="1262"/>
      <c r="EN56" s="1262"/>
      <c r="EO56" s="1262"/>
      <c r="EP56" s="1262"/>
      <c r="EQ56" s="1262"/>
      <c r="ER56" s="1262"/>
      <c r="ES56" s="1262"/>
      <c r="ET56" s="1262"/>
      <c r="EU56" s="1262"/>
      <c r="EV56" s="1262"/>
      <c r="EW56" s="1262"/>
      <c r="EX56" s="1262"/>
      <c r="EY56" s="1262"/>
      <c r="EZ56" s="1262"/>
      <c r="FA56" s="1262"/>
      <c r="FB56" s="1262"/>
      <c r="FC56" s="1262"/>
      <c r="FD56" s="1262"/>
      <c r="FE56" s="1262"/>
      <c r="FF56" s="1262"/>
      <c r="FG56" s="1262"/>
    </row>
    <row r="57" spans="1:163" ht="0.2" customHeight="1">
      <c r="A57" s="1180"/>
      <c r="B57" s="1180"/>
      <c r="C57" s="1180"/>
      <c r="D57" s="1180"/>
      <c r="E57" s="1180"/>
      <c r="F57" s="1180"/>
      <c r="G57" s="1049" t="b">
        <v>0</v>
      </c>
      <c r="H57" s="1180"/>
      <c r="I57" s="1180"/>
      <c r="J57" s="1180"/>
      <c r="K57" s="1180"/>
      <c r="L57" s="1152" t="s">
        <v>121</v>
      </c>
      <c r="M57" s="1152" t="s">
        <v>135</v>
      </c>
      <c r="N57" s="1264" t="s">
        <v>3022</v>
      </c>
      <c r="O57" s="1265"/>
      <c r="P57" s="1266"/>
      <c r="Q57" s="1264" t="s">
        <v>3060</v>
      </c>
      <c r="R57" s="1265"/>
      <c r="S57" s="1266"/>
      <c r="T57" s="1264" t="s">
        <v>3061</v>
      </c>
      <c r="U57" s="1265"/>
      <c r="V57" s="1266"/>
      <c r="W57" s="1264" t="s">
        <v>3062</v>
      </c>
      <c r="X57" s="1265"/>
      <c r="Y57" s="1266"/>
      <c r="Z57" s="1264" t="s">
        <v>3063</v>
      </c>
      <c r="AA57" s="1265"/>
      <c r="AB57" s="1266"/>
      <c r="AC57" s="1264" t="s">
        <v>3064</v>
      </c>
      <c r="AD57" s="1265"/>
      <c r="AE57" s="1266"/>
      <c r="AF57" s="1264" t="s">
        <v>3065</v>
      </c>
      <c r="AG57" s="1265"/>
      <c r="AH57" s="1266"/>
      <c r="AI57" s="1264" t="s">
        <v>3066</v>
      </c>
      <c r="AJ57" s="1265"/>
      <c r="AK57" s="1266"/>
      <c r="AL57" s="1264" t="s">
        <v>3067</v>
      </c>
      <c r="AM57" s="1265"/>
      <c r="AN57" s="1266"/>
      <c r="AO57" s="1264" t="s">
        <v>3068</v>
      </c>
      <c r="AP57" s="1265"/>
      <c r="AQ57" s="1266"/>
      <c r="AR57" s="1264" t="s">
        <v>3219</v>
      </c>
      <c r="AS57" s="1265"/>
      <c r="AT57" s="1266"/>
      <c r="AU57" s="1264" t="s">
        <v>3220</v>
      </c>
      <c r="AV57" s="1265"/>
      <c r="AW57" s="1266"/>
      <c r="AX57" s="1264" t="s">
        <v>3221</v>
      </c>
      <c r="AY57" s="1265"/>
      <c r="AZ57" s="1266"/>
      <c r="BA57" s="1264" t="s">
        <v>3222</v>
      </c>
      <c r="BB57" s="1265"/>
      <c r="BC57" s="1266"/>
      <c r="BD57" s="1264" t="s">
        <v>3223</v>
      </c>
      <c r="BE57" s="1265"/>
      <c r="BF57" s="1266"/>
      <c r="BG57" s="1264" t="s">
        <v>3224</v>
      </c>
      <c r="BH57" s="1265"/>
      <c r="BI57" s="1266"/>
      <c r="BJ57" s="1264" t="s">
        <v>3225</v>
      </c>
      <c r="BK57" s="1265"/>
      <c r="BL57" s="1266"/>
      <c r="BM57" s="1264" t="s">
        <v>3226</v>
      </c>
      <c r="BN57" s="1265"/>
      <c r="BO57" s="1266"/>
      <c r="BP57" s="1264" t="s">
        <v>3227</v>
      </c>
      <c r="BQ57" s="1265"/>
      <c r="BR57" s="1266"/>
      <c r="BS57" s="1264" t="s">
        <v>3228</v>
      </c>
      <c r="BT57" s="1265"/>
      <c r="BU57" s="1266"/>
      <c r="BV57" s="1264" t="s">
        <v>3229</v>
      </c>
      <c r="BW57" s="1265"/>
      <c r="BX57" s="1266"/>
      <c r="BY57" s="1264" t="s">
        <v>3230</v>
      </c>
      <c r="BZ57" s="1265"/>
      <c r="CA57" s="1266"/>
      <c r="CB57" s="1264" t="s">
        <v>3231</v>
      </c>
      <c r="CC57" s="1265"/>
      <c r="CD57" s="1266"/>
      <c r="CE57" s="1264" t="s">
        <v>3232</v>
      </c>
      <c r="CF57" s="1265"/>
      <c r="CG57" s="1266"/>
      <c r="CH57" s="1264" t="s">
        <v>3233</v>
      </c>
      <c r="CI57" s="1265"/>
      <c r="CJ57" s="1266"/>
      <c r="CK57" s="1264" t="s">
        <v>3234</v>
      </c>
      <c r="CL57" s="1265"/>
      <c r="CM57" s="1266"/>
      <c r="CN57" s="1264" t="s">
        <v>3235</v>
      </c>
      <c r="CO57" s="1265"/>
      <c r="CP57" s="1266"/>
      <c r="CQ57" s="1264" t="s">
        <v>3236</v>
      </c>
      <c r="CR57" s="1265"/>
      <c r="CS57" s="1266"/>
      <c r="CT57" s="1264" t="s">
        <v>3237</v>
      </c>
      <c r="CU57" s="1265"/>
      <c r="CV57" s="1266"/>
      <c r="CW57" s="1264" t="s">
        <v>3238</v>
      </c>
      <c r="CX57" s="1265"/>
      <c r="CY57" s="1266"/>
      <c r="CZ57" s="1264" t="s">
        <v>3239</v>
      </c>
      <c r="DA57" s="1265"/>
      <c r="DB57" s="1266"/>
      <c r="DC57" s="1264" t="s">
        <v>3240</v>
      </c>
      <c r="DD57" s="1265"/>
      <c r="DE57" s="1266"/>
      <c r="DF57" s="1264" t="s">
        <v>3241</v>
      </c>
      <c r="DG57" s="1265"/>
      <c r="DH57" s="1266"/>
      <c r="DI57" s="1264" t="s">
        <v>3242</v>
      </c>
      <c r="DJ57" s="1265"/>
      <c r="DK57" s="1266"/>
      <c r="DL57" s="1264" t="s">
        <v>3243</v>
      </c>
      <c r="DM57" s="1265"/>
      <c r="DN57" s="1266"/>
      <c r="DO57" s="1264" t="s">
        <v>3244</v>
      </c>
      <c r="DP57" s="1265"/>
      <c r="DQ57" s="1266"/>
      <c r="DR57" s="1264" t="s">
        <v>3245</v>
      </c>
      <c r="DS57" s="1265"/>
      <c r="DT57" s="1266"/>
      <c r="DU57" s="1264" t="s">
        <v>3246</v>
      </c>
      <c r="DV57" s="1265"/>
      <c r="DW57" s="1266"/>
      <c r="DX57" s="1264" t="s">
        <v>3247</v>
      </c>
      <c r="DY57" s="1265"/>
      <c r="DZ57" s="1266"/>
      <c r="EA57" s="1264" t="s">
        <v>3248</v>
      </c>
      <c r="EB57" s="1265"/>
      <c r="EC57" s="1266"/>
      <c r="ED57" s="1264" t="s">
        <v>3249</v>
      </c>
      <c r="EE57" s="1265"/>
      <c r="EF57" s="1266"/>
      <c r="EG57" s="1264" t="s">
        <v>3250</v>
      </c>
      <c r="EH57" s="1265"/>
      <c r="EI57" s="1266"/>
      <c r="EJ57" s="1264" t="s">
        <v>3251</v>
      </c>
      <c r="EK57" s="1265"/>
      <c r="EL57" s="1266"/>
      <c r="EM57" s="1264" t="s">
        <v>3252</v>
      </c>
      <c r="EN57" s="1265"/>
      <c r="EO57" s="1266"/>
      <c r="EP57" s="1264" t="s">
        <v>3253</v>
      </c>
      <c r="EQ57" s="1265"/>
      <c r="ER57" s="1266"/>
      <c r="ES57" s="1264" t="s">
        <v>3254</v>
      </c>
      <c r="ET57" s="1265"/>
      <c r="EU57" s="1266"/>
      <c r="EV57" s="1264" t="s">
        <v>3255</v>
      </c>
      <c r="EW57" s="1265"/>
      <c r="EX57" s="1266"/>
      <c r="EY57" s="1264" t="s">
        <v>3256</v>
      </c>
      <c r="EZ57" s="1265"/>
      <c r="FA57" s="1266"/>
      <c r="FB57" s="1264" t="s">
        <v>3257</v>
      </c>
      <c r="FC57" s="1265"/>
      <c r="FD57" s="1266"/>
      <c r="FE57" s="1264" t="s">
        <v>3258</v>
      </c>
      <c r="FF57" s="1265"/>
      <c r="FG57" s="1266"/>
    </row>
    <row r="58" spans="1:163" ht="0.2" customHeight="1">
      <c r="A58" s="1180"/>
      <c r="B58" s="1180"/>
      <c r="C58" s="1180"/>
      <c r="D58" s="1180"/>
      <c r="E58" s="1180"/>
      <c r="F58" s="1180"/>
      <c r="G58" s="1049" t="b">
        <v>0</v>
      </c>
      <c r="H58" s="1180"/>
      <c r="I58" s="1180"/>
      <c r="J58" s="1180"/>
      <c r="K58" s="1180"/>
      <c r="L58" s="1152"/>
      <c r="M58" s="1152"/>
      <c r="N58" s="1178" t="s">
        <v>268</v>
      </c>
      <c r="O58" s="1178" t="s">
        <v>267</v>
      </c>
      <c r="P58" s="1178" t="s">
        <v>1359</v>
      </c>
      <c r="Q58" s="1178" t="s">
        <v>268</v>
      </c>
      <c r="R58" s="1178" t="s">
        <v>267</v>
      </c>
      <c r="S58" s="1178" t="s">
        <v>1359</v>
      </c>
      <c r="T58" s="1178" t="s">
        <v>268</v>
      </c>
      <c r="U58" s="1178" t="s">
        <v>267</v>
      </c>
      <c r="V58" s="1178" t="s">
        <v>1359</v>
      </c>
      <c r="W58" s="1178" t="s">
        <v>268</v>
      </c>
      <c r="X58" s="1178" t="s">
        <v>267</v>
      </c>
      <c r="Y58" s="1178" t="s">
        <v>1359</v>
      </c>
      <c r="Z58" s="1178" t="s">
        <v>268</v>
      </c>
      <c r="AA58" s="1178" t="s">
        <v>267</v>
      </c>
      <c r="AB58" s="1178" t="s">
        <v>1359</v>
      </c>
      <c r="AC58" s="1178" t="s">
        <v>268</v>
      </c>
      <c r="AD58" s="1178" t="s">
        <v>267</v>
      </c>
      <c r="AE58" s="1178" t="s">
        <v>1359</v>
      </c>
      <c r="AF58" s="1178" t="s">
        <v>268</v>
      </c>
      <c r="AG58" s="1178" t="s">
        <v>267</v>
      </c>
      <c r="AH58" s="1178" t="s">
        <v>1359</v>
      </c>
      <c r="AI58" s="1178" t="s">
        <v>268</v>
      </c>
      <c r="AJ58" s="1178" t="s">
        <v>267</v>
      </c>
      <c r="AK58" s="1178" t="s">
        <v>1359</v>
      </c>
      <c r="AL58" s="1178" t="s">
        <v>268</v>
      </c>
      <c r="AM58" s="1178" t="s">
        <v>267</v>
      </c>
      <c r="AN58" s="1178" t="s">
        <v>1359</v>
      </c>
      <c r="AO58" s="1178" t="s">
        <v>268</v>
      </c>
      <c r="AP58" s="1178" t="s">
        <v>267</v>
      </c>
      <c r="AQ58" s="1178" t="s">
        <v>1359</v>
      </c>
      <c r="AR58" s="1178" t="s">
        <v>268</v>
      </c>
      <c r="AS58" s="1178" t="s">
        <v>267</v>
      </c>
      <c r="AT58" s="1178" t="s">
        <v>1359</v>
      </c>
      <c r="AU58" s="1178" t="s">
        <v>268</v>
      </c>
      <c r="AV58" s="1178" t="s">
        <v>267</v>
      </c>
      <c r="AW58" s="1178" t="s">
        <v>1359</v>
      </c>
      <c r="AX58" s="1178" t="s">
        <v>268</v>
      </c>
      <c r="AY58" s="1178" t="s">
        <v>267</v>
      </c>
      <c r="AZ58" s="1178" t="s">
        <v>1359</v>
      </c>
      <c r="BA58" s="1178" t="s">
        <v>268</v>
      </c>
      <c r="BB58" s="1178" t="s">
        <v>267</v>
      </c>
      <c r="BC58" s="1178" t="s">
        <v>1359</v>
      </c>
      <c r="BD58" s="1178" t="s">
        <v>268</v>
      </c>
      <c r="BE58" s="1178" t="s">
        <v>267</v>
      </c>
      <c r="BF58" s="1178" t="s">
        <v>1359</v>
      </c>
      <c r="BG58" s="1178" t="s">
        <v>268</v>
      </c>
      <c r="BH58" s="1178" t="s">
        <v>267</v>
      </c>
      <c r="BI58" s="1178" t="s">
        <v>1359</v>
      </c>
      <c r="BJ58" s="1178" t="s">
        <v>268</v>
      </c>
      <c r="BK58" s="1178" t="s">
        <v>267</v>
      </c>
      <c r="BL58" s="1178" t="s">
        <v>1359</v>
      </c>
      <c r="BM58" s="1178" t="s">
        <v>268</v>
      </c>
      <c r="BN58" s="1178" t="s">
        <v>267</v>
      </c>
      <c r="BO58" s="1178" t="s">
        <v>1359</v>
      </c>
      <c r="BP58" s="1178" t="s">
        <v>268</v>
      </c>
      <c r="BQ58" s="1178" t="s">
        <v>267</v>
      </c>
      <c r="BR58" s="1178" t="s">
        <v>1359</v>
      </c>
      <c r="BS58" s="1178" t="s">
        <v>268</v>
      </c>
      <c r="BT58" s="1178" t="s">
        <v>267</v>
      </c>
      <c r="BU58" s="1178" t="s">
        <v>1359</v>
      </c>
      <c r="BV58" s="1178" t="s">
        <v>268</v>
      </c>
      <c r="BW58" s="1178" t="s">
        <v>267</v>
      </c>
      <c r="BX58" s="1178" t="s">
        <v>1359</v>
      </c>
      <c r="BY58" s="1178" t="s">
        <v>268</v>
      </c>
      <c r="BZ58" s="1178" t="s">
        <v>267</v>
      </c>
      <c r="CA58" s="1178" t="s">
        <v>1359</v>
      </c>
      <c r="CB58" s="1178" t="s">
        <v>268</v>
      </c>
      <c r="CC58" s="1178" t="s">
        <v>267</v>
      </c>
      <c r="CD58" s="1178" t="s">
        <v>1359</v>
      </c>
      <c r="CE58" s="1178" t="s">
        <v>268</v>
      </c>
      <c r="CF58" s="1178" t="s">
        <v>267</v>
      </c>
      <c r="CG58" s="1178" t="s">
        <v>1359</v>
      </c>
      <c r="CH58" s="1178" t="s">
        <v>268</v>
      </c>
      <c r="CI58" s="1178" t="s">
        <v>267</v>
      </c>
      <c r="CJ58" s="1178" t="s">
        <v>1359</v>
      </c>
      <c r="CK58" s="1178" t="s">
        <v>268</v>
      </c>
      <c r="CL58" s="1178" t="s">
        <v>267</v>
      </c>
      <c r="CM58" s="1178" t="s">
        <v>1359</v>
      </c>
      <c r="CN58" s="1178" t="s">
        <v>268</v>
      </c>
      <c r="CO58" s="1178" t="s">
        <v>267</v>
      </c>
      <c r="CP58" s="1178" t="s">
        <v>1359</v>
      </c>
      <c r="CQ58" s="1178" t="s">
        <v>268</v>
      </c>
      <c r="CR58" s="1178" t="s">
        <v>267</v>
      </c>
      <c r="CS58" s="1178" t="s">
        <v>1359</v>
      </c>
      <c r="CT58" s="1178" t="s">
        <v>268</v>
      </c>
      <c r="CU58" s="1178" t="s">
        <v>267</v>
      </c>
      <c r="CV58" s="1178" t="s">
        <v>1359</v>
      </c>
      <c r="CW58" s="1178" t="s">
        <v>268</v>
      </c>
      <c r="CX58" s="1178" t="s">
        <v>267</v>
      </c>
      <c r="CY58" s="1178" t="s">
        <v>1359</v>
      </c>
      <c r="CZ58" s="1178" t="s">
        <v>268</v>
      </c>
      <c r="DA58" s="1178" t="s">
        <v>267</v>
      </c>
      <c r="DB58" s="1178" t="s">
        <v>1359</v>
      </c>
      <c r="DC58" s="1178" t="s">
        <v>268</v>
      </c>
      <c r="DD58" s="1178" t="s">
        <v>267</v>
      </c>
      <c r="DE58" s="1178" t="s">
        <v>1359</v>
      </c>
      <c r="DF58" s="1178" t="s">
        <v>268</v>
      </c>
      <c r="DG58" s="1178" t="s">
        <v>267</v>
      </c>
      <c r="DH58" s="1178" t="s">
        <v>1359</v>
      </c>
      <c r="DI58" s="1178" t="s">
        <v>268</v>
      </c>
      <c r="DJ58" s="1178" t="s">
        <v>267</v>
      </c>
      <c r="DK58" s="1178" t="s">
        <v>1359</v>
      </c>
      <c r="DL58" s="1178" t="s">
        <v>268</v>
      </c>
      <c r="DM58" s="1178" t="s">
        <v>267</v>
      </c>
      <c r="DN58" s="1178" t="s">
        <v>1359</v>
      </c>
      <c r="DO58" s="1178" t="s">
        <v>268</v>
      </c>
      <c r="DP58" s="1178" t="s">
        <v>267</v>
      </c>
      <c r="DQ58" s="1178" t="s">
        <v>1359</v>
      </c>
      <c r="DR58" s="1178" t="s">
        <v>268</v>
      </c>
      <c r="DS58" s="1178" t="s">
        <v>267</v>
      </c>
      <c r="DT58" s="1178" t="s">
        <v>1359</v>
      </c>
      <c r="DU58" s="1178" t="s">
        <v>268</v>
      </c>
      <c r="DV58" s="1178" t="s">
        <v>267</v>
      </c>
      <c r="DW58" s="1178" t="s">
        <v>1359</v>
      </c>
      <c r="DX58" s="1178" t="s">
        <v>268</v>
      </c>
      <c r="DY58" s="1178" t="s">
        <v>267</v>
      </c>
      <c r="DZ58" s="1178" t="s">
        <v>1359</v>
      </c>
      <c r="EA58" s="1178" t="s">
        <v>268</v>
      </c>
      <c r="EB58" s="1178" t="s">
        <v>267</v>
      </c>
      <c r="EC58" s="1178" t="s">
        <v>1359</v>
      </c>
      <c r="ED58" s="1178" t="s">
        <v>268</v>
      </c>
      <c r="EE58" s="1178" t="s">
        <v>267</v>
      </c>
      <c r="EF58" s="1178" t="s">
        <v>1359</v>
      </c>
      <c r="EG58" s="1178" t="s">
        <v>268</v>
      </c>
      <c r="EH58" s="1178" t="s">
        <v>267</v>
      </c>
      <c r="EI58" s="1178" t="s">
        <v>1359</v>
      </c>
      <c r="EJ58" s="1178" t="s">
        <v>268</v>
      </c>
      <c r="EK58" s="1178" t="s">
        <v>267</v>
      </c>
      <c r="EL58" s="1178" t="s">
        <v>1359</v>
      </c>
      <c r="EM58" s="1178" t="s">
        <v>268</v>
      </c>
      <c r="EN58" s="1178" t="s">
        <v>267</v>
      </c>
      <c r="EO58" s="1178" t="s">
        <v>1359</v>
      </c>
      <c r="EP58" s="1178" t="s">
        <v>268</v>
      </c>
      <c r="EQ58" s="1178" t="s">
        <v>267</v>
      </c>
      <c r="ER58" s="1178" t="s">
        <v>1359</v>
      </c>
      <c r="ES58" s="1178" t="s">
        <v>268</v>
      </c>
      <c r="ET58" s="1178" t="s">
        <v>267</v>
      </c>
      <c r="EU58" s="1178" t="s">
        <v>1359</v>
      </c>
      <c r="EV58" s="1178" t="s">
        <v>268</v>
      </c>
      <c r="EW58" s="1178" t="s">
        <v>267</v>
      </c>
      <c r="EX58" s="1178" t="s">
        <v>1359</v>
      </c>
      <c r="EY58" s="1178" t="s">
        <v>268</v>
      </c>
      <c r="EZ58" s="1178" t="s">
        <v>267</v>
      </c>
      <c r="FA58" s="1178" t="s">
        <v>1359</v>
      </c>
      <c r="FB58" s="1178" t="s">
        <v>268</v>
      </c>
      <c r="FC58" s="1178" t="s">
        <v>267</v>
      </c>
      <c r="FD58" s="1178" t="s">
        <v>1359</v>
      </c>
      <c r="FE58" s="1178" t="s">
        <v>268</v>
      </c>
      <c r="FF58" s="1178" t="s">
        <v>267</v>
      </c>
      <c r="FG58" s="1298" t="s">
        <v>1359</v>
      </c>
    </row>
    <row r="59" spans="1:163" ht="0.2" customHeight="1">
      <c r="A59" s="1180"/>
      <c r="B59" s="1180"/>
      <c r="C59" s="1180"/>
      <c r="D59" s="1180"/>
      <c r="E59" s="1180"/>
      <c r="F59" s="1180"/>
      <c r="G59" s="1049" t="b">
        <v>0</v>
      </c>
      <c r="H59" s="1180"/>
      <c r="I59" s="1180"/>
      <c r="J59" s="1180"/>
      <c r="K59" s="1180"/>
      <c r="L59" s="1256"/>
      <c r="M59" s="1257"/>
      <c r="N59" s="1180"/>
      <c r="O59" s="1180"/>
      <c r="P59" s="1180"/>
      <c r="Q59" s="1180"/>
      <c r="R59" s="1180"/>
      <c r="S59" s="1180"/>
      <c r="T59" s="1180"/>
      <c r="U59" s="1180"/>
      <c r="V59" s="1180"/>
      <c r="W59" s="1180"/>
      <c r="X59" s="1180"/>
      <c r="Y59" s="1180"/>
      <c r="Z59" s="1180"/>
      <c r="AA59" s="1180"/>
      <c r="AB59" s="1180"/>
      <c r="AC59" s="1180"/>
      <c r="AD59" s="1180"/>
      <c r="AE59" s="1180"/>
      <c r="AF59" s="1180"/>
      <c r="AG59" s="1180"/>
      <c r="AH59" s="1180"/>
      <c r="AI59" s="1180"/>
      <c r="AJ59" s="1180"/>
      <c r="AK59" s="1180"/>
      <c r="AL59" s="1180"/>
      <c r="AM59" s="1180"/>
      <c r="AN59" s="1180"/>
      <c r="AO59" s="1180"/>
      <c r="AP59" s="1180"/>
      <c r="AQ59" s="1180"/>
      <c r="AR59" s="1180"/>
      <c r="AS59" s="1180"/>
      <c r="AT59" s="1180"/>
      <c r="AU59" s="1180"/>
      <c r="AV59" s="1180"/>
      <c r="AW59" s="1180"/>
      <c r="AX59" s="1180"/>
      <c r="AY59" s="1180"/>
      <c r="AZ59" s="1180"/>
      <c r="BA59" s="1180"/>
      <c r="BB59" s="1180"/>
      <c r="BC59" s="1180"/>
      <c r="BD59" s="1180"/>
      <c r="BE59" s="1180"/>
      <c r="BF59" s="1180"/>
      <c r="BG59" s="1180"/>
      <c r="BH59" s="1180"/>
      <c r="BI59" s="1180"/>
      <c r="BJ59" s="1180"/>
      <c r="BK59" s="1180"/>
      <c r="BL59" s="1180"/>
      <c r="BM59" s="1180"/>
      <c r="BN59" s="1180"/>
      <c r="BO59" s="1180"/>
      <c r="BP59" s="1180"/>
      <c r="BQ59" s="1180"/>
      <c r="BR59" s="1180"/>
      <c r="BS59" s="1180"/>
      <c r="BT59" s="1180"/>
      <c r="BU59" s="1180"/>
      <c r="BV59" s="1180"/>
      <c r="BW59" s="1180"/>
      <c r="BX59" s="1180"/>
      <c r="BY59" s="1180"/>
      <c r="BZ59" s="1180"/>
      <c r="CA59" s="1180"/>
      <c r="CB59" s="1180"/>
      <c r="CC59" s="1180"/>
      <c r="CD59" s="1180"/>
      <c r="CE59" s="1180"/>
      <c r="CF59" s="1180"/>
      <c r="CG59" s="1180"/>
      <c r="CH59" s="1180"/>
      <c r="CI59" s="1180"/>
      <c r="CJ59" s="1180"/>
      <c r="CK59" s="1180"/>
      <c r="CL59" s="1180"/>
      <c r="CM59" s="1180"/>
      <c r="CN59" s="1180"/>
      <c r="CO59" s="1180"/>
      <c r="CP59" s="1180"/>
      <c r="CQ59" s="1180"/>
      <c r="CR59" s="1180"/>
      <c r="CS59" s="1180"/>
      <c r="CT59" s="1180"/>
      <c r="CU59" s="1180"/>
      <c r="CV59" s="1180"/>
      <c r="CW59" s="1180"/>
      <c r="CX59" s="1180"/>
      <c r="CY59" s="1180"/>
      <c r="CZ59" s="1180"/>
      <c r="DA59" s="1180"/>
      <c r="DB59" s="1180"/>
      <c r="DC59" s="1180"/>
      <c r="DD59" s="1180"/>
      <c r="DE59" s="1180"/>
      <c r="DF59" s="1180"/>
      <c r="DG59" s="1180"/>
      <c r="DH59" s="1180"/>
      <c r="DI59" s="1180"/>
      <c r="DJ59" s="1180"/>
      <c r="DK59" s="1180"/>
      <c r="DL59" s="1180"/>
      <c r="DM59" s="1180"/>
      <c r="DN59" s="1180"/>
      <c r="DO59" s="1180"/>
      <c r="DP59" s="1180"/>
      <c r="DQ59" s="1180"/>
      <c r="DR59" s="1180"/>
      <c r="DS59" s="1180"/>
      <c r="DT59" s="1180"/>
      <c r="DU59" s="1180"/>
      <c r="DV59" s="1180"/>
      <c r="DW59" s="1180"/>
      <c r="DX59" s="1180"/>
      <c r="DY59" s="1180"/>
      <c r="DZ59" s="1180"/>
      <c r="EA59" s="1180"/>
      <c r="EB59" s="1180"/>
      <c r="EC59" s="1180"/>
      <c r="ED59" s="1180"/>
      <c r="EE59" s="1180"/>
      <c r="EF59" s="1180"/>
      <c r="EG59" s="1180"/>
      <c r="EH59" s="1180"/>
      <c r="EI59" s="1180"/>
      <c r="EJ59" s="1180"/>
      <c r="EK59" s="1180"/>
      <c r="EL59" s="1180"/>
      <c r="EM59" s="1180"/>
      <c r="EN59" s="1180"/>
      <c r="EO59" s="1180"/>
      <c r="EP59" s="1180"/>
      <c r="EQ59" s="1180"/>
      <c r="ER59" s="1180"/>
      <c r="ES59" s="1180"/>
      <c r="ET59" s="1180"/>
      <c r="EU59" s="1180"/>
      <c r="EV59" s="1180"/>
      <c r="EW59" s="1180"/>
      <c r="EX59" s="1180"/>
      <c r="EY59" s="1180"/>
      <c r="EZ59" s="1180"/>
      <c r="FA59" s="1180"/>
      <c r="FB59" s="1180"/>
      <c r="FC59" s="1180"/>
      <c r="FD59" s="1180"/>
      <c r="FE59" s="1180"/>
      <c r="FF59" s="1180"/>
      <c r="FG59" s="1180"/>
    </row>
    <row r="60" spans="1:163">
      <c r="A60" s="1180"/>
      <c r="B60" s="1180"/>
      <c r="C60" s="1180"/>
      <c r="D60" s="1180"/>
      <c r="E60" s="1180"/>
      <c r="F60" s="1180"/>
      <c r="G60" s="1180"/>
      <c r="H60" s="1180"/>
      <c r="I60" s="1180"/>
      <c r="J60" s="1180"/>
      <c r="K60" s="1180"/>
      <c r="L60" s="1152" t="s">
        <v>1425</v>
      </c>
      <c r="M60" s="1152"/>
      <c r="N60" s="1152"/>
      <c r="O60" s="1152"/>
      <c r="P60" s="1152"/>
      <c r="Q60" s="1152"/>
      <c r="R60" s="1152"/>
      <c r="S60" s="1152"/>
      <c r="T60" s="1152"/>
      <c r="U60" s="1152"/>
      <c r="V60" s="1152"/>
      <c r="W60" s="1152"/>
      <c r="X60" s="1152"/>
      <c r="Y60" s="1152"/>
      <c r="Z60" s="1152"/>
      <c r="AA60" s="1152"/>
      <c r="AB60" s="1152"/>
      <c r="AC60" s="1152"/>
      <c r="AD60" s="1152"/>
      <c r="AE60" s="1152"/>
      <c r="AF60" s="1152"/>
      <c r="AG60" s="1152"/>
      <c r="AH60" s="1152"/>
      <c r="AI60" s="1152"/>
      <c r="AJ60" s="1152"/>
      <c r="AK60" s="1152"/>
      <c r="AL60" s="1152"/>
      <c r="AM60" s="1152"/>
      <c r="AN60" s="1152"/>
      <c r="AO60" s="1152"/>
      <c r="AP60" s="1152"/>
      <c r="AQ60" s="1152"/>
      <c r="AR60" s="1180"/>
      <c r="AS60" s="1180"/>
      <c r="AT60" s="1180"/>
      <c r="AU60" s="1180"/>
      <c r="AV60" s="1180"/>
      <c r="AW60" s="1180"/>
      <c r="AX60" s="1180"/>
      <c r="AY60" s="1180"/>
      <c r="AZ60" s="1180"/>
      <c r="BA60" s="1180"/>
      <c r="BB60" s="1180"/>
      <c r="BC60" s="1180"/>
      <c r="BD60" s="1180"/>
      <c r="BE60" s="1180"/>
      <c r="BF60" s="1180"/>
      <c r="BG60" s="1180"/>
      <c r="BH60" s="1180"/>
      <c r="BI60" s="1180"/>
      <c r="BJ60" s="1180"/>
      <c r="BK60" s="1180"/>
      <c r="BL60" s="1180"/>
      <c r="BM60" s="1180"/>
      <c r="BN60" s="1180"/>
      <c r="BO60" s="1180"/>
      <c r="BP60" s="1180"/>
      <c r="BQ60" s="1180"/>
      <c r="BR60" s="1180"/>
      <c r="BS60" s="1180"/>
      <c r="BT60" s="1180"/>
      <c r="BU60" s="1180"/>
      <c r="BV60" s="1180"/>
      <c r="BW60" s="1180"/>
      <c r="BX60" s="1180"/>
      <c r="BY60" s="1180"/>
      <c r="BZ60" s="1180"/>
      <c r="CA60" s="1180"/>
      <c r="CB60" s="1180"/>
      <c r="CC60" s="1180"/>
      <c r="CD60" s="1180"/>
      <c r="CE60" s="1180"/>
      <c r="CF60" s="1180"/>
      <c r="CG60" s="1180"/>
      <c r="CH60" s="1180"/>
      <c r="CI60" s="1180"/>
      <c r="CJ60" s="1180"/>
      <c r="CK60" s="1180"/>
      <c r="CL60" s="1180"/>
      <c r="CM60" s="1180"/>
      <c r="CN60" s="1180"/>
      <c r="CO60" s="1180"/>
      <c r="CP60" s="1180"/>
      <c r="CQ60" s="1180"/>
      <c r="CR60" s="1180"/>
      <c r="CS60" s="1180"/>
      <c r="CT60" s="1180"/>
      <c r="CU60" s="1180"/>
      <c r="CV60" s="1180"/>
      <c r="CW60" s="1180"/>
      <c r="CX60" s="1180"/>
      <c r="CY60" s="1180"/>
      <c r="CZ60" s="1180"/>
      <c r="DA60" s="1180"/>
      <c r="DB60" s="1180"/>
      <c r="DC60" s="1180"/>
      <c r="DD60" s="1180"/>
      <c r="DE60" s="1180"/>
      <c r="DF60" s="1180"/>
      <c r="DG60" s="1180"/>
      <c r="DH60" s="1180"/>
      <c r="DI60" s="1180"/>
      <c r="DJ60" s="1180"/>
      <c r="DK60" s="1180"/>
      <c r="DL60" s="1180"/>
      <c r="DM60" s="1180"/>
      <c r="DN60" s="1180"/>
      <c r="DO60" s="1180"/>
      <c r="DP60" s="1180"/>
      <c r="DQ60" s="1180"/>
      <c r="DR60" s="1180"/>
      <c r="DS60" s="1180"/>
      <c r="DT60" s="1180"/>
      <c r="DU60" s="1180"/>
      <c r="DV60" s="1180"/>
      <c r="DW60" s="1180"/>
      <c r="DX60" s="1180"/>
      <c r="DY60" s="1180"/>
      <c r="DZ60" s="1180"/>
      <c r="EA60" s="1180"/>
      <c r="EB60" s="1180"/>
      <c r="EC60" s="1180"/>
      <c r="ED60" s="1180"/>
      <c r="EE60" s="1180"/>
      <c r="EF60" s="1180"/>
      <c r="EG60" s="1180"/>
      <c r="EH60" s="1180"/>
      <c r="EI60" s="1180"/>
      <c r="EJ60" s="1180"/>
      <c r="EK60" s="1180"/>
      <c r="EL60" s="1180"/>
      <c r="EM60" s="1180"/>
      <c r="EN60" s="1180"/>
      <c r="EO60" s="1180"/>
      <c r="EP60" s="1180"/>
      <c r="EQ60" s="1180"/>
      <c r="ER60" s="1180"/>
      <c r="ES60" s="1180"/>
      <c r="ET60" s="1180"/>
      <c r="EU60" s="1180"/>
      <c r="EV60" s="1180"/>
      <c r="EW60" s="1180"/>
      <c r="EX60" s="1180"/>
      <c r="EY60" s="1180"/>
      <c r="EZ60" s="1180"/>
      <c r="FA60" s="1180"/>
      <c r="FB60" s="1180"/>
      <c r="FC60" s="1180"/>
      <c r="FD60" s="1180"/>
      <c r="FE60" s="1180"/>
      <c r="FF60" s="1180"/>
      <c r="FG60" s="1180"/>
    </row>
    <row r="61" spans="1:163" ht="14.25">
      <c r="A61" s="1180"/>
      <c r="B61" s="1180"/>
      <c r="C61" s="1180"/>
      <c r="D61" s="1180"/>
      <c r="E61" s="1180"/>
      <c r="F61" s="1180"/>
      <c r="G61" s="1180"/>
      <c r="H61" s="1180"/>
      <c r="I61" s="1180"/>
      <c r="J61" s="1180"/>
      <c r="K61" s="807"/>
      <c r="L61" s="1299" t="s">
        <v>3000</v>
      </c>
      <c r="M61" s="1300"/>
      <c r="N61" s="1300"/>
      <c r="O61" s="1300"/>
      <c r="P61" s="1300"/>
      <c r="Q61" s="1300"/>
      <c r="R61" s="1300"/>
      <c r="S61" s="1300"/>
      <c r="T61" s="1300"/>
      <c r="U61" s="1300"/>
      <c r="V61" s="1300"/>
      <c r="W61" s="1300"/>
      <c r="X61" s="1300"/>
      <c r="Y61" s="1300"/>
      <c r="Z61" s="1300"/>
      <c r="AA61" s="1300"/>
      <c r="AB61" s="1300"/>
      <c r="AC61" s="1300"/>
      <c r="AD61" s="1300"/>
      <c r="AE61" s="1300"/>
      <c r="AF61" s="1300"/>
      <c r="AG61" s="1300"/>
      <c r="AH61" s="1300"/>
      <c r="AI61" s="1300"/>
      <c r="AJ61" s="1300"/>
      <c r="AK61" s="1300"/>
      <c r="AL61" s="1300"/>
      <c r="AM61" s="1300"/>
      <c r="AN61" s="1300"/>
      <c r="AO61" s="1300"/>
      <c r="AP61" s="1300"/>
      <c r="AQ61" s="1300"/>
      <c r="AR61" s="1180"/>
      <c r="AS61" s="1180"/>
      <c r="AT61" s="1180"/>
      <c r="AU61" s="1180"/>
      <c r="AV61" s="1180"/>
      <c r="AW61" s="1180"/>
      <c r="AX61" s="1180"/>
      <c r="AY61" s="1180"/>
      <c r="AZ61" s="1180"/>
      <c r="BA61" s="1180"/>
      <c r="BB61" s="1180"/>
      <c r="BC61" s="1180"/>
      <c r="BD61" s="1180"/>
      <c r="BE61" s="1180"/>
      <c r="BF61" s="1180"/>
      <c r="BG61" s="1180"/>
      <c r="BH61" s="1180"/>
      <c r="BI61" s="1180"/>
      <c r="BJ61" s="1180"/>
      <c r="BK61" s="1180"/>
      <c r="BL61" s="1180"/>
      <c r="BM61" s="1180"/>
      <c r="BN61" s="1180"/>
      <c r="BO61" s="1180"/>
      <c r="BP61" s="1180"/>
      <c r="BQ61" s="1180"/>
      <c r="BR61" s="1180"/>
      <c r="BS61" s="1180"/>
      <c r="BT61" s="1180"/>
      <c r="BU61" s="1180"/>
      <c r="BV61" s="1180"/>
      <c r="BW61" s="1180"/>
      <c r="BX61" s="1180"/>
      <c r="BY61" s="1180"/>
      <c r="BZ61" s="1180"/>
      <c r="CA61" s="1180"/>
      <c r="CB61" s="1180"/>
      <c r="CC61" s="1180"/>
      <c r="CD61" s="1180"/>
      <c r="CE61" s="1180"/>
      <c r="CF61" s="1180"/>
      <c r="CG61" s="1180"/>
      <c r="CH61" s="1180"/>
      <c r="CI61" s="1180"/>
      <c r="CJ61" s="1180"/>
      <c r="CK61" s="1180"/>
      <c r="CL61" s="1180"/>
      <c r="CM61" s="1180"/>
      <c r="CN61" s="1180"/>
      <c r="CO61" s="1180"/>
      <c r="CP61" s="1180"/>
      <c r="CQ61" s="1180"/>
      <c r="CR61" s="1180"/>
      <c r="CS61" s="1180"/>
      <c r="CT61" s="1180"/>
      <c r="CU61" s="1180"/>
      <c r="CV61" s="1180"/>
      <c r="CW61" s="1180"/>
      <c r="CX61" s="1180"/>
      <c r="CY61" s="1180"/>
      <c r="CZ61" s="1180"/>
      <c r="DA61" s="1180"/>
      <c r="DB61" s="1180"/>
      <c r="DC61" s="1180"/>
      <c r="DD61" s="1180"/>
      <c r="DE61" s="1180"/>
      <c r="DF61" s="1180"/>
      <c r="DG61" s="1180"/>
      <c r="DH61" s="1180"/>
      <c r="DI61" s="1180"/>
      <c r="DJ61" s="1180"/>
      <c r="DK61" s="1180"/>
      <c r="DL61" s="1180"/>
      <c r="DM61" s="1180"/>
      <c r="DN61" s="1180"/>
      <c r="DO61" s="1180"/>
      <c r="DP61" s="1180"/>
      <c r="DQ61" s="1180"/>
      <c r="DR61" s="1180"/>
      <c r="DS61" s="1180"/>
      <c r="DT61" s="1180"/>
      <c r="DU61" s="1180"/>
      <c r="DV61" s="1180"/>
      <c r="DW61" s="1180"/>
      <c r="DX61" s="1180"/>
      <c r="DY61" s="1180"/>
      <c r="DZ61" s="1180"/>
      <c r="EA61" s="1180"/>
      <c r="EB61" s="1180"/>
      <c r="EC61" s="1180"/>
      <c r="ED61" s="1180"/>
      <c r="EE61" s="1180"/>
      <c r="EF61" s="1180"/>
      <c r="EG61" s="1180"/>
      <c r="EH61" s="1180"/>
      <c r="EI61" s="1180"/>
      <c r="EJ61" s="1180"/>
      <c r="EK61" s="1180"/>
      <c r="EL61" s="1180"/>
      <c r="EM61" s="1180"/>
      <c r="EN61" s="1180"/>
      <c r="EO61" s="1180"/>
      <c r="EP61" s="1180"/>
      <c r="EQ61" s="1180"/>
      <c r="ER61" s="1180"/>
      <c r="ES61" s="1180"/>
      <c r="ET61" s="1180"/>
      <c r="EU61" s="1180"/>
      <c r="EV61" s="1180"/>
      <c r="EW61" s="1180"/>
      <c r="EX61" s="1180"/>
      <c r="EY61" s="1180"/>
      <c r="EZ61" s="1180"/>
      <c r="FA61" s="1180"/>
      <c r="FB61" s="1180"/>
      <c r="FC61" s="1180"/>
      <c r="FD61" s="1180"/>
      <c r="FE61" s="1180"/>
      <c r="FF61" s="1180"/>
      <c r="FG61" s="1180"/>
    </row>
  </sheetData>
  <sheetProtection formatColumns="0" formatRows="0" autoFilter="0"/>
  <mergeCells count="110">
    <mergeCell ref="AR15:AT15"/>
    <mergeCell ref="AR57:AT57"/>
    <mergeCell ref="T15:V15"/>
    <mergeCell ref="L15:L16"/>
    <mergeCell ref="M15:M16"/>
    <mergeCell ref="N15:P15"/>
    <mergeCell ref="AO15:AQ15"/>
    <mergeCell ref="Q15:S15"/>
    <mergeCell ref="AI15:AK15"/>
    <mergeCell ref="AL15:AN15"/>
    <mergeCell ref="W15:Y15"/>
    <mergeCell ref="Z15:AB15"/>
    <mergeCell ref="AC15:AE15"/>
    <mergeCell ref="AF15:AH15"/>
    <mergeCell ref="L17:M17"/>
    <mergeCell ref="L18:M18"/>
    <mergeCell ref="L19:M19"/>
    <mergeCell ref="L20:M20"/>
    <mergeCell ref="L61:AQ61"/>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BJ15:BL15"/>
    <mergeCell ref="BM15:BO15"/>
    <mergeCell ref="BP15:BR15"/>
    <mergeCell ref="BS15:BU15"/>
    <mergeCell ref="BV15:BX15"/>
    <mergeCell ref="AU15:AW15"/>
    <mergeCell ref="AX15:AZ15"/>
    <mergeCell ref="BA15:BC15"/>
    <mergeCell ref="BD15:BF15"/>
    <mergeCell ref="BG15:BI15"/>
    <mergeCell ref="CN15:CP15"/>
    <mergeCell ref="CQ15:CS15"/>
    <mergeCell ref="CT15:CV15"/>
    <mergeCell ref="CW15:CY15"/>
    <mergeCell ref="CZ15:DB15"/>
    <mergeCell ref="BY15:CA15"/>
    <mergeCell ref="CB15:CD15"/>
    <mergeCell ref="CE15:CG15"/>
    <mergeCell ref="CH15:CJ15"/>
    <mergeCell ref="CK15:CM15"/>
    <mergeCell ref="DR15:DT15"/>
    <mergeCell ref="DU15:DW15"/>
    <mergeCell ref="DX15:DZ15"/>
    <mergeCell ref="EA15:EC15"/>
    <mergeCell ref="ED15:EF15"/>
    <mergeCell ref="DC15:DE15"/>
    <mergeCell ref="DF15:DH15"/>
    <mergeCell ref="DI15:DK15"/>
    <mergeCell ref="DL15:DN15"/>
    <mergeCell ref="DO15:DQ15"/>
    <mergeCell ref="EV15:EX15"/>
    <mergeCell ref="EY15:FA15"/>
    <mergeCell ref="FB15:FD15"/>
    <mergeCell ref="FE15:FG15"/>
    <mergeCell ref="EG15:EI15"/>
    <mergeCell ref="EJ15:EL15"/>
    <mergeCell ref="EM15:EO15"/>
    <mergeCell ref="EP15:ER15"/>
    <mergeCell ref="ES15:EU15"/>
    <mergeCell ref="CE57:CG57"/>
    <mergeCell ref="CH57:CJ57"/>
    <mergeCell ref="CK57:CM57"/>
    <mergeCell ref="CN57:CP57"/>
    <mergeCell ref="CQ57:CS57"/>
    <mergeCell ref="AU57:AW57"/>
    <mergeCell ref="AX57:AZ57"/>
    <mergeCell ref="BA57:BC57"/>
    <mergeCell ref="BD57:BF57"/>
    <mergeCell ref="BG57:BI57"/>
    <mergeCell ref="BJ57:BL57"/>
    <mergeCell ref="BM57:BO57"/>
    <mergeCell ref="BP57:BR57"/>
    <mergeCell ref="BS57:BU57"/>
    <mergeCell ref="BV57:BX57"/>
    <mergeCell ref="BY57:CA57"/>
    <mergeCell ref="CB57:CD57"/>
    <mergeCell ref="FE57:FG57"/>
    <mergeCell ref="EM57:EO57"/>
    <mergeCell ref="EP57:ER57"/>
    <mergeCell ref="ES57:EU57"/>
    <mergeCell ref="EV57:EX57"/>
    <mergeCell ref="EY57:FA57"/>
    <mergeCell ref="DX57:DZ57"/>
    <mergeCell ref="EA57:EC57"/>
    <mergeCell ref="ED57:EF57"/>
    <mergeCell ref="EG57:EI57"/>
    <mergeCell ref="EJ57:EL57"/>
    <mergeCell ref="DI57:DK57"/>
    <mergeCell ref="DL57:DN57"/>
    <mergeCell ref="DO57:DQ57"/>
    <mergeCell ref="DR57:DT57"/>
    <mergeCell ref="DU57:DW57"/>
    <mergeCell ref="CT57:CV57"/>
    <mergeCell ref="CW57:CY57"/>
    <mergeCell ref="CZ57:DB57"/>
    <mergeCell ref="FB57:FD57"/>
    <mergeCell ref="DC57:DE57"/>
    <mergeCell ref="DF57:DH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M72"/>
  <sheetViews>
    <sheetView showGridLines="0" view="pageBreakPreview" topLeftCell="K11" zoomScale="70" zoomScaleNormal="100" zoomScaleSheetLayoutView="70" workbookViewId="0">
      <selection activeCell="V72" sqref="V72"/>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80"/>
      <c r="B1" s="1180"/>
      <c r="C1" s="1180"/>
      <c r="D1" s="1180"/>
      <c r="E1" s="1180"/>
      <c r="F1" s="1180"/>
      <c r="G1" s="1180"/>
      <c r="H1" s="1180"/>
      <c r="I1" s="1180"/>
      <c r="J1" s="1180"/>
      <c r="K1" s="1180"/>
      <c r="L1" s="1256"/>
      <c r="M1" s="1180" t="s">
        <v>1480</v>
      </c>
      <c r="N1" s="1180" t="s">
        <v>1481</v>
      </c>
      <c r="O1" s="1180" t="s">
        <v>1483</v>
      </c>
      <c r="P1" s="1180" t="s">
        <v>1499</v>
      </c>
      <c r="Q1" s="1180" t="s">
        <v>1500</v>
      </c>
      <c r="R1" s="1180" t="s">
        <v>1749</v>
      </c>
      <c r="S1" s="1180" t="s">
        <v>1750</v>
      </c>
      <c r="T1" s="1180" t="s">
        <v>1751</v>
      </c>
      <c r="U1" s="1180" t="s">
        <v>1752</v>
      </c>
      <c r="V1" s="1180"/>
      <c r="W1" s="1180"/>
      <c r="X1" s="1180"/>
      <c r="Y1" s="1180"/>
      <c r="Z1" s="1180"/>
      <c r="AA1" s="1180"/>
      <c r="AB1" s="1180"/>
      <c r="AC1" s="1180"/>
      <c r="AD1" s="1180"/>
      <c r="AE1" s="1180"/>
      <c r="AF1" s="1180"/>
      <c r="AG1" s="1180"/>
      <c r="AH1" s="1180"/>
      <c r="AI1" s="1180"/>
      <c r="AJ1" s="1180"/>
      <c r="AK1" s="1180"/>
      <c r="AL1" s="1180"/>
      <c r="AM1" s="1180"/>
    </row>
    <row r="2" spans="1:39" hidden="1">
      <c r="A2" s="1180"/>
      <c r="B2" s="1180"/>
      <c r="C2" s="1180"/>
      <c r="D2" s="1180"/>
      <c r="E2" s="1180"/>
      <c r="F2" s="1180"/>
      <c r="G2" s="1180"/>
      <c r="H2" s="1180"/>
      <c r="I2" s="1180"/>
      <c r="J2" s="1180"/>
      <c r="K2" s="1180"/>
      <c r="L2" s="1256"/>
      <c r="M2" s="1180"/>
      <c r="N2" s="1180"/>
      <c r="O2" s="1180"/>
      <c r="P2" s="1180"/>
      <c r="Q2" s="1180"/>
      <c r="R2" s="1180"/>
      <c r="S2" s="1180"/>
      <c r="T2" s="1180"/>
      <c r="U2" s="1180"/>
      <c r="V2" s="1180"/>
      <c r="W2" s="1180"/>
      <c r="X2" s="1180"/>
      <c r="Y2" s="1180"/>
      <c r="Z2" s="1180"/>
      <c r="AA2" s="1180"/>
      <c r="AB2" s="1180"/>
      <c r="AC2" s="1180"/>
      <c r="AD2" s="1180"/>
      <c r="AE2" s="1180"/>
      <c r="AF2" s="1180"/>
      <c r="AG2" s="1180"/>
      <c r="AH2" s="1180"/>
      <c r="AI2" s="1180"/>
      <c r="AJ2" s="1180"/>
      <c r="AK2" s="1180"/>
      <c r="AL2" s="1180"/>
      <c r="AM2" s="1180"/>
    </row>
    <row r="3" spans="1:39" hidden="1">
      <c r="A3" s="1180"/>
      <c r="B3" s="1180"/>
      <c r="C3" s="1180"/>
      <c r="D3" s="1180"/>
      <c r="E3" s="1180"/>
      <c r="F3" s="1180"/>
      <c r="G3" s="1180"/>
      <c r="H3" s="1180"/>
      <c r="I3" s="1180"/>
      <c r="J3" s="1180"/>
      <c r="K3" s="1180"/>
      <c r="L3" s="1256"/>
      <c r="M3" s="1180"/>
      <c r="N3" s="1180"/>
      <c r="O3" s="1180"/>
      <c r="P3" s="1180"/>
      <c r="Q3" s="1180"/>
      <c r="R3" s="1180"/>
      <c r="S3" s="1180"/>
      <c r="T3" s="1180"/>
      <c r="U3" s="1180"/>
      <c r="V3" s="1180"/>
      <c r="W3" s="1180"/>
      <c r="X3" s="1180"/>
      <c r="Y3" s="1180"/>
      <c r="Z3" s="1180"/>
      <c r="AA3" s="1180"/>
      <c r="AB3" s="1180"/>
      <c r="AC3" s="1180"/>
      <c r="AD3" s="1180"/>
      <c r="AE3" s="1180"/>
      <c r="AF3" s="1180"/>
      <c r="AG3" s="1180"/>
      <c r="AH3" s="1180"/>
      <c r="AI3" s="1180"/>
      <c r="AJ3" s="1180"/>
      <c r="AK3" s="1180"/>
      <c r="AL3" s="1180"/>
      <c r="AM3" s="1180"/>
    </row>
    <row r="4" spans="1:39" hidden="1">
      <c r="A4" s="1180"/>
      <c r="B4" s="1180"/>
      <c r="C4" s="1180"/>
      <c r="D4" s="1180"/>
      <c r="E4" s="1180"/>
      <c r="F4" s="1180"/>
      <c r="G4" s="1180"/>
      <c r="H4" s="1180"/>
      <c r="I4" s="1180"/>
      <c r="J4" s="1180"/>
      <c r="K4" s="1180"/>
      <c r="L4" s="1256"/>
      <c r="M4" s="1180"/>
      <c r="N4" s="1180"/>
      <c r="O4" s="1180"/>
      <c r="P4" s="1180"/>
      <c r="Q4" s="1180"/>
      <c r="R4" s="1180"/>
      <c r="S4" s="1180"/>
      <c r="T4" s="1180"/>
      <c r="U4" s="1180"/>
      <c r="V4" s="1180"/>
      <c r="W4" s="1180"/>
      <c r="X4" s="1180"/>
      <c r="Y4" s="1180"/>
      <c r="Z4" s="1180"/>
      <c r="AA4" s="1180"/>
      <c r="AB4" s="1180"/>
      <c r="AC4" s="1180"/>
      <c r="AD4" s="1180"/>
      <c r="AE4" s="1180"/>
      <c r="AF4" s="1180"/>
      <c r="AG4" s="1180"/>
      <c r="AH4" s="1180"/>
      <c r="AI4" s="1180"/>
      <c r="AJ4" s="1180"/>
      <c r="AK4" s="1180"/>
      <c r="AL4" s="1180"/>
      <c r="AM4" s="1180"/>
    </row>
    <row r="5" spans="1:39" hidden="1">
      <c r="A5" s="1180"/>
      <c r="B5" s="1180"/>
      <c r="C5" s="1180"/>
      <c r="D5" s="1180"/>
      <c r="E5" s="1180"/>
      <c r="F5" s="1180"/>
      <c r="G5" s="1180"/>
      <c r="H5" s="1180"/>
      <c r="I5" s="1180"/>
      <c r="J5" s="1180"/>
      <c r="K5" s="1180"/>
      <c r="L5" s="1256"/>
      <c r="M5" s="1180"/>
      <c r="N5" s="1180"/>
      <c r="O5" s="1180"/>
      <c r="P5" s="1180"/>
      <c r="Q5" s="1180"/>
      <c r="R5" s="1180"/>
      <c r="S5" s="1180"/>
      <c r="T5" s="1180"/>
      <c r="U5" s="1180"/>
      <c r="V5" s="1180"/>
      <c r="W5" s="1180"/>
      <c r="X5" s="1180"/>
      <c r="Y5" s="1180"/>
      <c r="Z5" s="1180"/>
      <c r="AA5" s="1180"/>
      <c r="AB5" s="1180"/>
      <c r="AC5" s="1180"/>
      <c r="AD5" s="1180"/>
      <c r="AE5" s="1180"/>
      <c r="AF5" s="1180"/>
      <c r="AG5" s="1180"/>
      <c r="AH5" s="1180"/>
      <c r="AI5" s="1180"/>
      <c r="AJ5" s="1180"/>
      <c r="AK5" s="1180"/>
      <c r="AL5" s="1180"/>
      <c r="AM5" s="1180"/>
    </row>
    <row r="6" spans="1:39" hidden="1">
      <c r="A6" s="1180"/>
      <c r="B6" s="1180"/>
      <c r="C6" s="1180"/>
      <c r="D6" s="1180"/>
      <c r="E6" s="1180"/>
      <c r="F6" s="1180"/>
      <c r="G6" s="1180"/>
      <c r="H6" s="1180"/>
      <c r="I6" s="1180"/>
      <c r="J6" s="1180"/>
      <c r="K6" s="1180"/>
      <c r="L6" s="1256"/>
      <c r="M6" s="1180"/>
      <c r="N6" s="1180"/>
      <c r="O6" s="1180"/>
      <c r="P6" s="1180"/>
      <c r="Q6" s="1180"/>
      <c r="R6" s="1180"/>
      <c r="S6" s="1180"/>
      <c r="T6" s="1180"/>
      <c r="U6" s="1180"/>
      <c r="V6" s="1180"/>
      <c r="W6" s="1180"/>
      <c r="X6" s="1180"/>
      <c r="Y6" s="1180"/>
      <c r="Z6" s="1180"/>
      <c r="AA6" s="1180"/>
      <c r="AB6" s="1180"/>
      <c r="AC6" s="1180"/>
      <c r="AD6" s="1180"/>
      <c r="AE6" s="1180"/>
      <c r="AF6" s="1180"/>
      <c r="AG6" s="1180"/>
      <c r="AH6" s="1180"/>
      <c r="AI6" s="1180"/>
      <c r="AJ6" s="1180"/>
      <c r="AK6" s="1180"/>
      <c r="AL6" s="1180"/>
      <c r="AM6" s="1180"/>
    </row>
    <row r="7" spans="1:39" hidden="1">
      <c r="A7" s="1180"/>
      <c r="B7" s="1180"/>
      <c r="C7" s="1180"/>
      <c r="D7" s="1180"/>
      <c r="E7" s="1180"/>
      <c r="F7" s="1180"/>
      <c r="G7" s="1180"/>
      <c r="H7" s="1180"/>
      <c r="I7" s="1180"/>
      <c r="J7" s="1180"/>
      <c r="K7" s="1180"/>
      <c r="L7" s="1256"/>
      <c r="M7" s="1180"/>
      <c r="N7" s="1180"/>
      <c r="O7" s="1180"/>
      <c r="P7" s="1180"/>
      <c r="Q7" s="1180" t="b">
        <v>1</v>
      </c>
      <c r="R7" s="1180" t="b">
        <v>0</v>
      </c>
      <c r="S7" s="1180" t="b">
        <v>0</v>
      </c>
      <c r="T7" s="1180" t="b">
        <v>0</v>
      </c>
      <c r="U7" s="1180" t="b">
        <v>0</v>
      </c>
      <c r="V7" s="1180"/>
      <c r="W7" s="1180"/>
      <c r="X7" s="1180"/>
      <c r="Y7" s="1180"/>
      <c r="Z7" s="1180"/>
      <c r="AA7" s="1180"/>
      <c r="AB7" s="1180"/>
      <c r="AC7" s="1180"/>
      <c r="AD7" s="1180"/>
      <c r="AE7" s="1180"/>
      <c r="AF7" s="1180"/>
      <c r="AG7" s="1180"/>
      <c r="AH7" s="1180"/>
      <c r="AI7" s="1180"/>
      <c r="AJ7" s="1180"/>
      <c r="AK7" s="1180"/>
      <c r="AL7" s="1180"/>
      <c r="AM7" s="1180"/>
    </row>
    <row r="8" spans="1:39" hidden="1">
      <c r="A8" s="1180"/>
      <c r="B8" s="1180"/>
      <c r="C8" s="1180"/>
      <c r="D8" s="1180"/>
      <c r="E8" s="1180"/>
      <c r="F8" s="1180"/>
      <c r="G8" s="1180"/>
      <c r="H8" s="1180"/>
      <c r="I8" s="1180"/>
      <c r="J8" s="1180"/>
      <c r="K8" s="1180"/>
      <c r="L8" s="1256"/>
      <c r="M8" s="1180"/>
      <c r="N8" s="1180"/>
      <c r="O8" s="1180"/>
      <c r="P8" s="1180"/>
      <c r="Q8" s="1180"/>
      <c r="R8" s="1180"/>
      <c r="S8" s="1180"/>
      <c r="T8" s="1180"/>
      <c r="U8" s="1180"/>
      <c r="V8" s="1180"/>
      <c r="W8" s="1180"/>
      <c r="X8" s="1180"/>
      <c r="Y8" s="1180"/>
      <c r="Z8" s="1180"/>
      <c r="AA8" s="1180"/>
      <c r="AB8" s="1180"/>
      <c r="AC8" s="1180"/>
      <c r="AD8" s="1180"/>
      <c r="AE8" s="1180"/>
      <c r="AF8" s="1180"/>
      <c r="AG8" s="1180"/>
      <c r="AH8" s="1180"/>
      <c r="AI8" s="1180"/>
      <c r="AJ8" s="1180"/>
      <c r="AK8" s="1180"/>
      <c r="AL8" s="1180"/>
      <c r="AM8" s="1180"/>
    </row>
    <row r="9" spans="1:39" hidden="1">
      <c r="A9" s="1180"/>
      <c r="B9" s="1180"/>
      <c r="C9" s="1180"/>
      <c r="D9" s="1180"/>
      <c r="E9" s="1180"/>
      <c r="F9" s="1180"/>
      <c r="G9" s="1180"/>
      <c r="H9" s="1180"/>
      <c r="I9" s="1180"/>
      <c r="J9" s="1180"/>
      <c r="K9" s="1180"/>
      <c r="L9" s="1256"/>
      <c r="M9" s="1180"/>
      <c r="N9" s="1180"/>
      <c r="O9" s="1180"/>
      <c r="P9" s="1180"/>
      <c r="Q9" s="1180"/>
      <c r="R9" s="1180"/>
      <c r="S9" s="1180"/>
      <c r="T9" s="1180"/>
      <c r="U9" s="1180"/>
      <c r="V9" s="1180"/>
      <c r="W9" s="1180"/>
      <c r="X9" s="1180"/>
      <c r="Y9" s="1180"/>
      <c r="Z9" s="1180"/>
      <c r="AA9" s="1180"/>
      <c r="AB9" s="1180"/>
      <c r="AC9" s="1180"/>
      <c r="AD9" s="1180"/>
      <c r="AE9" s="1180"/>
      <c r="AF9" s="1180"/>
      <c r="AG9" s="1180"/>
      <c r="AH9" s="1180"/>
      <c r="AI9" s="1180"/>
      <c r="AJ9" s="1180"/>
      <c r="AK9" s="1180"/>
      <c r="AL9" s="1180"/>
      <c r="AM9" s="1180"/>
    </row>
    <row r="10" spans="1:39" hidden="1">
      <c r="A10" s="1180"/>
      <c r="B10" s="1180"/>
      <c r="C10" s="1180"/>
      <c r="D10" s="1180"/>
      <c r="E10" s="1180"/>
      <c r="F10" s="1180"/>
      <c r="G10" s="1180"/>
      <c r="H10" s="1180"/>
      <c r="I10" s="1180"/>
      <c r="J10" s="1180"/>
      <c r="K10" s="1180"/>
      <c r="L10" s="1256"/>
      <c r="M10" s="1180"/>
      <c r="N10" s="1180"/>
      <c r="O10" s="1180"/>
      <c r="P10" s="1180"/>
      <c r="Q10" s="1180"/>
      <c r="R10" s="1180"/>
      <c r="S10" s="1180"/>
      <c r="T10" s="1180"/>
      <c r="U10" s="1180"/>
      <c r="V10" s="1180"/>
      <c r="W10" s="1180"/>
      <c r="X10" s="1180"/>
      <c r="Y10" s="1180"/>
      <c r="Z10" s="1180"/>
      <c r="AA10" s="1180"/>
      <c r="AB10" s="1180"/>
      <c r="AC10" s="1180"/>
      <c r="AD10" s="1180"/>
      <c r="AE10" s="1180"/>
      <c r="AF10" s="1180"/>
      <c r="AG10" s="1180"/>
      <c r="AH10" s="1180"/>
      <c r="AI10" s="1180"/>
      <c r="AJ10" s="1180"/>
      <c r="AK10" s="1180"/>
      <c r="AL10" s="1180"/>
      <c r="AM10" s="1180"/>
    </row>
    <row r="11" spans="1:39" ht="15" hidden="1" customHeight="1">
      <c r="A11" s="1180"/>
      <c r="B11" s="1180"/>
      <c r="C11" s="1180"/>
      <c r="D11" s="1180"/>
      <c r="E11" s="1180"/>
      <c r="F11" s="1180"/>
      <c r="G11" s="1180"/>
      <c r="H11" s="1180"/>
      <c r="I11" s="1180"/>
      <c r="J11" s="1180"/>
      <c r="K11" s="1180"/>
      <c r="L11" s="1258"/>
      <c r="M11" s="1180"/>
      <c r="N11" s="1180"/>
      <c r="O11" s="1180"/>
      <c r="P11" s="1180"/>
      <c r="Q11" s="1180"/>
      <c r="R11" s="1180"/>
      <c r="S11" s="1180"/>
      <c r="T11" s="1180"/>
      <c r="U11" s="1180"/>
      <c r="V11" s="1180"/>
      <c r="W11" s="1180"/>
      <c r="X11" s="1180"/>
      <c r="Y11" s="1180"/>
      <c r="Z11" s="1180"/>
      <c r="AA11" s="1180"/>
      <c r="AB11" s="1180"/>
      <c r="AC11" s="1180"/>
      <c r="AD11" s="1180"/>
      <c r="AE11" s="1180"/>
      <c r="AF11" s="1180"/>
      <c r="AG11" s="1180"/>
      <c r="AH11" s="1180"/>
      <c r="AI11" s="1180"/>
      <c r="AJ11" s="1180"/>
      <c r="AK11" s="1180"/>
      <c r="AL11" s="1180"/>
      <c r="AM11" s="1180"/>
    </row>
    <row r="12" spans="1:39" s="296" customFormat="1" ht="24" customHeight="1">
      <c r="A12" s="1049"/>
      <c r="B12" s="1049"/>
      <c r="C12" s="1049"/>
      <c r="D12" s="1049"/>
      <c r="E12" s="1049"/>
      <c r="F12" s="1049"/>
      <c r="G12" s="1049"/>
      <c r="H12" s="1049"/>
      <c r="I12" s="1049"/>
      <c r="J12" s="1049"/>
      <c r="K12" s="1049"/>
      <c r="L12" s="436" t="s">
        <v>1343</v>
      </c>
      <c r="M12" s="273"/>
      <c r="N12" s="273"/>
      <c r="O12" s="273"/>
      <c r="P12" s="273"/>
      <c r="Q12" s="273"/>
      <c r="R12" s="273"/>
      <c r="S12" s="273"/>
      <c r="T12" s="273"/>
      <c r="U12" s="273"/>
      <c r="V12" s="1049"/>
      <c r="W12" s="1049"/>
      <c r="X12" s="1049"/>
      <c r="Y12" s="1049"/>
      <c r="Z12" s="1049"/>
      <c r="AA12" s="1049"/>
      <c r="AB12" s="1049"/>
      <c r="AC12" s="1049"/>
      <c r="AD12" s="1049"/>
      <c r="AE12" s="1049"/>
      <c r="AF12" s="1049"/>
      <c r="AG12" s="1049"/>
      <c r="AH12" s="1049"/>
      <c r="AI12" s="1049"/>
      <c r="AJ12" s="1049"/>
      <c r="AK12" s="1049"/>
      <c r="AL12" s="1049"/>
      <c r="AM12" s="1049"/>
    </row>
    <row r="13" spans="1:39">
      <c r="A13" s="1180"/>
      <c r="B13" s="1180"/>
      <c r="C13" s="1180"/>
      <c r="D13" s="1180"/>
      <c r="E13" s="1180"/>
      <c r="F13" s="1180"/>
      <c r="G13" s="1180"/>
      <c r="H13" s="1180"/>
      <c r="I13" s="1180"/>
      <c r="J13" s="1180"/>
      <c r="K13" s="1180"/>
      <c r="L13" s="1257"/>
      <c r="M13" s="1257"/>
      <c r="N13" s="1180"/>
      <c r="O13" s="1180"/>
      <c r="P13" s="1180"/>
      <c r="Q13" s="1180"/>
      <c r="R13" s="1180"/>
      <c r="S13" s="1180"/>
      <c r="T13" s="1180"/>
      <c r="U13" s="1180"/>
      <c r="V13" s="1180"/>
      <c r="W13" s="1180"/>
      <c r="X13" s="1180"/>
      <c r="Y13" s="1180"/>
      <c r="Z13" s="1180"/>
      <c r="AA13" s="1180"/>
      <c r="AB13" s="1180"/>
      <c r="AC13" s="1180"/>
      <c r="AD13" s="1180"/>
      <c r="AE13" s="1180"/>
      <c r="AF13" s="1180"/>
      <c r="AG13" s="1180"/>
      <c r="AH13" s="1180"/>
      <c r="AI13" s="1180"/>
      <c r="AJ13" s="1180"/>
      <c r="AK13" s="1180"/>
      <c r="AL13" s="1180"/>
      <c r="AM13" s="1257"/>
    </row>
    <row r="14" spans="1:39" s="630" customFormat="1" ht="20.25" customHeight="1">
      <c r="A14" s="1180"/>
      <c r="B14" s="1180"/>
      <c r="C14" s="1180"/>
      <c r="D14" s="1180"/>
      <c r="E14" s="1180"/>
      <c r="F14" s="1180"/>
      <c r="G14" s="1180"/>
      <c r="H14" s="1180"/>
      <c r="I14" s="1180"/>
      <c r="J14" s="1180"/>
      <c r="K14" s="1180"/>
      <c r="L14" s="1136" t="s">
        <v>1744</v>
      </c>
      <c r="M14" s="1136"/>
      <c r="N14" s="1136"/>
      <c r="O14" s="1136"/>
      <c r="P14" s="1137" t="s">
        <v>21</v>
      </c>
      <c r="Q14" s="1180"/>
      <c r="R14" s="1180"/>
      <c r="S14" s="1180"/>
      <c r="T14" s="1180"/>
      <c r="U14" s="1180"/>
      <c r="V14" s="1180"/>
      <c r="W14" s="1180"/>
      <c r="X14" s="1180"/>
      <c r="Y14" s="1180"/>
      <c r="Z14" s="1180"/>
      <c r="AA14" s="1180"/>
      <c r="AB14" s="1180"/>
      <c r="AC14" s="1180"/>
      <c r="AD14" s="1180"/>
      <c r="AE14" s="1180"/>
      <c r="AF14" s="1180"/>
      <c r="AG14" s="1180"/>
      <c r="AH14" s="1180"/>
      <c r="AI14" s="1180"/>
      <c r="AJ14" s="1180"/>
      <c r="AK14" s="1180"/>
      <c r="AL14" s="1180"/>
      <c r="AM14" s="1257"/>
    </row>
    <row r="15" spans="1:39" s="630" customFormat="1">
      <c r="A15" s="1180"/>
      <c r="B15" s="1180"/>
      <c r="C15" s="1180"/>
      <c r="D15" s="1180"/>
      <c r="E15" s="1180"/>
      <c r="F15" s="1180"/>
      <c r="G15" s="1180"/>
      <c r="H15" s="1180"/>
      <c r="I15" s="1180"/>
      <c r="J15" s="1180"/>
      <c r="K15" s="1180"/>
      <c r="L15" s="1257"/>
      <c r="M15" s="1257"/>
      <c r="N15" s="1180"/>
      <c r="O15" s="1180"/>
      <c r="P15" s="1180"/>
      <c r="Q15" s="1180"/>
      <c r="R15" s="1180"/>
      <c r="S15" s="1180"/>
      <c r="T15" s="1180"/>
      <c r="U15" s="1180"/>
      <c r="V15" s="1180"/>
      <c r="W15" s="1180"/>
      <c r="X15" s="1180"/>
      <c r="Y15" s="1180"/>
      <c r="Z15" s="1180"/>
      <c r="AA15" s="1180"/>
      <c r="AB15" s="1180"/>
      <c r="AC15" s="1180"/>
      <c r="AD15" s="1180"/>
      <c r="AE15" s="1180"/>
      <c r="AF15" s="1180"/>
      <c r="AG15" s="1180"/>
      <c r="AH15" s="1180"/>
      <c r="AI15" s="1180"/>
      <c r="AJ15" s="1180"/>
      <c r="AK15" s="1180"/>
      <c r="AL15" s="1180"/>
      <c r="AM15" s="1257"/>
    </row>
    <row r="16" spans="1:39" s="297" customFormat="1" ht="39" customHeight="1">
      <c r="A16" s="1257"/>
      <c r="B16" s="1257"/>
      <c r="C16" s="1257"/>
      <c r="D16" s="1257"/>
      <c r="E16" s="1257"/>
      <c r="F16" s="1257"/>
      <c r="G16" s="1257"/>
      <c r="H16" s="1257"/>
      <c r="I16" s="1257"/>
      <c r="J16" s="1257"/>
      <c r="K16" s="1257"/>
      <c r="L16" s="1301" t="s">
        <v>14</v>
      </c>
      <c r="M16" s="1302" t="s">
        <v>673</v>
      </c>
      <c r="N16" s="1302" t="s">
        <v>288</v>
      </c>
      <c r="O16" s="1302" t="s">
        <v>674</v>
      </c>
      <c r="P16" s="1302" t="s">
        <v>675</v>
      </c>
      <c r="Q16" s="1302"/>
      <c r="R16" s="1302"/>
      <c r="S16" s="1302"/>
      <c r="T16" s="1302"/>
      <c r="U16" s="1302"/>
      <c r="V16" s="1303"/>
      <c r="W16" s="1257"/>
      <c r="X16" s="1257"/>
      <c r="Y16" s="1257"/>
      <c r="Z16" s="1257"/>
      <c r="AA16" s="1257"/>
      <c r="AB16" s="1257"/>
      <c r="AC16" s="1257"/>
      <c r="AD16" s="1257"/>
      <c r="AE16" s="1257"/>
      <c r="AF16" s="1257"/>
      <c r="AG16" s="1257"/>
      <c r="AH16" s="1257"/>
      <c r="AI16" s="1257"/>
      <c r="AJ16" s="1257"/>
      <c r="AK16" s="1257"/>
      <c r="AL16" s="1257"/>
      <c r="AM16" s="1257"/>
    </row>
    <row r="17" spans="1:39" s="297" customFormat="1" ht="36" customHeight="1">
      <c r="A17" s="1257"/>
      <c r="B17" s="1257"/>
      <c r="C17" s="1257"/>
      <c r="D17" s="1257"/>
      <c r="E17" s="1257"/>
      <c r="F17" s="1257"/>
      <c r="G17" s="1257"/>
      <c r="H17" s="1257"/>
      <c r="I17" s="1257"/>
      <c r="J17" s="1257"/>
      <c r="K17" s="1257"/>
      <c r="L17" s="1304"/>
      <c r="M17" s="1302"/>
      <c r="N17" s="1302"/>
      <c r="O17" s="1302"/>
      <c r="P17" s="1305" t="s">
        <v>321</v>
      </c>
      <c r="Q17" s="1305" t="s">
        <v>676</v>
      </c>
      <c r="R17" s="1305" t="s">
        <v>1745</v>
      </c>
      <c r="S17" s="1305" t="s">
        <v>1746</v>
      </c>
      <c r="T17" s="1305" t="s">
        <v>1747</v>
      </c>
      <c r="U17" s="1305" t="s">
        <v>1748</v>
      </c>
      <c r="V17" s="1257"/>
      <c r="W17" s="1257"/>
      <c r="X17" s="1257"/>
      <c r="Y17" s="1257"/>
      <c r="Z17" s="1257"/>
      <c r="AA17" s="1257"/>
      <c r="AB17" s="1257"/>
      <c r="AC17" s="1257"/>
      <c r="AD17" s="1257"/>
      <c r="AE17" s="1257"/>
      <c r="AF17" s="1257"/>
      <c r="AG17" s="1257"/>
      <c r="AH17" s="1257"/>
      <c r="AI17" s="1257"/>
      <c r="AJ17" s="1257"/>
      <c r="AK17" s="1257"/>
      <c r="AL17" s="1257"/>
      <c r="AM17" s="1257"/>
    </row>
    <row r="18" spans="1:39" s="298" customFormat="1">
      <c r="A18" s="1306"/>
      <c r="B18" s="1306"/>
      <c r="C18" s="1306"/>
      <c r="D18" s="1306"/>
      <c r="E18" s="1306"/>
      <c r="F18" s="1306"/>
      <c r="G18" s="1306"/>
      <c r="H18" s="1306"/>
      <c r="I18" s="1306"/>
      <c r="J18" s="1306"/>
      <c r="K18" s="1306"/>
      <c r="L18" s="1307"/>
      <c r="M18" s="1305" t="s">
        <v>351</v>
      </c>
      <c r="N18" s="1305" t="s">
        <v>137</v>
      </c>
      <c r="O18" s="1143" t="s">
        <v>137</v>
      </c>
      <c r="P18" s="1305" t="s">
        <v>137</v>
      </c>
      <c r="Q18" s="1305" t="s">
        <v>677</v>
      </c>
      <c r="R18" s="1305" t="s">
        <v>677</v>
      </c>
      <c r="S18" s="1305" t="s">
        <v>677</v>
      </c>
      <c r="T18" s="1305" t="s">
        <v>677</v>
      </c>
      <c r="U18" s="1305" t="s">
        <v>677</v>
      </c>
      <c r="V18" s="1306"/>
      <c r="W18" s="1306"/>
      <c r="X18" s="1306"/>
      <c r="Y18" s="1306"/>
      <c r="Z18" s="1306"/>
      <c r="AA18" s="1306"/>
      <c r="AB18" s="1306"/>
      <c r="AC18" s="1306"/>
      <c r="AD18" s="1306"/>
      <c r="AE18" s="1306"/>
      <c r="AF18" s="1306"/>
      <c r="AG18" s="1306"/>
      <c r="AH18" s="1306"/>
      <c r="AI18" s="1306"/>
      <c r="AJ18" s="1306"/>
      <c r="AK18" s="1306"/>
      <c r="AL18" s="1306"/>
      <c r="AM18" s="1306"/>
    </row>
    <row r="19" spans="1:39" s="101" customFormat="1">
      <c r="A19" s="944" t="s">
        <v>18</v>
      </c>
      <c r="B19" s="1133"/>
      <c r="C19" s="1133"/>
      <c r="D19" s="1133"/>
      <c r="E19" s="1133"/>
      <c r="F19" s="1133"/>
      <c r="G19" s="1133"/>
      <c r="H19" s="1133"/>
      <c r="I19" s="1133"/>
      <c r="J19" s="1133"/>
      <c r="K19" s="1133"/>
      <c r="L19" s="1061" t="s">
        <v>3018</v>
      </c>
      <c r="M19" s="1150"/>
      <c r="N19" s="1150"/>
      <c r="O19" s="1150"/>
      <c r="P19" s="1150"/>
      <c r="Q19" s="1150"/>
      <c r="R19" s="1150"/>
      <c r="S19" s="1150"/>
      <c r="T19" s="1150"/>
      <c r="U19" s="1150"/>
      <c r="V19" s="1308"/>
      <c r="W19" s="1133"/>
      <c r="X19" s="1133"/>
      <c r="Y19" s="1133"/>
      <c r="Z19" s="1133"/>
      <c r="AA19" s="1133"/>
      <c r="AB19" s="1133"/>
      <c r="AC19" s="1133"/>
      <c r="AD19" s="1133"/>
      <c r="AE19" s="1133"/>
      <c r="AF19" s="1133"/>
      <c r="AG19" s="1133"/>
      <c r="AH19" s="1133"/>
      <c r="AI19" s="1133"/>
      <c r="AJ19" s="1133"/>
      <c r="AK19" s="1133"/>
      <c r="AL19" s="1133"/>
      <c r="AM19" s="1133"/>
    </row>
    <row r="20" spans="1:39" s="104" customFormat="1">
      <c r="A20" s="1098">
        <v>1</v>
      </c>
      <c r="B20" s="1098"/>
      <c r="C20" s="1098"/>
      <c r="D20" s="1098"/>
      <c r="E20" s="1098"/>
      <c r="F20" s="1098">
        <v>2024</v>
      </c>
      <c r="G20" s="1098" t="b">
        <v>1</v>
      </c>
      <c r="H20" s="1098"/>
      <c r="I20" s="1098"/>
      <c r="J20" s="1098"/>
      <c r="K20" s="1098"/>
      <c r="L20" s="1309" t="s">
        <v>3022</v>
      </c>
      <c r="M20" s="1310">
        <v>931.37840000000006</v>
      </c>
      <c r="N20" s="1311">
        <v>1</v>
      </c>
      <c r="O20" s="1310"/>
      <c r="P20" s="1310">
        <v>0</v>
      </c>
      <c r="Q20" s="1311">
        <v>1.4750000000000001</v>
      </c>
      <c r="R20" s="1311">
        <v>1.4750000000000001</v>
      </c>
      <c r="S20" s="1311">
        <v>1.4750000000000001</v>
      </c>
      <c r="T20" s="537"/>
      <c r="U20" s="657"/>
      <c r="V20" s="1312"/>
      <c r="W20" s="1098"/>
      <c r="X20" s="1098"/>
      <c r="Y20" s="1098"/>
      <c r="Z20" s="1098"/>
      <c r="AA20" s="1098"/>
      <c r="AB20" s="1098"/>
      <c r="AC20" s="1098"/>
      <c r="AD20" s="1098"/>
      <c r="AE20" s="1098"/>
      <c r="AF20" s="1098"/>
      <c r="AG20" s="1098"/>
      <c r="AH20" s="1098"/>
      <c r="AI20" s="1098"/>
      <c r="AJ20" s="1098"/>
      <c r="AK20" s="1098"/>
      <c r="AL20" s="1098"/>
      <c r="AM20" s="1098"/>
    </row>
    <row r="21" spans="1:39" s="104" customFormat="1">
      <c r="A21" s="1098">
        <v>1</v>
      </c>
      <c r="B21" s="1098"/>
      <c r="C21" s="1098"/>
      <c r="D21" s="1098"/>
      <c r="E21" s="1098"/>
      <c r="F21" s="1098">
        <v>2025</v>
      </c>
      <c r="G21" s="1098" t="b">
        <v>1</v>
      </c>
      <c r="H21" s="1098"/>
      <c r="I21" s="1098"/>
      <c r="J21" s="1098"/>
      <c r="K21" s="1098"/>
      <c r="L21" s="1309" t="s">
        <v>3060</v>
      </c>
      <c r="M21" s="666"/>
      <c r="N21" s="1311">
        <v>0</v>
      </c>
      <c r="O21" s="1310"/>
      <c r="P21" s="1310">
        <v>0</v>
      </c>
      <c r="Q21" s="1311">
        <v>1.4750000000000001</v>
      </c>
      <c r="R21" s="1311">
        <v>1.4750000000000001</v>
      </c>
      <c r="S21" s="1311">
        <v>1.4750000000000001</v>
      </c>
      <c r="T21" s="537"/>
      <c r="U21" s="657"/>
      <c r="V21" s="1312"/>
      <c r="W21" s="1098"/>
      <c r="X21" s="1098"/>
      <c r="Y21" s="1098"/>
      <c r="Z21" s="1098"/>
      <c r="AA21" s="1098"/>
      <c r="AB21" s="1098"/>
      <c r="AC21" s="1098"/>
      <c r="AD21" s="1098"/>
      <c r="AE21" s="1098"/>
      <c r="AF21" s="1098"/>
      <c r="AG21" s="1098"/>
      <c r="AH21" s="1098"/>
      <c r="AI21" s="1098"/>
      <c r="AJ21" s="1098"/>
      <c r="AK21" s="1098"/>
      <c r="AL21" s="1098"/>
      <c r="AM21" s="1098"/>
    </row>
    <row r="22" spans="1:39" s="104" customFormat="1">
      <c r="A22" s="1098">
        <v>1</v>
      </c>
      <c r="B22" s="1098"/>
      <c r="C22" s="1098"/>
      <c r="D22" s="1098"/>
      <c r="E22" s="1098"/>
      <c r="F22" s="1098">
        <v>2026</v>
      </c>
      <c r="G22" s="1098" t="b">
        <v>1</v>
      </c>
      <c r="H22" s="1098"/>
      <c r="I22" s="1098"/>
      <c r="J22" s="1098"/>
      <c r="K22" s="1098"/>
      <c r="L22" s="1309" t="s">
        <v>3061</v>
      </c>
      <c r="M22" s="666"/>
      <c r="N22" s="1311">
        <v>0</v>
      </c>
      <c r="O22" s="1310"/>
      <c r="P22" s="1310">
        <v>0</v>
      </c>
      <c r="Q22" s="1311">
        <v>1.4750000000000001</v>
      </c>
      <c r="R22" s="1311">
        <v>1.4750000000000001</v>
      </c>
      <c r="S22" s="1311">
        <v>1.4750000000000001</v>
      </c>
      <c r="T22" s="537"/>
      <c r="U22" s="657"/>
      <c r="V22" s="1312"/>
      <c r="W22" s="1098"/>
      <c r="X22" s="1098"/>
      <c r="Y22" s="1098"/>
      <c r="Z22" s="1098"/>
      <c r="AA22" s="1098"/>
      <c r="AB22" s="1098"/>
      <c r="AC22" s="1098"/>
      <c r="AD22" s="1098"/>
      <c r="AE22" s="1098"/>
      <c r="AF22" s="1098"/>
      <c r="AG22" s="1098"/>
      <c r="AH22" s="1098"/>
      <c r="AI22" s="1098"/>
      <c r="AJ22" s="1098"/>
      <c r="AK22" s="1098"/>
      <c r="AL22" s="1098"/>
      <c r="AM22" s="1098"/>
    </row>
    <row r="23" spans="1:39" s="104" customFormat="1">
      <c r="A23" s="1098">
        <v>1</v>
      </c>
      <c r="B23" s="1098"/>
      <c r="C23" s="1098"/>
      <c r="D23" s="1098"/>
      <c r="E23" s="1098"/>
      <c r="F23" s="1098">
        <v>2027</v>
      </c>
      <c r="G23" s="1098" t="b">
        <v>1</v>
      </c>
      <c r="H23" s="1098"/>
      <c r="I23" s="1098"/>
      <c r="J23" s="1098"/>
      <c r="K23" s="1098"/>
      <c r="L23" s="1309" t="s">
        <v>3062</v>
      </c>
      <c r="M23" s="666"/>
      <c r="N23" s="1311">
        <v>0</v>
      </c>
      <c r="O23" s="1310"/>
      <c r="P23" s="1310">
        <v>0</v>
      </c>
      <c r="Q23" s="1311">
        <v>1.4750000000000001</v>
      </c>
      <c r="R23" s="1311">
        <v>1.4750000000000001</v>
      </c>
      <c r="S23" s="1311">
        <v>1.4750000000000001</v>
      </c>
      <c r="T23" s="537"/>
      <c r="U23" s="657"/>
      <c r="V23" s="1312"/>
      <c r="W23" s="1098"/>
      <c r="X23" s="1098"/>
      <c r="Y23" s="1098"/>
      <c r="Z23" s="1098"/>
      <c r="AA23" s="1098"/>
      <c r="AB23" s="1098"/>
      <c r="AC23" s="1098"/>
      <c r="AD23" s="1098"/>
      <c r="AE23" s="1098"/>
      <c r="AF23" s="1098"/>
      <c r="AG23" s="1098"/>
      <c r="AH23" s="1098"/>
      <c r="AI23" s="1098"/>
      <c r="AJ23" s="1098"/>
      <c r="AK23" s="1098"/>
      <c r="AL23" s="1098"/>
      <c r="AM23" s="1098"/>
    </row>
    <row r="24" spans="1:39" s="104" customFormat="1">
      <c r="A24" s="1098">
        <v>1</v>
      </c>
      <c r="B24" s="1098"/>
      <c r="C24" s="1098"/>
      <c r="D24" s="1098"/>
      <c r="E24" s="1098"/>
      <c r="F24" s="1098">
        <v>2028</v>
      </c>
      <c r="G24" s="1098" t="b">
        <v>1</v>
      </c>
      <c r="H24" s="1098"/>
      <c r="I24" s="1098"/>
      <c r="J24" s="1098"/>
      <c r="K24" s="1098"/>
      <c r="L24" s="1309" t="s">
        <v>3063</v>
      </c>
      <c r="M24" s="666"/>
      <c r="N24" s="1311">
        <v>0</v>
      </c>
      <c r="O24" s="1310"/>
      <c r="P24" s="1310">
        <v>0</v>
      </c>
      <c r="Q24" s="1311">
        <v>1.4750000000000001</v>
      </c>
      <c r="R24" s="1311">
        <v>1.4750000000000001</v>
      </c>
      <c r="S24" s="1311">
        <v>1.4750000000000001</v>
      </c>
      <c r="T24" s="537"/>
      <c r="U24" s="657"/>
      <c r="V24" s="1312"/>
      <c r="W24" s="1098"/>
      <c r="X24" s="1098"/>
      <c r="Y24" s="1098"/>
      <c r="Z24" s="1098"/>
      <c r="AA24" s="1098"/>
      <c r="AB24" s="1098"/>
      <c r="AC24" s="1098"/>
      <c r="AD24" s="1098"/>
      <c r="AE24" s="1098"/>
      <c r="AF24" s="1098"/>
      <c r="AG24" s="1098"/>
      <c r="AH24" s="1098"/>
      <c r="AI24" s="1098"/>
      <c r="AJ24" s="1098"/>
      <c r="AK24" s="1098"/>
      <c r="AL24" s="1098"/>
      <c r="AM24" s="1098"/>
    </row>
    <row r="25" spans="1:39" s="104" customFormat="1" ht="0.2" customHeight="1">
      <c r="A25" s="1098">
        <v>1</v>
      </c>
      <c r="B25" s="1098"/>
      <c r="C25" s="1098"/>
      <c r="D25" s="1098"/>
      <c r="E25" s="1098"/>
      <c r="F25" s="1098">
        <v>2029</v>
      </c>
      <c r="G25" s="1098" t="b">
        <v>0</v>
      </c>
      <c r="H25" s="1098"/>
      <c r="I25" s="1098"/>
      <c r="J25" s="1098"/>
      <c r="K25" s="1098"/>
      <c r="L25" s="1309" t="s">
        <v>3064</v>
      </c>
      <c r="M25" s="666"/>
      <c r="N25" s="1311">
        <v>0</v>
      </c>
      <c r="O25" s="1310"/>
      <c r="P25" s="1310">
        <v>0</v>
      </c>
      <c r="Q25" s="1311">
        <v>0</v>
      </c>
      <c r="R25" s="1311">
        <v>0</v>
      </c>
      <c r="S25" s="1311">
        <v>0</v>
      </c>
      <c r="T25" s="537"/>
      <c r="U25" s="657"/>
      <c r="V25" s="1312"/>
      <c r="W25" s="1098"/>
      <c r="X25" s="1098"/>
      <c r="Y25" s="1098"/>
      <c r="Z25" s="1098"/>
      <c r="AA25" s="1098"/>
      <c r="AB25" s="1098"/>
      <c r="AC25" s="1098"/>
      <c r="AD25" s="1098"/>
      <c r="AE25" s="1098"/>
      <c r="AF25" s="1098"/>
      <c r="AG25" s="1098"/>
      <c r="AH25" s="1098"/>
      <c r="AI25" s="1098"/>
      <c r="AJ25" s="1098"/>
      <c r="AK25" s="1098"/>
      <c r="AL25" s="1098"/>
      <c r="AM25" s="1098"/>
    </row>
    <row r="26" spans="1:39" s="104" customFormat="1" ht="0.2" customHeight="1">
      <c r="A26" s="1098">
        <v>1</v>
      </c>
      <c r="B26" s="1098"/>
      <c r="C26" s="1098"/>
      <c r="D26" s="1098"/>
      <c r="E26" s="1098"/>
      <c r="F26" s="1098">
        <v>2030</v>
      </c>
      <c r="G26" s="1098" t="b">
        <v>0</v>
      </c>
      <c r="H26" s="1098"/>
      <c r="I26" s="1098"/>
      <c r="J26" s="1098"/>
      <c r="K26" s="1098"/>
      <c r="L26" s="1309" t="s">
        <v>3065</v>
      </c>
      <c r="M26" s="666"/>
      <c r="N26" s="1311">
        <v>0</v>
      </c>
      <c r="O26" s="1310"/>
      <c r="P26" s="1310">
        <v>0</v>
      </c>
      <c r="Q26" s="1311">
        <v>0</v>
      </c>
      <c r="R26" s="1311">
        <v>0</v>
      </c>
      <c r="S26" s="1311">
        <v>0</v>
      </c>
      <c r="T26" s="537"/>
      <c r="U26" s="657"/>
      <c r="V26" s="1312"/>
      <c r="W26" s="1098"/>
      <c r="X26" s="1098"/>
      <c r="Y26" s="1098"/>
      <c r="Z26" s="1098"/>
      <c r="AA26" s="1098"/>
      <c r="AB26" s="1098"/>
      <c r="AC26" s="1098"/>
      <c r="AD26" s="1098"/>
      <c r="AE26" s="1098"/>
      <c r="AF26" s="1098"/>
      <c r="AG26" s="1098"/>
      <c r="AH26" s="1098"/>
      <c r="AI26" s="1098"/>
      <c r="AJ26" s="1098"/>
      <c r="AK26" s="1098"/>
      <c r="AL26" s="1098"/>
      <c r="AM26" s="1098"/>
    </row>
    <row r="27" spans="1:39" s="104" customFormat="1" ht="0.2" customHeight="1">
      <c r="A27" s="1098">
        <v>1</v>
      </c>
      <c r="B27" s="1098"/>
      <c r="C27" s="1098"/>
      <c r="D27" s="1098"/>
      <c r="E27" s="1098"/>
      <c r="F27" s="1098">
        <v>2031</v>
      </c>
      <c r="G27" s="1098" t="b">
        <v>0</v>
      </c>
      <c r="H27" s="1098"/>
      <c r="I27" s="1098"/>
      <c r="J27" s="1098"/>
      <c r="K27" s="1098"/>
      <c r="L27" s="1309" t="s">
        <v>3066</v>
      </c>
      <c r="M27" s="666"/>
      <c r="N27" s="1311">
        <v>0</v>
      </c>
      <c r="O27" s="1310"/>
      <c r="P27" s="1310">
        <v>0</v>
      </c>
      <c r="Q27" s="1311">
        <v>0</v>
      </c>
      <c r="R27" s="1311">
        <v>0</v>
      </c>
      <c r="S27" s="1311">
        <v>0</v>
      </c>
      <c r="T27" s="537"/>
      <c r="U27" s="657"/>
      <c r="V27" s="1312"/>
      <c r="W27" s="1098"/>
      <c r="X27" s="1098"/>
      <c r="Y27" s="1098"/>
      <c r="Z27" s="1098"/>
      <c r="AA27" s="1098"/>
      <c r="AB27" s="1098"/>
      <c r="AC27" s="1098"/>
      <c r="AD27" s="1098"/>
      <c r="AE27" s="1098"/>
      <c r="AF27" s="1098"/>
      <c r="AG27" s="1098"/>
      <c r="AH27" s="1098"/>
      <c r="AI27" s="1098"/>
      <c r="AJ27" s="1098"/>
      <c r="AK27" s="1098"/>
      <c r="AL27" s="1098"/>
      <c r="AM27" s="1098"/>
    </row>
    <row r="28" spans="1:39" s="104" customFormat="1" ht="0.2" customHeight="1">
      <c r="A28" s="1098">
        <v>1</v>
      </c>
      <c r="B28" s="1098"/>
      <c r="C28" s="1098"/>
      <c r="D28" s="1098"/>
      <c r="E28" s="1098"/>
      <c r="F28" s="1098">
        <v>2032</v>
      </c>
      <c r="G28" s="1098" t="b">
        <v>0</v>
      </c>
      <c r="H28" s="1098"/>
      <c r="I28" s="1098"/>
      <c r="J28" s="1098"/>
      <c r="K28" s="1098"/>
      <c r="L28" s="1309" t="s">
        <v>3067</v>
      </c>
      <c r="M28" s="666"/>
      <c r="N28" s="1311">
        <v>0</v>
      </c>
      <c r="O28" s="1310"/>
      <c r="P28" s="1310">
        <v>0</v>
      </c>
      <c r="Q28" s="1311">
        <v>0</v>
      </c>
      <c r="R28" s="1311">
        <v>0</v>
      </c>
      <c r="S28" s="1311">
        <v>0</v>
      </c>
      <c r="T28" s="537"/>
      <c r="U28" s="657"/>
      <c r="V28" s="1312"/>
      <c r="W28" s="1098"/>
      <c r="X28" s="1098"/>
      <c r="Y28" s="1098"/>
      <c r="Z28" s="1098"/>
      <c r="AA28" s="1098"/>
      <c r="AB28" s="1098"/>
      <c r="AC28" s="1098"/>
      <c r="AD28" s="1098"/>
      <c r="AE28" s="1098"/>
      <c r="AF28" s="1098"/>
      <c r="AG28" s="1098"/>
      <c r="AH28" s="1098"/>
      <c r="AI28" s="1098"/>
      <c r="AJ28" s="1098"/>
      <c r="AK28" s="1098"/>
      <c r="AL28" s="1098"/>
      <c r="AM28" s="1098"/>
    </row>
    <row r="29" spans="1:39" s="104" customFormat="1" ht="0.2" customHeight="1">
      <c r="A29" s="1098">
        <v>1</v>
      </c>
      <c r="B29" s="1098"/>
      <c r="C29" s="1098"/>
      <c r="D29" s="1098"/>
      <c r="E29" s="1098"/>
      <c r="F29" s="1098">
        <v>2033</v>
      </c>
      <c r="G29" s="1098" t="b">
        <v>0</v>
      </c>
      <c r="H29" s="1098"/>
      <c r="I29" s="1098"/>
      <c r="J29" s="1098"/>
      <c r="K29" s="1098"/>
      <c r="L29" s="1309" t="s">
        <v>3068</v>
      </c>
      <c r="M29" s="666"/>
      <c r="N29" s="1311">
        <v>0</v>
      </c>
      <c r="O29" s="1310"/>
      <c r="P29" s="1310">
        <v>0</v>
      </c>
      <c r="Q29" s="1311">
        <v>0</v>
      </c>
      <c r="R29" s="1311">
        <v>0</v>
      </c>
      <c r="S29" s="1311">
        <v>0</v>
      </c>
      <c r="T29" s="537"/>
      <c r="U29" s="657"/>
      <c r="V29" s="1312"/>
      <c r="W29" s="1098"/>
      <c r="X29" s="1098"/>
      <c r="Y29" s="1098"/>
      <c r="Z29" s="1098"/>
      <c r="AA29" s="1098"/>
      <c r="AB29" s="1098"/>
      <c r="AC29" s="1098"/>
      <c r="AD29" s="1098"/>
      <c r="AE29" s="1098"/>
      <c r="AF29" s="1098"/>
      <c r="AG29" s="1098"/>
      <c r="AH29" s="1098"/>
      <c r="AI29" s="1098"/>
      <c r="AJ29" s="1098"/>
      <c r="AK29" s="1098"/>
      <c r="AL29" s="1098"/>
      <c r="AM29" s="1098"/>
    </row>
    <row r="30" spans="1:39" s="104" customFormat="1" ht="0.2" customHeight="1">
      <c r="A30" s="1098">
        <v>1</v>
      </c>
      <c r="B30" s="1098"/>
      <c r="C30" s="1098"/>
      <c r="D30" s="1098"/>
      <c r="E30" s="1098"/>
      <c r="F30" s="1098">
        <v>2034</v>
      </c>
      <c r="G30" s="1098" t="b">
        <v>0</v>
      </c>
      <c r="H30" s="1098"/>
      <c r="I30" s="1098"/>
      <c r="J30" s="1098"/>
      <c r="K30" s="1098"/>
      <c r="L30" s="1309" t="s">
        <v>3219</v>
      </c>
      <c r="M30" s="666"/>
      <c r="N30" s="1311"/>
      <c r="O30" s="1310"/>
      <c r="P30" s="1310"/>
      <c r="Q30" s="1311"/>
      <c r="R30" s="1311"/>
      <c r="S30" s="1311"/>
      <c r="T30" s="537"/>
      <c r="U30" s="657"/>
      <c r="V30" s="1312"/>
      <c r="W30" s="1098"/>
      <c r="X30" s="1098"/>
      <c r="Y30" s="1098"/>
      <c r="Z30" s="1098"/>
      <c r="AA30" s="1098"/>
      <c r="AB30" s="1098"/>
      <c r="AC30" s="1098"/>
      <c r="AD30" s="1098"/>
      <c r="AE30" s="1098"/>
      <c r="AF30" s="1098"/>
      <c r="AG30" s="1098"/>
      <c r="AH30" s="1098"/>
      <c r="AI30" s="1098"/>
      <c r="AJ30" s="1098"/>
      <c r="AK30" s="1098"/>
      <c r="AL30" s="1098"/>
      <c r="AM30" s="1098"/>
    </row>
    <row r="31" spans="1:39" s="104" customFormat="1" ht="0.2" customHeight="1">
      <c r="A31" s="1098">
        <v>1</v>
      </c>
      <c r="B31" s="1098"/>
      <c r="C31" s="1098"/>
      <c r="D31" s="1098"/>
      <c r="E31" s="1098"/>
      <c r="F31" s="1098">
        <v>2035</v>
      </c>
      <c r="G31" s="1098" t="b">
        <v>0</v>
      </c>
      <c r="H31" s="1098"/>
      <c r="I31" s="1098"/>
      <c r="J31" s="1098"/>
      <c r="K31" s="1098"/>
      <c r="L31" s="1309" t="s">
        <v>3220</v>
      </c>
      <c r="M31" s="666"/>
      <c r="N31" s="1311"/>
      <c r="O31" s="1310"/>
      <c r="P31" s="1310"/>
      <c r="Q31" s="1311"/>
      <c r="R31" s="1311"/>
      <c r="S31" s="1311"/>
      <c r="T31" s="537"/>
      <c r="U31" s="657"/>
      <c r="V31" s="1312"/>
      <c r="W31" s="1098"/>
      <c r="X31" s="1098"/>
      <c r="Y31" s="1098"/>
      <c r="Z31" s="1098"/>
      <c r="AA31" s="1098"/>
      <c r="AB31" s="1098"/>
      <c r="AC31" s="1098"/>
      <c r="AD31" s="1098"/>
      <c r="AE31" s="1098"/>
      <c r="AF31" s="1098"/>
      <c r="AG31" s="1098"/>
      <c r="AH31" s="1098"/>
      <c r="AI31" s="1098"/>
      <c r="AJ31" s="1098"/>
      <c r="AK31" s="1098"/>
      <c r="AL31" s="1098"/>
      <c r="AM31" s="1098"/>
    </row>
    <row r="32" spans="1:39" s="104" customFormat="1" ht="0.2" customHeight="1">
      <c r="A32" s="1098">
        <v>1</v>
      </c>
      <c r="B32" s="1098"/>
      <c r="C32" s="1098"/>
      <c r="D32" s="1098"/>
      <c r="E32" s="1098"/>
      <c r="F32" s="1098">
        <v>2036</v>
      </c>
      <c r="G32" s="1098" t="b">
        <v>0</v>
      </c>
      <c r="H32" s="1098"/>
      <c r="I32" s="1098"/>
      <c r="J32" s="1098"/>
      <c r="K32" s="1098"/>
      <c r="L32" s="1309" t="s">
        <v>3221</v>
      </c>
      <c r="M32" s="666"/>
      <c r="N32" s="1311"/>
      <c r="O32" s="1310"/>
      <c r="P32" s="1310"/>
      <c r="Q32" s="1311"/>
      <c r="R32" s="1311"/>
      <c r="S32" s="1311"/>
      <c r="T32" s="537"/>
      <c r="U32" s="657"/>
      <c r="V32" s="1312"/>
      <c r="W32" s="1098"/>
      <c r="X32" s="1098"/>
      <c r="Y32" s="1098"/>
      <c r="Z32" s="1098"/>
      <c r="AA32" s="1098"/>
      <c r="AB32" s="1098"/>
      <c r="AC32" s="1098"/>
      <c r="AD32" s="1098"/>
      <c r="AE32" s="1098"/>
      <c r="AF32" s="1098"/>
      <c r="AG32" s="1098"/>
      <c r="AH32" s="1098"/>
      <c r="AI32" s="1098"/>
      <c r="AJ32" s="1098"/>
      <c r="AK32" s="1098"/>
      <c r="AL32" s="1098"/>
      <c r="AM32" s="1098"/>
    </row>
    <row r="33" spans="1:39" s="104" customFormat="1" ht="0.2" customHeight="1">
      <c r="A33" s="1098">
        <v>1</v>
      </c>
      <c r="B33" s="1098"/>
      <c r="C33" s="1098"/>
      <c r="D33" s="1098"/>
      <c r="E33" s="1098"/>
      <c r="F33" s="1098">
        <v>2037</v>
      </c>
      <c r="G33" s="1098" t="b">
        <v>0</v>
      </c>
      <c r="H33" s="1098"/>
      <c r="I33" s="1098"/>
      <c r="J33" s="1098"/>
      <c r="K33" s="1098"/>
      <c r="L33" s="1309" t="s">
        <v>3222</v>
      </c>
      <c r="M33" s="666"/>
      <c r="N33" s="1311"/>
      <c r="O33" s="1310"/>
      <c r="P33" s="1310"/>
      <c r="Q33" s="1311"/>
      <c r="R33" s="1311"/>
      <c r="S33" s="1311"/>
      <c r="T33" s="537"/>
      <c r="U33" s="657"/>
      <c r="V33" s="1312"/>
      <c r="W33" s="1098"/>
      <c r="X33" s="1098"/>
      <c r="Y33" s="1098"/>
      <c r="Z33" s="1098"/>
      <c r="AA33" s="1098"/>
      <c r="AB33" s="1098"/>
      <c r="AC33" s="1098"/>
      <c r="AD33" s="1098"/>
      <c r="AE33" s="1098"/>
      <c r="AF33" s="1098"/>
      <c r="AG33" s="1098"/>
      <c r="AH33" s="1098"/>
      <c r="AI33" s="1098"/>
      <c r="AJ33" s="1098"/>
      <c r="AK33" s="1098"/>
      <c r="AL33" s="1098"/>
      <c r="AM33" s="1098"/>
    </row>
    <row r="34" spans="1:39" s="104" customFormat="1" ht="0.2" customHeight="1">
      <c r="A34" s="1098">
        <v>1</v>
      </c>
      <c r="B34" s="1098"/>
      <c r="C34" s="1098"/>
      <c r="D34" s="1098"/>
      <c r="E34" s="1098"/>
      <c r="F34" s="1098">
        <v>2038</v>
      </c>
      <c r="G34" s="1098" t="b">
        <v>0</v>
      </c>
      <c r="H34" s="1098"/>
      <c r="I34" s="1098"/>
      <c r="J34" s="1098"/>
      <c r="K34" s="1098"/>
      <c r="L34" s="1309" t="s">
        <v>3223</v>
      </c>
      <c r="M34" s="666"/>
      <c r="N34" s="1311"/>
      <c r="O34" s="1310"/>
      <c r="P34" s="1310"/>
      <c r="Q34" s="1311"/>
      <c r="R34" s="1311"/>
      <c r="S34" s="1311"/>
      <c r="T34" s="537"/>
      <c r="U34" s="657"/>
      <c r="V34" s="1312"/>
      <c r="W34" s="1098"/>
      <c r="X34" s="1098"/>
      <c r="Y34" s="1098"/>
      <c r="Z34" s="1098"/>
      <c r="AA34" s="1098"/>
      <c r="AB34" s="1098"/>
      <c r="AC34" s="1098"/>
      <c r="AD34" s="1098"/>
      <c r="AE34" s="1098"/>
      <c r="AF34" s="1098"/>
      <c r="AG34" s="1098"/>
      <c r="AH34" s="1098"/>
      <c r="AI34" s="1098"/>
      <c r="AJ34" s="1098"/>
      <c r="AK34" s="1098"/>
      <c r="AL34" s="1098"/>
      <c r="AM34" s="1098"/>
    </row>
    <row r="35" spans="1:39" s="104" customFormat="1" ht="0.2" customHeight="1">
      <c r="A35" s="1098">
        <v>1</v>
      </c>
      <c r="B35" s="1098"/>
      <c r="C35" s="1098"/>
      <c r="D35" s="1098"/>
      <c r="E35" s="1098"/>
      <c r="F35" s="1098">
        <v>2039</v>
      </c>
      <c r="G35" s="1098" t="b">
        <v>0</v>
      </c>
      <c r="H35" s="1098"/>
      <c r="I35" s="1098"/>
      <c r="J35" s="1098"/>
      <c r="K35" s="1098"/>
      <c r="L35" s="1309" t="s">
        <v>3224</v>
      </c>
      <c r="M35" s="666"/>
      <c r="N35" s="1311"/>
      <c r="O35" s="1310"/>
      <c r="P35" s="1310"/>
      <c r="Q35" s="1311"/>
      <c r="R35" s="1311"/>
      <c r="S35" s="1311"/>
      <c r="T35" s="537"/>
      <c r="U35" s="657"/>
      <c r="V35" s="1312"/>
      <c r="W35" s="1098"/>
      <c r="X35" s="1098"/>
      <c r="Y35" s="1098"/>
      <c r="Z35" s="1098"/>
      <c r="AA35" s="1098"/>
      <c r="AB35" s="1098"/>
      <c r="AC35" s="1098"/>
      <c r="AD35" s="1098"/>
      <c r="AE35" s="1098"/>
      <c r="AF35" s="1098"/>
      <c r="AG35" s="1098"/>
      <c r="AH35" s="1098"/>
      <c r="AI35" s="1098"/>
      <c r="AJ35" s="1098"/>
      <c r="AK35" s="1098"/>
      <c r="AL35" s="1098"/>
      <c r="AM35" s="1098"/>
    </row>
    <row r="36" spans="1:39" s="104" customFormat="1" ht="0.2" customHeight="1">
      <c r="A36" s="1098">
        <v>1</v>
      </c>
      <c r="B36" s="1098"/>
      <c r="C36" s="1098"/>
      <c r="D36" s="1098"/>
      <c r="E36" s="1098"/>
      <c r="F36" s="1098">
        <v>2040</v>
      </c>
      <c r="G36" s="1098" t="b">
        <v>0</v>
      </c>
      <c r="H36" s="1098"/>
      <c r="I36" s="1098"/>
      <c r="J36" s="1098"/>
      <c r="K36" s="1098"/>
      <c r="L36" s="1309" t="s">
        <v>3225</v>
      </c>
      <c r="M36" s="666"/>
      <c r="N36" s="1311"/>
      <c r="O36" s="1310"/>
      <c r="P36" s="1310"/>
      <c r="Q36" s="1311"/>
      <c r="R36" s="1311"/>
      <c r="S36" s="1311"/>
      <c r="T36" s="537"/>
      <c r="U36" s="657"/>
      <c r="V36" s="1312"/>
      <c r="W36" s="1098"/>
      <c r="X36" s="1098"/>
      <c r="Y36" s="1098"/>
      <c r="Z36" s="1098"/>
      <c r="AA36" s="1098"/>
      <c r="AB36" s="1098"/>
      <c r="AC36" s="1098"/>
      <c r="AD36" s="1098"/>
      <c r="AE36" s="1098"/>
      <c r="AF36" s="1098"/>
      <c r="AG36" s="1098"/>
      <c r="AH36" s="1098"/>
      <c r="AI36" s="1098"/>
      <c r="AJ36" s="1098"/>
      <c r="AK36" s="1098"/>
      <c r="AL36" s="1098"/>
      <c r="AM36" s="1098"/>
    </row>
    <row r="37" spans="1:39" s="104" customFormat="1" ht="0.2" customHeight="1">
      <c r="A37" s="1098">
        <v>1</v>
      </c>
      <c r="B37" s="1098"/>
      <c r="C37" s="1098"/>
      <c r="D37" s="1098"/>
      <c r="E37" s="1098"/>
      <c r="F37" s="1098">
        <v>2041</v>
      </c>
      <c r="G37" s="1098" t="b">
        <v>0</v>
      </c>
      <c r="H37" s="1098"/>
      <c r="I37" s="1098"/>
      <c r="J37" s="1098"/>
      <c r="K37" s="1098"/>
      <c r="L37" s="1309" t="s">
        <v>3226</v>
      </c>
      <c r="M37" s="666"/>
      <c r="N37" s="1311"/>
      <c r="O37" s="1310"/>
      <c r="P37" s="1310"/>
      <c r="Q37" s="1311"/>
      <c r="R37" s="1311"/>
      <c r="S37" s="1311"/>
      <c r="T37" s="537"/>
      <c r="U37" s="657"/>
      <c r="V37" s="1312"/>
      <c r="W37" s="1098"/>
      <c r="X37" s="1098"/>
      <c r="Y37" s="1098"/>
      <c r="Z37" s="1098"/>
      <c r="AA37" s="1098"/>
      <c r="AB37" s="1098"/>
      <c r="AC37" s="1098"/>
      <c r="AD37" s="1098"/>
      <c r="AE37" s="1098"/>
      <c r="AF37" s="1098"/>
      <c r="AG37" s="1098"/>
      <c r="AH37" s="1098"/>
      <c r="AI37" s="1098"/>
      <c r="AJ37" s="1098"/>
      <c r="AK37" s="1098"/>
      <c r="AL37" s="1098"/>
      <c r="AM37" s="1098"/>
    </row>
    <row r="38" spans="1:39" s="104" customFormat="1" ht="0.2" customHeight="1">
      <c r="A38" s="1098">
        <v>1</v>
      </c>
      <c r="B38" s="1098"/>
      <c r="C38" s="1098"/>
      <c r="D38" s="1098"/>
      <c r="E38" s="1098"/>
      <c r="F38" s="1098">
        <v>2042</v>
      </c>
      <c r="G38" s="1098" t="b">
        <v>0</v>
      </c>
      <c r="H38" s="1098"/>
      <c r="I38" s="1098"/>
      <c r="J38" s="1098"/>
      <c r="K38" s="1098"/>
      <c r="L38" s="1309" t="s">
        <v>3227</v>
      </c>
      <c r="M38" s="666"/>
      <c r="N38" s="1311"/>
      <c r="O38" s="1310"/>
      <c r="P38" s="1310"/>
      <c r="Q38" s="1311"/>
      <c r="R38" s="1311"/>
      <c r="S38" s="1311"/>
      <c r="T38" s="537"/>
      <c r="U38" s="657"/>
      <c r="V38" s="1312"/>
      <c r="W38" s="1098"/>
      <c r="X38" s="1098"/>
      <c r="Y38" s="1098"/>
      <c r="Z38" s="1098"/>
      <c r="AA38" s="1098"/>
      <c r="AB38" s="1098"/>
      <c r="AC38" s="1098"/>
      <c r="AD38" s="1098"/>
      <c r="AE38" s="1098"/>
      <c r="AF38" s="1098"/>
      <c r="AG38" s="1098"/>
      <c r="AH38" s="1098"/>
      <c r="AI38" s="1098"/>
      <c r="AJ38" s="1098"/>
      <c r="AK38" s="1098"/>
      <c r="AL38" s="1098"/>
      <c r="AM38" s="1098"/>
    </row>
    <row r="39" spans="1:39" s="104" customFormat="1" ht="0.2" customHeight="1">
      <c r="A39" s="1098">
        <v>1</v>
      </c>
      <c r="B39" s="1098"/>
      <c r="C39" s="1098"/>
      <c r="D39" s="1098"/>
      <c r="E39" s="1098"/>
      <c r="F39" s="1098">
        <v>2043</v>
      </c>
      <c r="G39" s="1098" t="b">
        <v>0</v>
      </c>
      <c r="H39" s="1098"/>
      <c r="I39" s="1098"/>
      <c r="J39" s="1098"/>
      <c r="K39" s="1098"/>
      <c r="L39" s="1309" t="s">
        <v>3228</v>
      </c>
      <c r="M39" s="666"/>
      <c r="N39" s="1311"/>
      <c r="O39" s="1310"/>
      <c r="P39" s="1310"/>
      <c r="Q39" s="1311"/>
      <c r="R39" s="1311"/>
      <c r="S39" s="1311"/>
      <c r="T39" s="537"/>
      <c r="U39" s="657"/>
      <c r="V39" s="1312"/>
      <c r="W39" s="1098"/>
      <c r="X39" s="1098"/>
      <c r="Y39" s="1098"/>
      <c r="Z39" s="1098"/>
      <c r="AA39" s="1098"/>
      <c r="AB39" s="1098"/>
      <c r="AC39" s="1098"/>
      <c r="AD39" s="1098"/>
      <c r="AE39" s="1098"/>
      <c r="AF39" s="1098"/>
      <c r="AG39" s="1098"/>
      <c r="AH39" s="1098"/>
      <c r="AI39" s="1098"/>
      <c r="AJ39" s="1098"/>
      <c r="AK39" s="1098"/>
      <c r="AL39" s="1098"/>
      <c r="AM39" s="1098"/>
    </row>
    <row r="40" spans="1:39" s="104" customFormat="1" ht="0.2" customHeight="1">
      <c r="A40" s="1098">
        <v>1</v>
      </c>
      <c r="B40" s="1098"/>
      <c r="C40" s="1098"/>
      <c r="D40" s="1098"/>
      <c r="E40" s="1098"/>
      <c r="F40" s="1098">
        <v>2044</v>
      </c>
      <c r="G40" s="1098" t="b">
        <v>0</v>
      </c>
      <c r="H40" s="1098"/>
      <c r="I40" s="1098"/>
      <c r="J40" s="1098"/>
      <c r="K40" s="1098"/>
      <c r="L40" s="1309" t="s">
        <v>3229</v>
      </c>
      <c r="M40" s="666"/>
      <c r="N40" s="1311"/>
      <c r="O40" s="1310"/>
      <c r="P40" s="1310"/>
      <c r="Q40" s="1311"/>
      <c r="R40" s="1311"/>
      <c r="S40" s="1311"/>
      <c r="T40" s="537"/>
      <c r="U40" s="657"/>
      <c r="V40" s="1312"/>
      <c r="W40" s="1098"/>
      <c r="X40" s="1098"/>
      <c r="Y40" s="1098"/>
      <c r="Z40" s="1098"/>
      <c r="AA40" s="1098"/>
      <c r="AB40" s="1098"/>
      <c r="AC40" s="1098"/>
      <c r="AD40" s="1098"/>
      <c r="AE40" s="1098"/>
      <c r="AF40" s="1098"/>
      <c r="AG40" s="1098"/>
      <c r="AH40" s="1098"/>
      <c r="AI40" s="1098"/>
      <c r="AJ40" s="1098"/>
      <c r="AK40" s="1098"/>
      <c r="AL40" s="1098"/>
      <c r="AM40" s="1098"/>
    </row>
    <row r="41" spans="1:39" s="104" customFormat="1" ht="0.2" customHeight="1">
      <c r="A41" s="1098">
        <v>1</v>
      </c>
      <c r="B41" s="1098"/>
      <c r="C41" s="1098"/>
      <c r="D41" s="1098"/>
      <c r="E41" s="1098"/>
      <c r="F41" s="1098">
        <v>2045</v>
      </c>
      <c r="G41" s="1098" t="b">
        <v>0</v>
      </c>
      <c r="H41" s="1098"/>
      <c r="I41" s="1098"/>
      <c r="J41" s="1098"/>
      <c r="K41" s="1098"/>
      <c r="L41" s="1309" t="s">
        <v>3230</v>
      </c>
      <c r="M41" s="666"/>
      <c r="N41" s="1311"/>
      <c r="O41" s="1310"/>
      <c r="P41" s="1310"/>
      <c r="Q41" s="1311"/>
      <c r="R41" s="1311"/>
      <c r="S41" s="1311"/>
      <c r="T41" s="537"/>
      <c r="U41" s="657"/>
      <c r="V41" s="1312"/>
      <c r="W41" s="1098"/>
      <c r="X41" s="1098"/>
      <c r="Y41" s="1098"/>
      <c r="Z41" s="1098"/>
      <c r="AA41" s="1098"/>
      <c r="AB41" s="1098"/>
      <c r="AC41" s="1098"/>
      <c r="AD41" s="1098"/>
      <c r="AE41" s="1098"/>
      <c r="AF41" s="1098"/>
      <c r="AG41" s="1098"/>
      <c r="AH41" s="1098"/>
      <c r="AI41" s="1098"/>
      <c r="AJ41" s="1098"/>
      <c r="AK41" s="1098"/>
      <c r="AL41" s="1098"/>
      <c r="AM41" s="1098"/>
    </row>
    <row r="42" spans="1:39" s="104" customFormat="1" ht="0.2" customHeight="1">
      <c r="A42" s="1098">
        <v>1</v>
      </c>
      <c r="B42" s="1098"/>
      <c r="C42" s="1098"/>
      <c r="D42" s="1098"/>
      <c r="E42" s="1098"/>
      <c r="F42" s="1098">
        <v>2046</v>
      </c>
      <c r="G42" s="1098" t="b">
        <v>0</v>
      </c>
      <c r="H42" s="1098"/>
      <c r="I42" s="1098"/>
      <c r="J42" s="1098"/>
      <c r="K42" s="1098"/>
      <c r="L42" s="1309" t="s">
        <v>3231</v>
      </c>
      <c r="M42" s="666"/>
      <c r="N42" s="1311"/>
      <c r="O42" s="1310"/>
      <c r="P42" s="1310"/>
      <c r="Q42" s="1311"/>
      <c r="R42" s="1311"/>
      <c r="S42" s="1311"/>
      <c r="T42" s="537"/>
      <c r="U42" s="657"/>
      <c r="V42" s="1312"/>
      <c r="W42" s="1098"/>
      <c r="X42" s="1098"/>
      <c r="Y42" s="1098"/>
      <c r="Z42" s="1098"/>
      <c r="AA42" s="1098"/>
      <c r="AB42" s="1098"/>
      <c r="AC42" s="1098"/>
      <c r="AD42" s="1098"/>
      <c r="AE42" s="1098"/>
      <c r="AF42" s="1098"/>
      <c r="AG42" s="1098"/>
      <c r="AH42" s="1098"/>
      <c r="AI42" s="1098"/>
      <c r="AJ42" s="1098"/>
      <c r="AK42" s="1098"/>
      <c r="AL42" s="1098"/>
      <c r="AM42" s="1098"/>
    </row>
    <row r="43" spans="1:39" s="104" customFormat="1" ht="0.2" customHeight="1">
      <c r="A43" s="1098">
        <v>1</v>
      </c>
      <c r="B43" s="1098"/>
      <c r="C43" s="1098"/>
      <c r="D43" s="1098"/>
      <c r="E43" s="1098"/>
      <c r="F43" s="1098">
        <v>2047</v>
      </c>
      <c r="G43" s="1098" t="b">
        <v>0</v>
      </c>
      <c r="H43" s="1098"/>
      <c r="I43" s="1098"/>
      <c r="J43" s="1098"/>
      <c r="K43" s="1098"/>
      <c r="L43" s="1309" t="s">
        <v>3232</v>
      </c>
      <c r="M43" s="666"/>
      <c r="N43" s="1311"/>
      <c r="O43" s="1310"/>
      <c r="P43" s="1310"/>
      <c r="Q43" s="1311"/>
      <c r="R43" s="1311"/>
      <c r="S43" s="1311"/>
      <c r="T43" s="537"/>
      <c r="U43" s="657"/>
      <c r="V43" s="1312"/>
      <c r="W43" s="1098"/>
      <c r="X43" s="1098"/>
      <c r="Y43" s="1098"/>
      <c r="Z43" s="1098"/>
      <c r="AA43" s="1098"/>
      <c r="AB43" s="1098"/>
      <c r="AC43" s="1098"/>
      <c r="AD43" s="1098"/>
      <c r="AE43" s="1098"/>
      <c r="AF43" s="1098"/>
      <c r="AG43" s="1098"/>
      <c r="AH43" s="1098"/>
      <c r="AI43" s="1098"/>
      <c r="AJ43" s="1098"/>
      <c r="AK43" s="1098"/>
      <c r="AL43" s="1098"/>
      <c r="AM43" s="1098"/>
    </row>
    <row r="44" spans="1:39" s="104" customFormat="1" ht="0.2" customHeight="1">
      <c r="A44" s="1098">
        <v>1</v>
      </c>
      <c r="B44" s="1098"/>
      <c r="C44" s="1098"/>
      <c r="D44" s="1098"/>
      <c r="E44" s="1098"/>
      <c r="F44" s="1098">
        <v>2048</v>
      </c>
      <c r="G44" s="1098" t="b">
        <v>0</v>
      </c>
      <c r="H44" s="1098"/>
      <c r="I44" s="1098"/>
      <c r="J44" s="1098"/>
      <c r="K44" s="1098"/>
      <c r="L44" s="1309" t="s">
        <v>3233</v>
      </c>
      <c r="M44" s="666"/>
      <c r="N44" s="1311"/>
      <c r="O44" s="1310"/>
      <c r="P44" s="1310"/>
      <c r="Q44" s="1311"/>
      <c r="R44" s="1311"/>
      <c r="S44" s="1311"/>
      <c r="T44" s="537"/>
      <c r="U44" s="657"/>
      <c r="V44" s="1312"/>
      <c r="W44" s="1098"/>
      <c r="X44" s="1098"/>
      <c r="Y44" s="1098"/>
      <c r="Z44" s="1098"/>
      <c r="AA44" s="1098"/>
      <c r="AB44" s="1098"/>
      <c r="AC44" s="1098"/>
      <c r="AD44" s="1098"/>
      <c r="AE44" s="1098"/>
      <c r="AF44" s="1098"/>
      <c r="AG44" s="1098"/>
      <c r="AH44" s="1098"/>
      <c r="AI44" s="1098"/>
      <c r="AJ44" s="1098"/>
      <c r="AK44" s="1098"/>
      <c r="AL44" s="1098"/>
      <c r="AM44" s="1098"/>
    </row>
    <row r="45" spans="1:39" s="104" customFormat="1" ht="0.2" customHeight="1">
      <c r="A45" s="1098">
        <v>1</v>
      </c>
      <c r="B45" s="1098"/>
      <c r="C45" s="1098"/>
      <c r="D45" s="1098"/>
      <c r="E45" s="1098"/>
      <c r="F45" s="1098">
        <v>2049</v>
      </c>
      <c r="G45" s="1098" t="b">
        <v>0</v>
      </c>
      <c r="H45" s="1098"/>
      <c r="I45" s="1098"/>
      <c r="J45" s="1098"/>
      <c r="K45" s="1098"/>
      <c r="L45" s="1309" t="s">
        <v>3234</v>
      </c>
      <c r="M45" s="666"/>
      <c r="N45" s="1311"/>
      <c r="O45" s="1310"/>
      <c r="P45" s="1310"/>
      <c r="Q45" s="1311"/>
      <c r="R45" s="1311"/>
      <c r="S45" s="1311"/>
      <c r="T45" s="537"/>
      <c r="U45" s="657"/>
      <c r="V45" s="1312"/>
      <c r="W45" s="1098"/>
      <c r="X45" s="1098"/>
      <c r="Y45" s="1098"/>
      <c r="Z45" s="1098"/>
      <c r="AA45" s="1098"/>
      <c r="AB45" s="1098"/>
      <c r="AC45" s="1098"/>
      <c r="AD45" s="1098"/>
      <c r="AE45" s="1098"/>
      <c r="AF45" s="1098"/>
      <c r="AG45" s="1098"/>
      <c r="AH45" s="1098"/>
      <c r="AI45" s="1098"/>
      <c r="AJ45" s="1098"/>
      <c r="AK45" s="1098"/>
      <c r="AL45" s="1098"/>
      <c r="AM45" s="1098"/>
    </row>
    <row r="46" spans="1:39" s="104" customFormat="1" ht="0.2" customHeight="1">
      <c r="A46" s="1098">
        <v>1</v>
      </c>
      <c r="B46" s="1098"/>
      <c r="C46" s="1098"/>
      <c r="D46" s="1098"/>
      <c r="E46" s="1098"/>
      <c r="F46" s="1098">
        <v>2050</v>
      </c>
      <c r="G46" s="1098" t="b">
        <v>0</v>
      </c>
      <c r="H46" s="1098"/>
      <c r="I46" s="1098"/>
      <c r="J46" s="1098"/>
      <c r="K46" s="1098"/>
      <c r="L46" s="1309" t="s">
        <v>3235</v>
      </c>
      <c r="M46" s="666"/>
      <c r="N46" s="1311"/>
      <c r="O46" s="1310"/>
      <c r="P46" s="1310"/>
      <c r="Q46" s="1311"/>
      <c r="R46" s="1311"/>
      <c r="S46" s="1311"/>
      <c r="T46" s="537"/>
      <c r="U46" s="657"/>
      <c r="V46" s="1312"/>
      <c r="W46" s="1098"/>
      <c r="X46" s="1098"/>
      <c r="Y46" s="1098"/>
      <c r="Z46" s="1098"/>
      <c r="AA46" s="1098"/>
      <c r="AB46" s="1098"/>
      <c r="AC46" s="1098"/>
      <c r="AD46" s="1098"/>
      <c r="AE46" s="1098"/>
      <c r="AF46" s="1098"/>
      <c r="AG46" s="1098"/>
      <c r="AH46" s="1098"/>
      <c r="AI46" s="1098"/>
      <c r="AJ46" s="1098"/>
      <c r="AK46" s="1098"/>
      <c r="AL46" s="1098"/>
      <c r="AM46" s="1098"/>
    </row>
    <row r="47" spans="1:39" s="104" customFormat="1" ht="0.2" customHeight="1">
      <c r="A47" s="1098">
        <v>1</v>
      </c>
      <c r="B47" s="1098"/>
      <c r="C47" s="1098"/>
      <c r="D47" s="1098"/>
      <c r="E47" s="1098"/>
      <c r="F47" s="1098">
        <v>2051</v>
      </c>
      <c r="G47" s="1098" t="b">
        <v>0</v>
      </c>
      <c r="H47" s="1098"/>
      <c r="I47" s="1098"/>
      <c r="J47" s="1098"/>
      <c r="K47" s="1098"/>
      <c r="L47" s="1309" t="s">
        <v>3236</v>
      </c>
      <c r="M47" s="666"/>
      <c r="N47" s="1311"/>
      <c r="O47" s="1310"/>
      <c r="P47" s="1310"/>
      <c r="Q47" s="1311"/>
      <c r="R47" s="1311"/>
      <c r="S47" s="1311"/>
      <c r="T47" s="537"/>
      <c r="U47" s="657"/>
      <c r="V47" s="1312"/>
      <c r="W47" s="1098"/>
      <c r="X47" s="1098"/>
      <c r="Y47" s="1098"/>
      <c r="Z47" s="1098"/>
      <c r="AA47" s="1098"/>
      <c r="AB47" s="1098"/>
      <c r="AC47" s="1098"/>
      <c r="AD47" s="1098"/>
      <c r="AE47" s="1098"/>
      <c r="AF47" s="1098"/>
      <c r="AG47" s="1098"/>
      <c r="AH47" s="1098"/>
      <c r="AI47" s="1098"/>
      <c r="AJ47" s="1098"/>
      <c r="AK47" s="1098"/>
      <c r="AL47" s="1098"/>
      <c r="AM47" s="1098"/>
    </row>
    <row r="48" spans="1:39" s="104" customFormat="1" ht="0.2" customHeight="1">
      <c r="A48" s="1098">
        <v>1</v>
      </c>
      <c r="B48" s="1098"/>
      <c r="C48" s="1098"/>
      <c r="D48" s="1098"/>
      <c r="E48" s="1098"/>
      <c r="F48" s="1098">
        <v>2052</v>
      </c>
      <c r="G48" s="1098" t="b">
        <v>0</v>
      </c>
      <c r="H48" s="1098"/>
      <c r="I48" s="1098"/>
      <c r="J48" s="1098"/>
      <c r="K48" s="1098"/>
      <c r="L48" s="1309" t="s">
        <v>3237</v>
      </c>
      <c r="M48" s="666"/>
      <c r="N48" s="1311"/>
      <c r="O48" s="1310"/>
      <c r="P48" s="1310"/>
      <c r="Q48" s="1311"/>
      <c r="R48" s="1311"/>
      <c r="S48" s="1311"/>
      <c r="T48" s="537"/>
      <c r="U48" s="657"/>
      <c r="V48" s="1312"/>
      <c r="W48" s="1098"/>
      <c r="X48" s="1098"/>
      <c r="Y48" s="1098"/>
      <c r="Z48" s="1098"/>
      <c r="AA48" s="1098"/>
      <c r="AB48" s="1098"/>
      <c r="AC48" s="1098"/>
      <c r="AD48" s="1098"/>
      <c r="AE48" s="1098"/>
      <c r="AF48" s="1098"/>
      <c r="AG48" s="1098"/>
      <c r="AH48" s="1098"/>
      <c r="AI48" s="1098"/>
      <c r="AJ48" s="1098"/>
      <c r="AK48" s="1098"/>
      <c r="AL48" s="1098"/>
      <c r="AM48" s="1098"/>
    </row>
    <row r="49" spans="1:39" s="104" customFormat="1" ht="0.2" customHeight="1">
      <c r="A49" s="1098">
        <v>1</v>
      </c>
      <c r="B49" s="1098"/>
      <c r="C49" s="1098"/>
      <c r="D49" s="1098"/>
      <c r="E49" s="1098"/>
      <c r="F49" s="1098">
        <v>2053</v>
      </c>
      <c r="G49" s="1098" t="b">
        <v>0</v>
      </c>
      <c r="H49" s="1098"/>
      <c r="I49" s="1098"/>
      <c r="J49" s="1098"/>
      <c r="K49" s="1098"/>
      <c r="L49" s="1309" t="s">
        <v>3238</v>
      </c>
      <c r="M49" s="666"/>
      <c r="N49" s="1311"/>
      <c r="O49" s="1310"/>
      <c r="P49" s="1310"/>
      <c r="Q49" s="1311"/>
      <c r="R49" s="1311"/>
      <c r="S49" s="1311"/>
      <c r="T49" s="537"/>
      <c r="U49" s="657"/>
      <c r="V49" s="1312"/>
      <c r="W49" s="1098"/>
      <c r="X49" s="1098"/>
      <c r="Y49" s="1098"/>
      <c r="Z49" s="1098"/>
      <c r="AA49" s="1098"/>
      <c r="AB49" s="1098"/>
      <c r="AC49" s="1098"/>
      <c r="AD49" s="1098"/>
      <c r="AE49" s="1098"/>
      <c r="AF49" s="1098"/>
      <c r="AG49" s="1098"/>
      <c r="AH49" s="1098"/>
      <c r="AI49" s="1098"/>
      <c r="AJ49" s="1098"/>
      <c r="AK49" s="1098"/>
      <c r="AL49" s="1098"/>
      <c r="AM49" s="1098"/>
    </row>
    <row r="50" spans="1:39" s="104" customFormat="1" ht="0.2" customHeight="1">
      <c r="A50" s="1098">
        <v>1</v>
      </c>
      <c r="B50" s="1098"/>
      <c r="C50" s="1098"/>
      <c r="D50" s="1098"/>
      <c r="E50" s="1098"/>
      <c r="F50" s="1098">
        <v>2054</v>
      </c>
      <c r="G50" s="1098" t="b">
        <v>0</v>
      </c>
      <c r="H50" s="1098"/>
      <c r="I50" s="1098"/>
      <c r="J50" s="1098"/>
      <c r="K50" s="1098"/>
      <c r="L50" s="1309" t="s">
        <v>3239</v>
      </c>
      <c r="M50" s="666"/>
      <c r="N50" s="1311"/>
      <c r="O50" s="1310"/>
      <c r="P50" s="1310"/>
      <c r="Q50" s="1311"/>
      <c r="R50" s="1311"/>
      <c r="S50" s="1311"/>
      <c r="T50" s="537"/>
      <c r="U50" s="657"/>
      <c r="V50" s="1312"/>
      <c r="W50" s="1098"/>
      <c r="X50" s="1098"/>
      <c r="Y50" s="1098"/>
      <c r="Z50" s="1098"/>
      <c r="AA50" s="1098"/>
      <c r="AB50" s="1098"/>
      <c r="AC50" s="1098"/>
      <c r="AD50" s="1098"/>
      <c r="AE50" s="1098"/>
      <c r="AF50" s="1098"/>
      <c r="AG50" s="1098"/>
      <c r="AH50" s="1098"/>
      <c r="AI50" s="1098"/>
      <c r="AJ50" s="1098"/>
      <c r="AK50" s="1098"/>
      <c r="AL50" s="1098"/>
      <c r="AM50" s="1098"/>
    </row>
    <row r="51" spans="1:39" s="104" customFormat="1" ht="0.2" customHeight="1">
      <c r="A51" s="1098">
        <v>1</v>
      </c>
      <c r="B51" s="1098"/>
      <c r="C51" s="1098"/>
      <c r="D51" s="1098"/>
      <c r="E51" s="1098"/>
      <c r="F51" s="1098">
        <v>2055</v>
      </c>
      <c r="G51" s="1098" t="b">
        <v>0</v>
      </c>
      <c r="H51" s="1098"/>
      <c r="I51" s="1098"/>
      <c r="J51" s="1098"/>
      <c r="K51" s="1098"/>
      <c r="L51" s="1309" t="s">
        <v>3240</v>
      </c>
      <c r="M51" s="666"/>
      <c r="N51" s="1311"/>
      <c r="O51" s="1310"/>
      <c r="P51" s="1310"/>
      <c r="Q51" s="1311"/>
      <c r="R51" s="1311"/>
      <c r="S51" s="1311"/>
      <c r="T51" s="537"/>
      <c r="U51" s="657"/>
      <c r="V51" s="1312"/>
      <c r="W51" s="1098"/>
      <c r="X51" s="1098"/>
      <c r="Y51" s="1098"/>
      <c r="Z51" s="1098"/>
      <c r="AA51" s="1098"/>
      <c r="AB51" s="1098"/>
      <c r="AC51" s="1098"/>
      <c r="AD51" s="1098"/>
      <c r="AE51" s="1098"/>
      <c r="AF51" s="1098"/>
      <c r="AG51" s="1098"/>
      <c r="AH51" s="1098"/>
      <c r="AI51" s="1098"/>
      <c r="AJ51" s="1098"/>
      <c r="AK51" s="1098"/>
      <c r="AL51" s="1098"/>
      <c r="AM51" s="1098"/>
    </row>
    <row r="52" spans="1:39" s="104" customFormat="1" ht="0.2" customHeight="1">
      <c r="A52" s="1098">
        <v>1</v>
      </c>
      <c r="B52" s="1098"/>
      <c r="C52" s="1098"/>
      <c r="D52" s="1098"/>
      <c r="E52" s="1098"/>
      <c r="F52" s="1098">
        <v>2056</v>
      </c>
      <c r="G52" s="1098" t="b">
        <v>0</v>
      </c>
      <c r="H52" s="1098"/>
      <c r="I52" s="1098"/>
      <c r="J52" s="1098"/>
      <c r="K52" s="1098"/>
      <c r="L52" s="1309" t="s">
        <v>3241</v>
      </c>
      <c r="M52" s="666"/>
      <c r="N52" s="1311"/>
      <c r="O52" s="1310"/>
      <c r="P52" s="1310"/>
      <c r="Q52" s="1311"/>
      <c r="R52" s="1311"/>
      <c r="S52" s="1311"/>
      <c r="T52" s="537"/>
      <c r="U52" s="657"/>
      <c r="V52" s="1312"/>
      <c r="W52" s="1098"/>
      <c r="X52" s="1098"/>
      <c r="Y52" s="1098"/>
      <c r="Z52" s="1098"/>
      <c r="AA52" s="1098"/>
      <c r="AB52" s="1098"/>
      <c r="AC52" s="1098"/>
      <c r="AD52" s="1098"/>
      <c r="AE52" s="1098"/>
      <c r="AF52" s="1098"/>
      <c r="AG52" s="1098"/>
      <c r="AH52" s="1098"/>
      <c r="AI52" s="1098"/>
      <c r="AJ52" s="1098"/>
      <c r="AK52" s="1098"/>
      <c r="AL52" s="1098"/>
      <c r="AM52" s="1098"/>
    </row>
    <row r="53" spans="1:39" s="104" customFormat="1" ht="0.2" customHeight="1">
      <c r="A53" s="1098">
        <v>1</v>
      </c>
      <c r="B53" s="1098"/>
      <c r="C53" s="1098"/>
      <c r="D53" s="1098"/>
      <c r="E53" s="1098"/>
      <c r="F53" s="1098">
        <v>2057</v>
      </c>
      <c r="G53" s="1098" t="b">
        <v>0</v>
      </c>
      <c r="H53" s="1098"/>
      <c r="I53" s="1098"/>
      <c r="J53" s="1098"/>
      <c r="K53" s="1098"/>
      <c r="L53" s="1309" t="s">
        <v>3242</v>
      </c>
      <c r="M53" s="666"/>
      <c r="N53" s="1311"/>
      <c r="O53" s="1310"/>
      <c r="P53" s="1310"/>
      <c r="Q53" s="1311"/>
      <c r="R53" s="1311"/>
      <c r="S53" s="1311"/>
      <c r="T53" s="537"/>
      <c r="U53" s="657"/>
      <c r="V53" s="1312"/>
      <c r="W53" s="1098"/>
      <c r="X53" s="1098"/>
      <c r="Y53" s="1098"/>
      <c r="Z53" s="1098"/>
      <c r="AA53" s="1098"/>
      <c r="AB53" s="1098"/>
      <c r="AC53" s="1098"/>
      <c r="AD53" s="1098"/>
      <c r="AE53" s="1098"/>
      <c r="AF53" s="1098"/>
      <c r="AG53" s="1098"/>
      <c r="AH53" s="1098"/>
      <c r="AI53" s="1098"/>
      <c r="AJ53" s="1098"/>
      <c r="AK53" s="1098"/>
      <c r="AL53" s="1098"/>
      <c r="AM53" s="1098"/>
    </row>
    <row r="54" spans="1:39" s="104" customFormat="1" ht="0.2" customHeight="1">
      <c r="A54" s="1098">
        <v>1</v>
      </c>
      <c r="B54" s="1098"/>
      <c r="C54" s="1098"/>
      <c r="D54" s="1098"/>
      <c r="E54" s="1098"/>
      <c r="F54" s="1098">
        <v>2058</v>
      </c>
      <c r="G54" s="1098" t="b">
        <v>0</v>
      </c>
      <c r="H54" s="1098"/>
      <c r="I54" s="1098"/>
      <c r="J54" s="1098"/>
      <c r="K54" s="1098"/>
      <c r="L54" s="1309" t="s">
        <v>3243</v>
      </c>
      <c r="M54" s="666"/>
      <c r="N54" s="1311"/>
      <c r="O54" s="1310"/>
      <c r="P54" s="1310"/>
      <c r="Q54" s="1311"/>
      <c r="R54" s="1311"/>
      <c r="S54" s="1311"/>
      <c r="T54" s="537"/>
      <c r="U54" s="657"/>
      <c r="V54" s="1312"/>
      <c r="W54" s="1098"/>
      <c r="X54" s="1098"/>
      <c r="Y54" s="1098"/>
      <c r="Z54" s="1098"/>
      <c r="AA54" s="1098"/>
      <c r="AB54" s="1098"/>
      <c r="AC54" s="1098"/>
      <c r="AD54" s="1098"/>
      <c r="AE54" s="1098"/>
      <c r="AF54" s="1098"/>
      <c r="AG54" s="1098"/>
      <c r="AH54" s="1098"/>
      <c r="AI54" s="1098"/>
      <c r="AJ54" s="1098"/>
      <c r="AK54" s="1098"/>
      <c r="AL54" s="1098"/>
      <c r="AM54" s="1098"/>
    </row>
    <row r="55" spans="1:39" s="104" customFormat="1" ht="0.2" customHeight="1">
      <c r="A55" s="1098">
        <v>1</v>
      </c>
      <c r="B55" s="1098"/>
      <c r="C55" s="1098"/>
      <c r="D55" s="1098"/>
      <c r="E55" s="1098"/>
      <c r="F55" s="1098">
        <v>2059</v>
      </c>
      <c r="G55" s="1098" t="b">
        <v>0</v>
      </c>
      <c r="H55" s="1098"/>
      <c r="I55" s="1098"/>
      <c r="J55" s="1098"/>
      <c r="K55" s="1098"/>
      <c r="L55" s="1309" t="s">
        <v>3244</v>
      </c>
      <c r="M55" s="666"/>
      <c r="N55" s="1311"/>
      <c r="O55" s="1310"/>
      <c r="P55" s="1310"/>
      <c r="Q55" s="1311"/>
      <c r="R55" s="1311"/>
      <c r="S55" s="1311"/>
      <c r="T55" s="537"/>
      <c r="U55" s="657"/>
      <c r="V55" s="1312"/>
      <c r="W55" s="1098"/>
      <c r="X55" s="1098"/>
      <c r="Y55" s="1098"/>
      <c r="Z55" s="1098"/>
      <c r="AA55" s="1098"/>
      <c r="AB55" s="1098"/>
      <c r="AC55" s="1098"/>
      <c r="AD55" s="1098"/>
      <c r="AE55" s="1098"/>
      <c r="AF55" s="1098"/>
      <c r="AG55" s="1098"/>
      <c r="AH55" s="1098"/>
      <c r="AI55" s="1098"/>
      <c r="AJ55" s="1098"/>
      <c r="AK55" s="1098"/>
      <c r="AL55" s="1098"/>
      <c r="AM55" s="1098"/>
    </row>
    <row r="56" spans="1:39" s="104" customFormat="1" ht="0.2" customHeight="1">
      <c r="A56" s="1098">
        <v>1</v>
      </c>
      <c r="B56" s="1098"/>
      <c r="C56" s="1098"/>
      <c r="D56" s="1098"/>
      <c r="E56" s="1098"/>
      <c r="F56" s="1098">
        <v>2060</v>
      </c>
      <c r="G56" s="1098" t="b">
        <v>0</v>
      </c>
      <c r="H56" s="1098"/>
      <c r="I56" s="1098"/>
      <c r="J56" s="1098"/>
      <c r="K56" s="1098"/>
      <c r="L56" s="1309" t="s">
        <v>3245</v>
      </c>
      <c r="M56" s="666"/>
      <c r="N56" s="1311"/>
      <c r="O56" s="1310"/>
      <c r="P56" s="1310"/>
      <c r="Q56" s="1311"/>
      <c r="R56" s="1311"/>
      <c r="S56" s="1311"/>
      <c r="T56" s="537"/>
      <c r="U56" s="657"/>
      <c r="V56" s="1312"/>
      <c r="W56" s="1098"/>
      <c r="X56" s="1098"/>
      <c r="Y56" s="1098"/>
      <c r="Z56" s="1098"/>
      <c r="AA56" s="1098"/>
      <c r="AB56" s="1098"/>
      <c r="AC56" s="1098"/>
      <c r="AD56" s="1098"/>
      <c r="AE56" s="1098"/>
      <c r="AF56" s="1098"/>
      <c r="AG56" s="1098"/>
      <c r="AH56" s="1098"/>
      <c r="AI56" s="1098"/>
      <c r="AJ56" s="1098"/>
      <c r="AK56" s="1098"/>
      <c r="AL56" s="1098"/>
      <c r="AM56" s="1098"/>
    </row>
    <row r="57" spans="1:39" s="104" customFormat="1" ht="0.2" customHeight="1">
      <c r="A57" s="1098">
        <v>1</v>
      </c>
      <c r="B57" s="1098"/>
      <c r="C57" s="1098"/>
      <c r="D57" s="1098"/>
      <c r="E57" s="1098"/>
      <c r="F57" s="1098">
        <v>2061</v>
      </c>
      <c r="G57" s="1098" t="b">
        <v>0</v>
      </c>
      <c r="H57" s="1098"/>
      <c r="I57" s="1098"/>
      <c r="J57" s="1098"/>
      <c r="K57" s="1098"/>
      <c r="L57" s="1309" t="s">
        <v>3246</v>
      </c>
      <c r="M57" s="666"/>
      <c r="N57" s="1311"/>
      <c r="O57" s="1310"/>
      <c r="P57" s="1310"/>
      <c r="Q57" s="1311"/>
      <c r="R57" s="1311"/>
      <c r="S57" s="1311"/>
      <c r="T57" s="537"/>
      <c r="U57" s="657"/>
      <c r="V57" s="1312"/>
      <c r="W57" s="1098"/>
      <c r="X57" s="1098"/>
      <c r="Y57" s="1098"/>
      <c r="Z57" s="1098"/>
      <c r="AA57" s="1098"/>
      <c r="AB57" s="1098"/>
      <c r="AC57" s="1098"/>
      <c r="AD57" s="1098"/>
      <c r="AE57" s="1098"/>
      <c r="AF57" s="1098"/>
      <c r="AG57" s="1098"/>
      <c r="AH57" s="1098"/>
      <c r="AI57" s="1098"/>
      <c r="AJ57" s="1098"/>
      <c r="AK57" s="1098"/>
      <c r="AL57" s="1098"/>
      <c r="AM57" s="1098"/>
    </row>
    <row r="58" spans="1:39" s="104" customFormat="1" ht="0.2" customHeight="1">
      <c r="A58" s="1098">
        <v>1</v>
      </c>
      <c r="B58" s="1098"/>
      <c r="C58" s="1098"/>
      <c r="D58" s="1098"/>
      <c r="E58" s="1098"/>
      <c r="F58" s="1098">
        <v>2062</v>
      </c>
      <c r="G58" s="1098" t="b">
        <v>0</v>
      </c>
      <c r="H58" s="1098"/>
      <c r="I58" s="1098"/>
      <c r="J58" s="1098"/>
      <c r="K58" s="1098"/>
      <c r="L58" s="1309" t="s">
        <v>3247</v>
      </c>
      <c r="M58" s="666"/>
      <c r="N58" s="1311"/>
      <c r="O58" s="1310"/>
      <c r="P58" s="1310"/>
      <c r="Q58" s="1311"/>
      <c r="R58" s="1311"/>
      <c r="S58" s="1311"/>
      <c r="T58" s="537"/>
      <c r="U58" s="657"/>
      <c r="V58" s="1312"/>
      <c r="W58" s="1098"/>
      <c r="X58" s="1098"/>
      <c r="Y58" s="1098"/>
      <c r="Z58" s="1098"/>
      <c r="AA58" s="1098"/>
      <c r="AB58" s="1098"/>
      <c r="AC58" s="1098"/>
      <c r="AD58" s="1098"/>
      <c r="AE58" s="1098"/>
      <c r="AF58" s="1098"/>
      <c r="AG58" s="1098"/>
      <c r="AH58" s="1098"/>
      <c r="AI58" s="1098"/>
      <c r="AJ58" s="1098"/>
      <c r="AK58" s="1098"/>
      <c r="AL58" s="1098"/>
      <c r="AM58" s="1098"/>
    </row>
    <row r="59" spans="1:39" s="104" customFormat="1" ht="0.2" customHeight="1">
      <c r="A59" s="1098">
        <v>1</v>
      </c>
      <c r="B59" s="1098"/>
      <c r="C59" s="1098"/>
      <c r="D59" s="1098"/>
      <c r="E59" s="1098"/>
      <c r="F59" s="1098">
        <v>2063</v>
      </c>
      <c r="G59" s="1098" t="b">
        <v>0</v>
      </c>
      <c r="H59" s="1098"/>
      <c r="I59" s="1098"/>
      <c r="J59" s="1098"/>
      <c r="K59" s="1098"/>
      <c r="L59" s="1309" t="s">
        <v>3248</v>
      </c>
      <c r="M59" s="666"/>
      <c r="N59" s="1311"/>
      <c r="O59" s="1310"/>
      <c r="P59" s="1310"/>
      <c r="Q59" s="1311"/>
      <c r="R59" s="1311"/>
      <c r="S59" s="1311"/>
      <c r="T59" s="537"/>
      <c r="U59" s="657"/>
      <c r="V59" s="1312"/>
      <c r="W59" s="1098"/>
      <c r="X59" s="1098"/>
      <c r="Y59" s="1098"/>
      <c r="Z59" s="1098"/>
      <c r="AA59" s="1098"/>
      <c r="AB59" s="1098"/>
      <c r="AC59" s="1098"/>
      <c r="AD59" s="1098"/>
      <c r="AE59" s="1098"/>
      <c r="AF59" s="1098"/>
      <c r="AG59" s="1098"/>
      <c r="AH59" s="1098"/>
      <c r="AI59" s="1098"/>
      <c r="AJ59" s="1098"/>
      <c r="AK59" s="1098"/>
      <c r="AL59" s="1098"/>
      <c r="AM59" s="1098"/>
    </row>
    <row r="60" spans="1:39" s="104" customFormat="1" ht="0.2" customHeight="1">
      <c r="A60" s="1098">
        <v>1</v>
      </c>
      <c r="B60" s="1098"/>
      <c r="C60" s="1098"/>
      <c r="D60" s="1098"/>
      <c r="E60" s="1098"/>
      <c r="F60" s="1098">
        <v>2064</v>
      </c>
      <c r="G60" s="1098" t="b">
        <v>0</v>
      </c>
      <c r="H60" s="1098"/>
      <c r="I60" s="1098"/>
      <c r="J60" s="1098"/>
      <c r="K60" s="1098"/>
      <c r="L60" s="1309" t="s">
        <v>3249</v>
      </c>
      <c r="M60" s="666"/>
      <c r="N60" s="1311"/>
      <c r="O60" s="1310"/>
      <c r="P60" s="1310"/>
      <c r="Q60" s="1311"/>
      <c r="R60" s="1311"/>
      <c r="S60" s="1311"/>
      <c r="T60" s="537"/>
      <c r="U60" s="657"/>
      <c r="V60" s="1312"/>
      <c r="W60" s="1098"/>
      <c r="X60" s="1098"/>
      <c r="Y60" s="1098"/>
      <c r="Z60" s="1098"/>
      <c r="AA60" s="1098"/>
      <c r="AB60" s="1098"/>
      <c r="AC60" s="1098"/>
      <c r="AD60" s="1098"/>
      <c r="AE60" s="1098"/>
      <c r="AF60" s="1098"/>
      <c r="AG60" s="1098"/>
      <c r="AH60" s="1098"/>
      <c r="AI60" s="1098"/>
      <c r="AJ60" s="1098"/>
      <c r="AK60" s="1098"/>
      <c r="AL60" s="1098"/>
      <c r="AM60" s="1098"/>
    </row>
    <row r="61" spans="1:39" s="104" customFormat="1" ht="0.2" customHeight="1">
      <c r="A61" s="1098">
        <v>1</v>
      </c>
      <c r="B61" s="1098"/>
      <c r="C61" s="1098"/>
      <c r="D61" s="1098"/>
      <c r="E61" s="1098"/>
      <c r="F61" s="1098">
        <v>2065</v>
      </c>
      <c r="G61" s="1098" t="b">
        <v>0</v>
      </c>
      <c r="H61" s="1098"/>
      <c r="I61" s="1098"/>
      <c r="J61" s="1098"/>
      <c r="K61" s="1098"/>
      <c r="L61" s="1309" t="s">
        <v>3250</v>
      </c>
      <c r="M61" s="666"/>
      <c r="N61" s="1311"/>
      <c r="O61" s="1310"/>
      <c r="P61" s="1310"/>
      <c r="Q61" s="1311"/>
      <c r="R61" s="1311"/>
      <c r="S61" s="1311"/>
      <c r="T61" s="537"/>
      <c r="U61" s="657"/>
      <c r="V61" s="1312"/>
      <c r="W61" s="1098"/>
      <c r="X61" s="1098"/>
      <c r="Y61" s="1098"/>
      <c r="Z61" s="1098"/>
      <c r="AA61" s="1098"/>
      <c r="AB61" s="1098"/>
      <c r="AC61" s="1098"/>
      <c r="AD61" s="1098"/>
      <c r="AE61" s="1098"/>
      <c r="AF61" s="1098"/>
      <c r="AG61" s="1098"/>
      <c r="AH61" s="1098"/>
      <c r="AI61" s="1098"/>
      <c r="AJ61" s="1098"/>
      <c r="AK61" s="1098"/>
      <c r="AL61" s="1098"/>
      <c r="AM61" s="1098"/>
    </row>
    <row r="62" spans="1:39" s="104" customFormat="1" ht="0.2" customHeight="1">
      <c r="A62" s="1098">
        <v>1</v>
      </c>
      <c r="B62" s="1098"/>
      <c r="C62" s="1098"/>
      <c r="D62" s="1098"/>
      <c r="E62" s="1098"/>
      <c r="F62" s="1098">
        <v>2066</v>
      </c>
      <c r="G62" s="1098" t="b">
        <v>0</v>
      </c>
      <c r="H62" s="1098"/>
      <c r="I62" s="1098"/>
      <c r="J62" s="1098"/>
      <c r="K62" s="1098"/>
      <c r="L62" s="1309" t="s">
        <v>3251</v>
      </c>
      <c r="M62" s="666"/>
      <c r="N62" s="1311"/>
      <c r="O62" s="1310"/>
      <c r="P62" s="1310"/>
      <c r="Q62" s="1311"/>
      <c r="R62" s="1311"/>
      <c r="S62" s="1311"/>
      <c r="T62" s="537"/>
      <c r="U62" s="657"/>
      <c r="V62" s="1312"/>
      <c r="W62" s="1098"/>
      <c r="X62" s="1098"/>
      <c r="Y62" s="1098"/>
      <c r="Z62" s="1098"/>
      <c r="AA62" s="1098"/>
      <c r="AB62" s="1098"/>
      <c r="AC62" s="1098"/>
      <c r="AD62" s="1098"/>
      <c r="AE62" s="1098"/>
      <c r="AF62" s="1098"/>
      <c r="AG62" s="1098"/>
      <c r="AH62" s="1098"/>
      <c r="AI62" s="1098"/>
      <c r="AJ62" s="1098"/>
      <c r="AK62" s="1098"/>
      <c r="AL62" s="1098"/>
      <c r="AM62" s="1098"/>
    </row>
    <row r="63" spans="1:39" s="104" customFormat="1" ht="0.2" customHeight="1">
      <c r="A63" s="1098">
        <v>1</v>
      </c>
      <c r="B63" s="1098"/>
      <c r="C63" s="1098"/>
      <c r="D63" s="1098"/>
      <c r="E63" s="1098"/>
      <c r="F63" s="1098">
        <v>2067</v>
      </c>
      <c r="G63" s="1098" t="b">
        <v>0</v>
      </c>
      <c r="H63" s="1098"/>
      <c r="I63" s="1098"/>
      <c r="J63" s="1098"/>
      <c r="K63" s="1098"/>
      <c r="L63" s="1309" t="s">
        <v>3252</v>
      </c>
      <c r="M63" s="666"/>
      <c r="N63" s="1311"/>
      <c r="O63" s="1310"/>
      <c r="P63" s="1310"/>
      <c r="Q63" s="1311"/>
      <c r="R63" s="1311"/>
      <c r="S63" s="1311"/>
      <c r="T63" s="537"/>
      <c r="U63" s="657"/>
      <c r="V63" s="1312"/>
      <c r="W63" s="1098"/>
      <c r="X63" s="1098"/>
      <c r="Y63" s="1098"/>
      <c r="Z63" s="1098"/>
      <c r="AA63" s="1098"/>
      <c r="AB63" s="1098"/>
      <c r="AC63" s="1098"/>
      <c r="AD63" s="1098"/>
      <c r="AE63" s="1098"/>
      <c r="AF63" s="1098"/>
      <c r="AG63" s="1098"/>
      <c r="AH63" s="1098"/>
      <c r="AI63" s="1098"/>
      <c r="AJ63" s="1098"/>
      <c r="AK63" s="1098"/>
      <c r="AL63" s="1098"/>
      <c r="AM63" s="1098"/>
    </row>
    <row r="64" spans="1:39" s="104" customFormat="1" ht="0.2" customHeight="1">
      <c r="A64" s="1098">
        <v>1</v>
      </c>
      <c r="B64" s="1098"/>
      <c r="C64" s="1098"/>
      <c r="D64" s="1098"/>
      <c r="E64" s="1098"/>
      <c r="F64" s="1098">
        <v>2068</v>
      </c>
      <c r="G64" s="1098" t="b">
        <v>0</v>
      </c>
      <c r="H64" s="1098"/>
      <c r="I64" s="1098"/>
      <c r="J64" s="1098"/>
      <c r="K64" s="1098"/>
      <c r="L64" s="1309" t="s">
        <v>3253</v>
      </c>
      <c r="M64" s="666"/>
      <c r="N64" s="1311"/>
      <c r="O64" s="1310"/>
      <c r="P64" s="1310"/>
      <c r="Q64" s="1311"/>
      <c r="R64" s="1311"/>
      <c r="S64" s="1311"/>
      <c r="T64" s="537"/>
      <c r="U64" s="657"/>
      <c r="V64" s="1312"/>
      <c r="W64" s="1098"/>
      <c r="X64" s="1098"/>
      <c r="Y64" s="1098"/>
      <c r="Z64" s="1098"/>
      <c r="AA64" s="1098"/>
      <c r="AB64" s="1098"/>
      <c r="AC64" s="1098"/>
      <c r="AD64" s="1098"/>
      <c r="AE64" s="1098"/>
      <c r="AF64" s="1098"/>
      <c r="AG64" s="1098"/>
      <c r="AH64" s="1098"/>
      <c r="AI64" s="1098"/>
      <c r="AJ64" s="1098"/>
      <c r="AK64" s="1098"/>
      <c r="AL64" s="1098"/>
      <c r="AM64" s="1098"/>
    </row>
    <row r="65" spans="1:39" s="104" customFormat="1" ht="0.2" customHeight="1">
      <c r="A65" s="1098">
        <v>1</v>
      </c>
      <c r="B65" s="1098"/>
      <c r="C65" s="1098"/>
      <c r="D65" s="1098"/>
      <c r="E65" s="1098"/>
      <c r="F65" s="1098">
        <v>2069</v>
      </c>
      <c r="G65" s="1098" t="b">
        <v>0</v>
      </c>
      <c r="H65" s="1098"/>
      <c r="I65" s="1098"/>
      <c r="J65" s="1098"/>
      <c r="K65" s="1098"/>
      <c r="L65" s="1309" t="s">
        <v>3254</v>
      </c>
      <c r="M65" s="666"/>
      <c r="N65" s="1311"/>
      <c r="O65" s="1310"/>
      <c r="P65" s="1310"/>
      <c r="Q65" s="1311"/>
      <c r="R65" s="1311"/>
      <c r="S65" s="1311"/>
      <c r="T65" s="537"/>
      <c r="U65" s="657"/>
      <c r="V65" s="1312"/>
      <c r="W65" s="1098"/>
      <c r="X65" s="1098"/>
      <c r="Y65" s="1098"/>
      <c r="Z65" s="1098"/>
      <c r="AA65" s="1098"/>
      <c r="AB65" s="1098"/>
      <c r="AC65" s="1098"/>
      <c r="AD65" s="1098"/>
      <c r="AE65" s="1098"/>
      <c r="AF65" s="1098"/>
      <c r="AG65" s="1098"/>
      <c r="AH65" s="1098"/>
      <c r="AI65" s="1098"/>
      <c r="AJ65" s="1098"/>
      <c r="AK65" s="1098"/>
      <c r="AL65" s="1098"/>
      <c r="AM65" s="1098"/>
    </row>
    <row r="66" spans="1:39" s="104" customFormat="1" ht="0.2" customHeight="1">
      <c r="A66" s="1098">
        <v>1</v>
      </c>
      <c r="B66" s="1098"/>
      <c r="C66" s="1098"/>
      <c r="D66" s="1098"/>
      <c r="E66" s="1098"/>
      <c r="F66" s="1098">
        <v>2070</v>
      </c>
      <c r="G66" s="1098" t="b">
        <v>0</v>
      </c>
      <c r="H66" s="1098"/>
      <c r="I66" s="1098"/>
      <c r="J66" s="1098"/>
      <c r="K66" s="1098"/>
      <c r="L66" s="1309" t="s">
        <v>3255</v>
      </c>
      <c r="M66" s="666"/>
      <c r="N66" s="1311"/>
      <c r="O66" s="1310"/>
      <c r="P66" s="1310"/>
      <c r="Q66" s="1311"/>
      <c r="R66" s="1311"/>
      <c r="S66" s="1311"/>
      <c r="T66" s="537"/>
      <c r="U66" s="657"/>
      <c r="V66" s="1312"/>
      <c r="W66" s="1098"/>
      <c r="X66" s="1098"/>
      <c r="Y66" s="1098"/>
      <c r="Z66" s="1098"/>
      <c r="AA66" s="1098"/>
      <c r="AB66" s="1098"/>
      <c r="AC66" s="1098"/>
      <c r="AD66" s="1098"/>
      <c r="AE66" s="1098"/>
      <c r="AF66" s="1098"/>
      <c r="AG66" s="1098"/>
      <c r="AH66" s="1098"/>
      <c r="AI66" s="1098"/>
      <c r="AJ66" s="1098"/>
      <c r="AK66" s="1098"/>
      <c r="AL66" s="1098"/>
      <c r="AM66" s="1098"/>
    </row>
    <row r="67" spans="1:39" s="104" customFormat="1" ht="0.2" customHeight="1">
      <c r="A67" s="1098">
        <v>1</v>
      </c>
      <c r="B67" s="1098"/>
      <c r="C67" s="1098"/>
      <c r="D67" s="1098"/>
      <c r="E67" s="1098"/>
      <c r="F67" s="1098">
        <v>2071</v>
      </c>
      <c r="G67" s="1098" t="b">
        <v>0</v>
      </c>
      <c r="H67" s="1098"/>
      <c r="I67" s="1098"/>
      <c r="J67" s="1098"/>
      <c r="K67" s="1098"/>
      <c r="L67" s="1309" t="s">
        <v>3256</v>
      </c>
      <c r="M67" s="666"/>
      <c r="N67" s="1311"/>
      <c r="O67" s="1310"/>
      <c r="P67" s="1310"/>
      <c r="Q67" s="1311"/>
      <c r="R67" s="1311"/>
      <c r="S67" s="1311"/>
      <c r="T67" s="537"/>
      <c r="U67" s="657"/>
      <c r="V67" s="1312"/>
      <c r="W67" s="1098"/>
      <c r="X67" s="1098"/>
      <c r="Y67" s="1098"/>
      <c r="Z67" s="1098"/>
      <c r="AA67" s="1098"/>
      <c r="AB67" s="1098"/>
      <c r="AC67" s="1098"/>
      <c r="AD67" s="1098"/>
      <c r="AE67" s="1098"/>
      <c r="AF67" s="1098"/>
      <c r="AG67" s="1098"/>
      <c r="AH67" s="1098"/>
      <c r="AI67" s="1098"/>
      <c r="AJ67" s="1098"/>
      <c r="AK67" s="1098"/>
      <c r="AL67" s="1098"/>
      <c r="AM67" s="1098"/>
    </row>
    <row r="68" spans="1:39" s="104" customFormat="1" ht="0.2" customHeight="1">
      <c r="A68" s="1098">
        <v>1</v>
      </c>
      <c r="B68" s="1098"/>
      <c r="C68" s="1098"/>
      <c r="D68" s="1098"/>
      <c r="E68" s="1098"/>
      <c r="F68" s="1098">
        <v>2072</v>
      </c>
      <c r="G68" s="1098" t="b">
        <v>0</v>
      </c>
      <c r="H68" s="1098"/>
      <c r="I68" s="1098"/>
      <c r="J68" s="1098"/>
      <c r="K68" s="1098"/>
      <c r="L68" s="1309" t="s">
        <v>3257</v>
      </c>
      <c r="M68" s="666"/>
      <c r="N68" s="1311"/>
      <c r="O68" s="1310"/>
      <c r="P68" s="1310"/>
      <c r="Q68" s="1311"/>
      <c r="R68" s="1311"/>
      <c r="S68" s="1311"/>
      <c r="T68" s="537"/>
      <c r="U68" s="657"/>
      <c r="V68" s="1312"/>
      <c r="W68" s="1098"/>
      <c r="X68" s="1098"/>
      <c r="Y68" s="1098"/>
      <c r="Z68" s="1098"/>
      <c r="AA68" s="1098"/>
      <c r="AB68" s="1098"/>
      <c r="AC68" s="1098"/>
      <c r="AD68" s="1098"/>
      <c r="AE68" s="1098"/>
      <c r="AF68" s="1098"/>
      <c r="AG68" s="1098"/>
      <c r="AH68" s="1098"/>
      <c r="AI68" s="1098"/>
      <c r="AJ68" s="1098"/>
      <c r="AK68" s="1098"/>
      <c r="AL68" s="1098"/>
      <c r="AM68" s="1098"/>
    </row>
    <row r="69" spans="1:39" s="104" customFormat="1" ht="0.2" customHeight="1">
      <c r="A69" s="1098">
        <v>1</v>
      </c>
      <c r="B69" s="1098"/>
      <c r="C69" s="1098"/>
      <c r="D69" s="1098"/>
      <c r="E69" s="1098"/>
      <c r="F69" s="1098">
        <v>2073</v>
      </c>
      <c r="G69" s="1098" t="b">
        <v>0</v>
      </c>
      <c r="H69" s="1098"/>
      <c r="I69" s="1098"/>
      <c r="J69" s="1098"/>
      <c r="K69" s="1098"/>
      <c r="L69" s="1309" t="s">
        <v>3258</v>
      </c>
      <c r="M69" s="666"/>
      <c r="N69" s="1311"/>
      <c r="O69" s="1310"/>
      <c r="P69" s="1310"/>
      <c r="Q69" s="1311"/>
      <c r="R69" s="1311"/>
      <c r="S69" s="1311"/>
      <c r="T69" s="537"/>
      <c r="U69" s="657"/>
      <c r="V69" s="1312"/>
      <c r="W69" s="1098"/>
      <c r="X69" s="1098"/>
      <c r="Y69" s="1098"/>
      <c r="Z69" s="1098"/>
      <c r="AA69" s="1098"/>
      <c r="AB69" s="1098"/>
      <c r="AC69" s="1098"/>
      <c r="AD69" s="1098"/>
      <c r="AE69" s="1098"/>
      <c r="AF69" s="1098"/>
      <c r="AG69" s="1098"/>
      <c r="AH69" s="1098"/>
      <c r="AI69" s="1098"/>
      <c r="AJ69" s="1098"/>
      <c r="AK69" s="1098"/>
      <c r="AL69" s="1098"/>
      <c r="AM69" s="1098"/>
    </row>
    <row r="70" spans="1:39">
      <c r="A70" s="1180"/>
      <c r="B70" s="1180"/>
      <c r="C70" s="1180"/>
      <c r="D70" s="1180"/>
      <c r="E70" s="1180"/>
      <c r="F70" s="1180"/>
      <c r="G70" s="1180"/>
      <c r="H70" s="1180"/>
      <c r="I70" s="1180"/>
      <c r="J70" s="1180"/>
      <c r="K70" s="1180"/>
      <c r="L70" s="1256"/>
      <c r="M70" s="1180"/>
      <c r="N70" s="1180"/>
      <c r="O70" s="1180"/>
      <c r="P70" s="1180"/>
      <c r="Q70" s="1180"/>
      <c r="R70" s="1180"/>
      <c r="S70" s="1180"/>
      <c r="T70" s="1180"/>
      <c r="U70" s="1180"/>
      <c r="V70" s="1180"/>
      <c r="W70" s="1180"/>
      <c r="X70" s="1180"/>
      <c r="Y70" s="1180"/>
      <c r="Z70" s="1180"/>
      <c r="AA70" s="1180"/>
      <c r="AB70" s="1180"/>
      <c r="AC70" s="1180"/>
      <c r="AD70" s="1180"/>
      <c r="AE70" s="1180"/>
      <c r="AF70" s="1180"/>
      <c r="AG70" s="1180"/>
      <c r="AH70" s="1180"/>
      <c r="AI70" s="1180"/>
      <c r="AJ70" s="1180"/>
      <c r="AK70" s="1180"/>
      <c r="AL70" s="1180"/>
      <c r="AM70" s="1180"/>
    </row>
    <row r="71" spans="1:39" ht="15" customHeight="1">
      <c r="A71" s="1180"/>
      <c r="B71" s="1180"/>
      <c r="C71" s="1180"/>
      <c r="D71" s="1180"/>
      <c r="E71" s="1180"/>
      <c r="F71" s="1180"/>
      <c r="G71" s="1180"/>
      <c r="H71" s="1180"/>
      <c r="I71" s="1180"/>
      <c r="J71" s="1180"/>
      <c r="K71" s="1180"/>
      <c r="L71" s="1313" t="s">
        <v>1425</v>
      </c>
      <c r="M71" s="1313"/>
      <c r="N71" s="1313"/>
      <c r="O71" s="1313"/>
      <c r="P71" s="1313"/>
      <c r="Q71" s="1313"/>
      <c r="R71" s="1313"/>
      <c r="S71" s="1313"/>
      <c r="T71" s="1313"/>
      <c r="U71" s="1313"/>
      <c r="V71" s="1180"/>
      <c r="W71" s="1180"/>
      <c r="X71" s="1180"/>
      <c r="Y71" s="1180"/>
      <c r="Z71" s="1180"/>
      <c r="AA71" s="1180"/>
      <c r="AB71" s="1180"/>
      <c r="AC71" s="1180"/>
      <c r="AD71" s="1180"/>
      <c r="AE71" s="1180"/>
      <c r="AF71" s="1180"/>
      <c r="AG71" s="1180"/>
      <c r="AH71" s="1180"/>
      <c r="AI71" s="1180"/>
      <c r="AJ71" s="1180"/>
      <c r="AK71" s="1180"/>
      <c r="AL71" s="1180"/>
      <c r="AM71" s="1180"/>
    </row>
    <row r="72" spans="1:39" ht="15" customHeight="1">
      <c r="A72" s="1180"/>
      <c r="B72" s="1180"/>
      <c r="C72" s="1180"/>
      <c r="D72" s="1180"/>
      <c r="E72" s="1180"/>
      <c r="F72" s="1180"/>
      <c r="G72" s="1180"/>
      <c r="H72" s="1180"/>
      <c r="I72" s="1180"/>
      <c r="J72" s="1180"/>
      <c r="K72" s="807"/>
      <c r="L72" s="1314" t="s">
        <v>3001</v>
      </c>
      <c r="M72" s="1315"/>
      <c r="N72" s="1315"/>
      <c r="O72" s="1315"/>
      <c r="P72" s="1315"/>
      <c r="Q72" s="1315"/>
      <c r="R72" s="1315"/>
      <c r="S72" s="1315"/>
      <c r="T72" s="1315"/>
      <c r="U72" s="1315"/>
      <c r="V72" s="1316"/>
      <c r="W72" s="1180"/>
      <c r="X72" s="1180"/>
      <c r="Y72" s="1180"/>
      <c r="Z72" s="1180"/>
      <c r="AA72" s="1180"/>
      <c r="AB72" s="1180"/>
      <c r="AC72" s="1180"/>
      <c r="AD72" s="1180"/>
      <c r="AE72" s="1180"/>
      <c r="AF72" s="1180"/>
      <c r="AG72" s="1180"/>
      <c r="AH72" s="1180"/>
      <c r="AI72" s="1180"/>
      <c r="AJ72" s="1180"/>
      <c r="AK72" s="1180"/>
      <c r="AL72" s="1180"/>
      <c r="AM72" s="1180"/>
    </row>
  </sheetData>
  <sheetProtection formatColumns="0" formatRows="0" autoFilter="0"/>
  <mergeCells count="8">
    <mergeCell ref="L14:O14"/>
    <mergeCell ref="L71:U71"/>
    <mergeCell ref="L72:U72"/>
    <mergeCell ref="L16:L18"/>
    <mergeCell ref="M16:M17"/>
    <mergeCell ref="N16:N17"/>
    <mergeCell ref="O16:O17"/>
    <mergeCell ref="P16:U16"/>
  </mergeCells>
  <phoneticPr fontId="13" type="noConversion"/>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0"/>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80"/>
      <c r="B1" s="1180"/>
      <c r="C1" s="1180"/>
      <c r="D1" s="1180"/>
      <c r="E1" s="1180"/>
      <c r="F1" s="1180"/>
      <c r="G1" s="1180"/>
      <c r="H1" s="1180"/>
      <c r="I1" s="1180"/>
      <c r="J1" s="1180"/>
      <c r="K1" s="1180"/>
      <c r="L1" s="1256"/>
      <c r="M1" s="1180" t="s">
        <v>1480</v>
      </c>
      <c r="N1" s="1180" t="s">
        <v>1481</v>
      </c>
      <c r="O1" s="1180" t="s">
        <v>1483</v>
      </c>
      <c r="P1" s="1180" t="s">
        <v>1499</v>
      </c>
      <c r="Q1" s="1180" t="s">
        <v>1500</v>
      </c>
      <c r="R1" s="1180" t="s">
        <v>1749</v>
      </c>
      <c r="S1" s="1180" t="s">
        <v>1750</v>
      </c>
      <c r="T1" s="1180" t="s">
        <v>1751</v>
      </c>
      <c r="U1" s="1180" t="s">
        <v>1752</v>
      </c>
      <c r="V1" s="1180"/>
      <c r="W1" s="1180"/>
      <c r="X1" s="1180"/>
      <c r="Y1" s="1180"/>
      <c r="Z1" s="1180"/>
      <c r="AA1" s="1180"/>
      <c r="AB1" s="1180"/>
      <c r="AC1" s="1180"/>
      <c r="AD1" s="1180"/>
      <c r="AE1" s="1180"/>
      <c r="AF1" s="1180"/>
      <c r="AG1" s="1180"/>
      <c r="AH1" s="1180"/>
      <c r="AI1" s="1180"/>
      <c r="AJ1" s="1180"/>
      <c r="AK1" s="1180"/>
      <c r="AL1" s="1180"/>
      <c r="AM1" s="1180"/>
    </row>
    <row r="2" spans="1:39" hidden="1">
      <c r="A2" s="1180"/>
      <c r="B2" s="1180"/>
      <c r="C2" s="1180"/>
      <c r="D2" s="1180"/>
      <c r="E2" s="1180"/>
      <c r="F2" s="1180"/>
      <c r="G2" s="1180"/>
      <c r="H2" s="1180"/>
      <c r="I2" s="1180"/>
      <c r="J2" s="1180"/>
      <c r="K2" s="1180"/>
      <c r="L2" s="1256"/>
      <c r="M2" s="1180"/>
      <c r="N2" s="1180"/>
      <c r="O2" s="1180"/>
      <c r="P2" s="1180"/>
      <c r="Q2" s="1180"/>
      <c r="R2" s="1180"/>
      <c r="S2" s="1180"/>
      <c r="T2" s="1180"/>
      <c r="U2" s="1180"/>
      <c r="V2" s="1180"/>
      <c r="W2" s="1180"/>
      <c r="X2" s="1180"/>
      <c r="Y2" s="1180"/>
      <c r="Z2" s="1180"/>
      <c r="AA2" s="1180"/>
      <c r="AB2" s="1180"/>
      <c r="AC2" s="1180"/>
      <c r="AD2" s="1180"/>
      <c r="AE2" s="1180"/>
      <c r="AF2" s="1180"/>
      <c r="AG2" s="1180"/>
      <c r="AH2" s="1180"/>
      <c r="AI2" s="1180"/>
      <c r="AJ2" s="1180"/>
      <c r="AK2" s="1180"/>
      <c r="AL2" s="1180"/>
      <c r="AM2" s="1180"/>
    </row>
    <row r="3" spans="1:39" hidden="1">
      <c r="A3" s="1180"/>
      <c r="B3" s="1180"/>
      <c r="C3" s="1180"/>
      <c r="D3" s="1180"/>
      <c r="E3" s="1180"/>
      <c r="F3" s="1180"/>
      <c r="G3" s="1180"/>
      <c r="H3" s="1180"/>
      <c r="I3" s="1180"/>
      <c r="J3" s="1180"/>
      <c r="K3" s="1180"/>
      <c r="L3" s="1256"/>
      <c r="M3" s="1180"/>
      <c r="N3" s="1180"/>
      <c r="O3" s="1180"/>
      <c r="P3" s="1180"/>
      <c r="Q3" s="1180"/>
      <c r="R3" s="1180"/>
      <c r="S3" s="1180"/>
      <c r="T3" s="1180"/>
      <c r="U3" s="1180"/>
      <c r="V3" s="1180"/>
      <c r="W3" s="1180"/>
      <c r="X3" s="1180"/>
      <c r="Y3" s="1180"/>
      <c r="Z3" s="1180"/>
      <c r="AA3" s="1180"/>
      <c r="AB3" s="1180"/>
      <c r="AC3" s="1180"/>
      <c r="AD3" s="1180"/>
      <c r="AE3" s="1180"/>
      <c r="AF3" s="1180"/>
      <c r="AG3" s="1180"/>
      <c r="AH3" s="1180"/>
      <c r="AI3" s="1180"/>
      <c r="AJ3" s="1180"/>
      <c r="AK3" s="1180"/>
      <c r="AL3" s="1180"/>
      <c r="AM3" s="1180"/>
    </row>
    <row r="4" spans="1:39" hidden="1">
      <c r="A4" s="1180"/>
      <c r="B4" s="1180"/>
      <c r="C4" s="1180"/>
      <c r="D4" s="1180"/>
      <c r="E4" s="1180"/>
      <c r="F4" s="1180"/>
      <c r="G4" s="1180"/>
      <c r="H4" s="1180"/>
      <c r="I4" s="1180"/>
      <c r="J4" s="1180"/>
      <c r="K4" s="1180"/>
      <c r="L4" s="1256"/>
      <c r="M4" s="1180"/>
      <c r="N4" s="1180"/>
      <c r="O4" s="1180"/>
      <c r="P4" s="1180"/>
      <c r="Q4" s="1180"/>
      <c r="R4" s="1180"/>
      <c r="S4" s="1180"/>
      <c r="T4" s="1180"/>
      <c r="U4" s="1180"/>
      <c r="V4" s="1180"/>
      <c r="W4" s="1180"/>
      <c r="X4" s="1180"/>
      <c r="Y4" s="1180"/>
      <c r="Z4" s="1180"/>
      <c r="AA4" s="1180"/>
      <c r="AB4" s="1180"/>
      <c r="AC4" s="1180"/>
      <c r="AD4" s="1180"/>
      <c r="AE4" s="1180"/>
      <c r="AF4" s="1180"/>
      <c r="AG4" s="1180"/>
      <c r="AH4" s="1180"/>
      <c r="AI4" s="1180"/>
      <c r="AJ4" s="1180"/>
      <c r="AK4" s="1180"/>
      <c r="AL4" s="1180"/>
      <c r="AM4" s="1180"/>
    </row>
    <row r="5" spans="1:39" hidden="1">
      <c r="A5" s="1180"/>
      <c r="B5" s="1180"/>
      <c r="C5" s="1180"/>
      <c r="D5" s="1180"/>
      <c r="E5" s="1180"/>
      <c r="F5" s="1180"/>
      <c r="G5" s="1180"/>
      <c r="H5" s="1180"/>
      <c r="I5" s="1180"/>
      <c r="J5" s="1180"/>
      <c r="K5" s="1180"/>
      <c r="L5" s="1256"/>
      <c r="M5" s="1180"/>
      <c r="N5" s="1180"/>
      <c r="O5" s="1180"/>
      <c r="P5" s="1180"/>
      <c r="Q5" s="1180"/>
      <c r="R5" s="1180"/>
      <c r="S5" s="1180"/>
      <c r="T5" s="1180"/>
      <c r="U5" s="1180"/>
      <c r="V5" s="1180"/>
      <c r="W5" s="1180"/>
      <c r="X5" s="1180"/>
      <c r="Y5" s="1180"/>
      <c r="Z5" s="1180"/>
      <c r="AA5" s="1180"/>
      <c r="AB5" s="1180"/>
      <c r="AC5" s="1180"/>
      <c r="AD5" s="1180"/>
      <c r="AE5" s="1180"/>
      <c r="AF5" s="1180"/>
      <c r="AG5" s="1180"/>
      <c r="AH5" s="1180"/>
      <c r="AI5" s="1180"/>
      <c r="AJ5" s="1180"/>
      <c r="AK5" s="1180"/>
      <c r="AL5" s="1180"/>
      <c r="AM5" s="1180"/>
    </row>
    <row r="6" spans="1:39" hidden="1">
      <c r="A6" s="1180"/>
      <c r="B6" s="1180"/>
      <c r="C6" s="1180"/>
      <c r="D6" s="1180"/>
      <c r="E6" s="1180"/>
      <c r="F6" s="1180"/>
      <c r="G6" s="1180"/>
      <c r="H6" s="1180"/>
      <c r="I6" s="1180"/>
      <c r="J6" s="1180"/>
      <c r="K6" s="1180"/>
      <c r="L6" s="1256"/>
      <c r="M6" s="1180"/>
      <c r="N6" s="1180"/>
      <c r="O6" s="1180"/>
      <c r="P6" s="1180"/>
      <c r="Q6" s="1180"/>
      <c r="R6" s="1180"/>
      <c r="S6" s="1180"/>
      <c r="T6" s="1180"/>
      <c r="U6" s="1180"/>
      <c r="V6" s="1180"/>
      <c r="W6" s="1180"/>
      <c r="X6" s="1180"/>
      <c r="Y6" s="1180"/>
      <c r="Z6" s="1180"/>
      <c r="AA6" s="1180"/>
      <c r="AB6" s="1180"/>
      <c r="AC6" s="1180"/>
      <c r="AD6" s="1180"/>
      <c r="AE6" s="1180"/>
      <c r="AF6" s="1180"/>
      <c r="AG6" s="1180"/>
      <c r="AH6" s="1180"/>
      <c r="AI6" s="1180"/>
      <c r="AJ6" s="1180"/>
      <c r="AK6" s="1180"/>
      <c r="AL6" s="1180"/>
      <c r="AM6" s="1180"/>
    </row>
    <row r="7" spans="1:39" hidden="1">
      <c r="A7" s="1180"/>
      <c r="B7" s="1180"/>
      <c r="C7" s="1180"/>
      <c r="D7" s="1180"/>
      <c r="E7" s="1180"/>
      <c r="F7" s="1180"/>
      <c r="G7" s="1180"/>
      <c r="H7" s="1180"/>
      <c r="I7" s="1180"/>
      <c r="J7" s="1180"/>
      <c r="K7" s="1180"/>
      <c r="L7" s="1256"/>
      <c r="M7" s="1180"/>
      <c r="N7" s="1180"/>
      <c r="O7" s="1180"/>
      <c r="P7" s="1180"/>
      <c r="Q7" s="1180" t="b">
        <v>1</v>
      </c>
      <c r="R7" s="1180" t="b">
        <v>0</v>
      </c>
      <c r="S7" s="1180" t="b">
        <v>0</v>
      </c>
      <c r="T7" s="1180" t="b">
        <v>0</v>
      </c>
      <c r="U7" s="1180" t="b">
        <v>0</v>
      </c>
      <c r="V7" s="1180"/>
      <c r="W7" s="1180"/>
      <c r="X7" s="1180"/>
      <c r="Y7" s="1180"/>
      <c r="Z7" s="1180"/>
      <c r="AA7" s="1180"/>
      <c r="AB7" s="1180"/>
      <c r="AC7" s="1180"/>
      <c r="AD7" s="1180"/>
      <c r="AE7" s="1180"/>
      <c r="AF7" s="1180"/>
      <c r="AG7" s="1180"/>
      <c r="AH7" s="1180"/>
      <c r="AI7" s="1180"/>
      <c r="AJ7" s="1180"/>
      <c r="AK7" s="1180"/>
      <c r="AL7" s="1180"/>
      <c r="AM7" s="1180"/>
    </row>
    <row r="8" spans="1:39" hidden="1">
      <c r="A8" s="1180"/>
      <c r="B8" s="1180"/>
      <c r="C8" s="1180"/>
      <c r="D8" s="1180"/>
      <c r="E8" s="1180"/>
      <c r="F8" s="1180"/>
      <c r="G8" s="1180"/>
      <c r="H8" s="1180"/>
      <c r="I8" s="1180"/>
      <c r="J8" s="1180"/>
      <c r="K8" s="1180"/>
      <c r="L8" s="1256"/>
      <c r="M8" s="1180"/>
      <c r="N8" s="1180"/>
      <c r="O8" s="1180"/>
      <c r="P8" s="1180"/>
      <c r="Q8" s="1180"/>
      <c r="R8" s="1180"/>
      <c r="S8" s="1180"/>
      <c r="T8" s="1180"/>
      <c r="U8" s="1180"/>
      <c r="V8" s="1180"/>
      <c r="W8" s="1180"/>
      <c r="X8" s="1180"/>
      <c r="Y8" s="1180"/>
      <c r="Z8" s="1180"/>
      <c r="AA8" s="1180"/>
      <c r="AB8" s="1180"/>
      <c r="AC8" s="1180"/>
      <c r="AD8" s="1180"/>
      <c r="AE8" s="1180"/>
      <c r="AF8" s="1180"/>
      <c r="AG8" s="1180"/>
      <c r="AH8" s="1180"/>
      <c r="AI8" s="1180"/>
      <c r="AJ8" s="1180"/>
      <c r="AK8" s="1180"/>
      <c r="AL8" s="1180"/>
      <c r="AM8" s="1180"/>
    </row>
    <row r="9" spans="1:39" hidden="1">
      <c r="A9" s="1180"/>
      <c r="B9" s="1180"/>
      <c r="C9" s="1180"/>
      <c r="D9" s="1180"/>
      <c r="E9" s="1180"/>
      <c r="F9" s="1180"/>
      <c r="G9" s="1180"/>
      <c r="H9" s="1180"/>
      <c r="I9" s="1180"/>
      <c r="J9" s="1180"/>
      <c r="K9" s="1180"/>
      <c r="L9" s="1256"/>
      <c r="M9" s="1180"/>
      <c r="N9" s="1180"/>
      <c r="O9" s="1180"/>
      <c r="P9" s="1180"/>
      <c r="Q9" s="1180"/>
      <c r="R9" s="1180"/>
      <c r="S9" s="1180"/>
      <c r="T9" s="1180"/>
      <c r="U9" s="1180"/>
      <c r="V9" s="1180"/>
      <c r="W9" s="1180"/>
      <c r="X9" s="1180"/>
      <c r="Y9" s="1180"/>
      <c r="Z9" s="1180"/>
      <c r="AA9" s="1180"/>
      <c r="AB9" s="1180"/>
      <c r="AC9" s="1180"/>
      <c r="AD9" s="1180"/>
      <c r="AE9" s="1180"/>
      <c r="AF9" s="1180"/>
      <c r="AG9" s="1180"/>
      <c r="AH9" s="1180"/>
      <c r="AI9" s="1180"/>
      <c r="AJ9" s="1180"/>
      <c r="AK9" s="1180"/>
      <c r="AL9" s="1180"/>
      <c r="AM9" s="1180"/>
    </row>
    <row r="10" spans="1:39" hidden="1">
      <c r="A10" s="1180"/>
      <c r="B10" s="1180"/>
      <c r="C10" s="1180"/>
      <c r="D10" s="1180"/>
      <c r="E10" s="1180"/>
      <c r="F10" s="1180"/>
      <c r="G10" s="1180"/>
      <c r="H10" s="1180"/>
      <c r="I10" s="1180"/>
      <c r="J10" s="1180"/>
      <c r="K10" s="1180"/>
      <c r="L10" s="1256"/>
      <c r="M10" s="1180"/>
      <c r="N10" s="1180"/>
      <c r="O10" s="1180"/>
      <c r="P10" s="1180"/>
      <c r="Q10" s="1180"/>
      <c r="R10" s="1180"/>
      <c r="S10" s="1180"/>
      <c r="T10" s="1180"/>
      <c r="U10" s="1180"/>
      <c r="V10" s="1180"/>
      <c r="W10" s="1180"/>
      <c r="X10" s="1180"/>
      <c r="Y10" s="1180"/>
      <c r="Z10" s="1180"/>
      <c r="AA10" s="1180"/>
      <c r="AB10" s="1180"/>
      <c r="AC10" s="1180"/>
      <c r="AD10" s="1180"/>
      <c r="AE10" s="1180"/>
      <c r="AF10" s="1180"/>
      <c r="AG10" s="1180"/>
      <c r="AH10" s="1180"/>
      <c r="AI10" s="1180"/>
      <c r="AJ10" s="1180"/>
      <c r="AK10" s="1180"/>
      <c r="AL10" s="1180"/>
      <c r="AM10" s="1180"/>
    </row>
    <row r="11" spans="1:39" ht="15" hidden="1" customHeight="1">
      <c r="A11" s="1180"/>
      <c r="B11" s="1180"/>
      <c r="C11" s="1180"/>
      <c r="D11" s="1180"/>
      <c r="E11" s="1180"/>
      <c r="F11" s="1180"/>
      <c r="G11" s="1180"/>
      <c r="H11" s="1180"/>
      <c r="I11" s="1180"/>
      <c r="J11" s="1180"/>
      <c r="K11" s="1180"/>
      <c r="L11" s="1258"/>
      <c r="M11" s="1180"/>
      <c r="N11" s="1180"/>
      <c r="O11" s="1180"/>
      <c r="P11" s="1180"/>
      <c r="Q11" s="1180"/>
      <c r="R11" s="1180"/>
      <c r="S11" s="1180"/>
      <c r="T11" s="1180"/>
      <c r="U11" s="1180"/>
      <c r="V11" s="1180"/>
      <c r="W11" s="1180"/>
      <c r="X11" s="1180"/>
      <c r="Y11" s="1180"/>
      <c r="Z11" s="1180"/>
      <c r="AA11" s="1180"/>
      <c r="AB11" s="1180"/>
      <c r="AC11" s="1180"/>
      <c r="AD11" s="1180"/>
      <c r="AE11" s="1180"/>
      <c r="AF11" s="1180"/>
      <c r="AG11" s="1180"/>
      <c r="AH11" s="1180"/>
      <c r="AI11" s="1180"/>
      <c r="AJ11" s="1180"/>
      <c r="AK11" s="1180"/>
      <c r="AL11" s="1180"/>
      <c r="AM11" s="1180"/>
    </row>
    <row r="12" spans="1:39" s="296" customFormat="1" ht="24" customHeight="1">
      <c r="A12" s="1049"/>
      <c r="B12" s="1049"/>
      <c r="C12" s="1049"/>
      <c r="D12" s="1049"/>
      <c r="E12" s="1049"/>
      <c r="F12" s="1049"/>
      <c r="G12" s="1049"/>
      <c r="H12" s="1049"/>
      <c r="I12" s="1049"/>
      <c r="J12" s="1049"/>
      <c r="K12" s="1049"/>
      <c r="L12" s="436" t="s">
        <v>1344</v>
      </c>
      <c r="M12" s="273"/>
      <c r="N12" s="273"/>
      <c r="O12" s="273"/>
      <c r="P12" s="273"/>
      <c r="Q12" s="273"/>
      <c r="R12" s="273"/>
      <c r="S12" s="273"/>
      <c r="T12" s="273"/>
      <c r="U12" s="273"/>
      <c r="V12" s="1049"/>
      <c r="W12" s="1049"/>
      <c r="X12" s="1049"/>
      <c r="Y12" s="1049"/>
      <c r="Z12" s="1049"/>
      <c r="AA12" s="1049"/>
      <c r="AB12" s="1049"/>
      <c r="AC12" s="1049"/>
      <c r="AD12" s="1049"/>
      <c r="AE12" s="1049"/>
      <c r="AF12" s="1049"/>
      <c r="AG12" s="1049"/>
      <c r="AH12" s="1049"/>
      <c r="AI12" s="1049"/>
      <c r="AJ12" s="1049"/>
      <c r="AK12" s="1049"/>
      <c r="AL12" s="1049"/>
      <c r="AM12" s="1049"/>
    </row>
    <row r="13" spans="1:39">
      <c r="A13" s="1180"/>
      <c r="B13" s="1180"/>
      <c r="C13" s="1180"/>
      <c r="D13" s="1180"/>
      <c r="E13" s="1180"/>
      <c r="F13" s="1180"/>
      <c r="G13" s="1180"/>
      <c r="H13" s="1180"/>
      <c r="I13" s="1180"/>
      <c r="J13" s="1180"/>
      <c r="K13" s="1180"/>
      <c r="L13" s="1257"/>
      <c r="M13" s="1257"/>
      <c r="N13" s="1180"/>
      <c r="O13" s="1180"/>
      <c r="P13" s="1180"/>
      <c r="Q13" s="1180"/>
      <c r="R13" s="1180"/>
      <c r="S13" s="1180"/>
      <c r="T13" s="1180"/>
      <c r="U13" s="1180"/>
      <c r="V13" s="1180"/>
      <c r="W13" s="1180"/>
      <c r="X13" s="1180"/>
      <c r="Y13" s="1180"/>
      <c r="Z13" s="1180"/>
      <c r="AA13" s="1180"/>
      <c r="AB13" s="1180"/>
      <c r="AC13" s="1180"/>
      <c r="AD13" s="1180"/>
      <c r="AE13" s="1180"/>
      <c r="AF13" s="1180"/>
      <c r="AG13" s="1180"/>
      <c r="AH13" s="1180"/>
      <c r="AI13" s="1180"/>
      <c r="AJ13" s="1180"/>
      <c r="AK13" s="1180"/>
      <c r="AL13" s="1180"/>
      <c r="AM13" s="1257"/>
    </row>
    <row r="14" spans="1:39" s="297" customFormat="1" ht="39" customHeight="1">
      <c r="A14" s="1257"/>
      <c r="B14" s="1257"/>
      <c r="C14" s="1257"/>
      <c r="D14" s="1257"/>
      <c r="E14" s="1257"/>
      <c r="F14" s="1257"/>
      <c r="G14" s="1257"/>
      <c r="H14" s="1257"/>
      <c r="I14" s="1257"/>
      <c r="J14" s="1257"/>
      <c r="K14" s="1257"/>
      <c r="L14" s="1301" t="s">
        <v>14</v>
      </c>
      <c r="M14" s="1302" t="s">
        <v>673</v>
      </c>
      <c r="N14" s="1302" t="s">
        <v>288</v>
      </c>
      <c r="O14" s="1302" t="s">
        <v>674</v>
      </c>
      <c r="P14" s="1302" t="s">
        <v>675</v>
      </c>
      <c r="Q14" s="1302"/>
      <c r="R14" s="1302"/>
      <c r="S14" s="1302"/>
      <c r="T14" s="1302"/>
      <c r="U14" s="1317"/>
      <c r="V14" s="1318"/>
      <c r="W14" s="1257"/>
      <c r="X14" s="1257"/>
      <c r="Y14" s="1257"/>
      <c r="Z14" s="1257"/>
      <c r="AA14" s="1257"/>
      <c r="AB14" s="1257"/>
      <c r="AC14" s="1257"/>
      <c r="AD14" s="1257"/>
      <c r="AE14" s="1257"/>
      <c r="AF14" s="1257"/>
      <c r="AG14" s="1257"/>
      <c r="AH14" s="1257"/>
      <c r="AI14" s="1257"/>
      <c r="AJ14" s="1257"/>
      <c r="AK14" s="1257"/>
      <c r="AL14" s="1257"/>
      <c r="AM14" s="1257"/>
    </row>
    <row r="15" spans="1:39" s="297" customFormat="1" ht="36" customHeight="1">
      <c r="A15" s="1257"/>
      <c r="B15" s="1257"/>
      <c r="C15" s="1257"/>
      <c r="D15" s="1257"/>
      <c r="E15" s="1257"/>
      <c r="F15" s="1257"/>
      <c r="G15" s="1257"/>
      <c r="H15" s="1257"/>
      <c r="I15" s="1257"/>
      <c r="J15" s="1257"/>
      <c r="K15" s="1257"/>
      <c r="L15" s="1304"/>
      <c r="M15" s="1302"/>
      <c r="N15" s="1302"/>
      <c r="O15" s="1302"/>
      <c r="P15" s="1305" t="s">
        <v>321</v>
      </c>
      <c r="Q15" s="1305" t="s">
        <v>676</v>
      </c>
      <c r="R15" s="1305" t="s">
        <v>1745</v>
      </c>
      <c r="S15" s="1305" t="s">
        <v>1746</v>
      </c>
      <c r="T15" s="1305" t="s">
        <v>1747</v>
      </c>
      <c r="U15" s="1309" t="s">
        <v>1748</v>
      </c>
      <c r="V15" s="1318"/>
      <c r="W15" s="1257"/>
      <c r="X15" s="1257"/>
      <c r="Y15" s="1257"/>
      <c r="Z15" s="1257"/>
      <c r="AA15" s="1257"/>
      <c r="AB15" s="1257"/>
      <c r="AC15" s="1257"/>
      <c r="AD15" s="1257"/>
      <c r="AE15" s="1257"/>
      <c r="AF15" s="1257"/>
      <c r="AG15" s="1257"/>
      <c r="AH15" s="1257"/>
      <c r="AI15" s="1257"/>
      <c r="AJ15" s="1257"/>
      <c r="AK15" s="1257"/>
      <c r="AL15" s="1257"/>
      <c r="AM15" s="1257"/>
    </row>
    <row r="16" spans="1:39" s="298" customFormat="1">
      <c r="A16" s="1306"/>
      <c r="B16" s="1306"/>
      <c r="C16" s="1306"/>
      <c r="D16" s="1306"/>
      <c r="E16" s="1306"/>
      <c r="F16" s="1306"/>
      <c r="G16" s="1306"/>
      <c r="H16" s="1306"/>
      <c r="I16" s="1306"/>
      <c r="J16" s="1306"/>
      <c r="K16" s="1306"/>
      <c r="L16" s="1307"/>
      <c r="M16" s="1305" t="s">
        <v>351</v>
      </c>
      <c r="N16" s="1305" t="s">
        <v>137</v>
      </c>
      <c r="O16" s="1143" t="s">
        <v>137</v>
      </c>
      <c r="P16" s="1305" t="s">
        <v>137</v>
      </c>
      <c r="Q16" s="1305" t="s">
        <v>677</v>
      </c>
      <c r="R16" s="1305" t="s">
        <v>677</v>
      </c>
      <c r="S16" s="1305" t="s">
        <v>677</v>
      </c>
      <c r="T16" s="1305" t="s">
        <v>677</v>
      </c>
      <c r="U16" s="1309" t="s">
        <v>677</v>
      </c>
      <c r="V16" s="1319"/>
      <c r="W16" s="1306"/>
      <c r="X16" s="1306"/>
      <c r="Y16" s="1306"/>
      <c r="Z16" s="1306"/>
      <c r="AA16" s="1306"/>
      <c r="AB16" s="1306"/>
      <c r="AC16" s="1306"/>
      <c r="AD16" s="1306"/>
      <c r="AE16" s="1306"/>
      <c r="AF16" s="1306"/>
      <c r="AG16" s="1306"/>
      <c r="AH16" s="1306"/>
      <c r="AI16" s="1306"/>
      <c r="AJ16" s="1306"/>
      <c r="AK16" s="1306"/>
      <c r="AL16" s="1306"/>
      <c r="AM16" s="1306"/>
    </row>
    <row r="17" spans="1:39" s="101" customFormat="1">
      <c r="A17" s="944" t="s">
        <v>18</v>
      </c>
      <c r="B17" s="1133"/>
      <c r="C17" s="1133"/>
      <c r="D17" s="1133"/>
      <c r="E17" s="1133"/>
      <c r="F17" s="1133"/>
      <c r="G17" s="1133"/>
      <c r="H17" s="1133"/>
      <c r="I17" s="1133"/>
      <c r="J17" s="1133"/>
      <c r="K17" s="1133"/>
      <c r="L17" s="1061" t="s">
        <v>3018</v>
      </c>
      <c r="M17" s="1150"/>
      <c r="N17" s="1150"/>
      <c r="O17" s="1150"/>
      <c r="P17" s="1150"/>
      <c r="Q17" s="1150"/>
      <c r="R17" s="1150"/>
      <c r="S17" s="1150"/>
      <c r="T17" s="1150"/>
      <c r="U17" s="1150"/>
      <c r="V17" s="1308"/>
      <c r="W17" s="1133"/>
      <c r="X17" s="1133"/>
      <c r="Y17" s="1133"/>
      <c r="Z17" s="1133"/>
      <c r="AA17" s="1133"/>
      <c r="AB17" s="1133"/>
      <c r="AC17" s="1133"/>
      <c r="AD17" s="1133"/>
      <c r="AE17" s="1133"/>
      <c r="AF17" s="1133"/>
      <c r="AG17" s="1133"/>
      <c r="AH17" s="1133"/>
      <c r="AI17" s="1133"/>
      <c r="AJ17" s="1133"/>
      <c r="AK17" s="1133"/>
      <c r="AL17" s="1133"/>
      <c r="AM17" s="1133"/>
    </row>
    <row r="18" spans="1:39">
      <c r="A18" s="1180"/>
      <c r="B18" s="1180"/>
      <c r="C18" s="1180"/>
      <c r="D18" s="1180"/>
      <c r="E18" s="1180"/>
      <c r="F18" s="1180"/>
      <c r="G18" s="1180"/>
      <c r="H18" s="1180"/>
      <c r="I18" s="1180"/>
      <c r="J18" s="1180"/>
      <c r="K18" s="1180"/>
      <c r="L18" s="1256"/>
      <c r="M18" s="1180"/>
      <c r="N18" s="1180"/>
      <c r="O18" s="1180"/>
      <c r="P18" s="1180"/>
      <c r="Q18" s="1180"/>
      <c r="R18" s="1180"/>
      <c r="S18" s="1180"/>
      <c r="T18" s="1180"/>
      <c r="U18" s="1180"/>
      <c r="V18" s="1320"/>
      <c r="W18" s="1180"/>
      <c r="X18" s="1180"/>
      <c r="Y18" s="1180"/>
      <c r="Z18" s="1180"/>
      <c r="AA18" s="1180"/>
      <c r="AB18" s="1180"/>
      <c r="AC18" s="1180"/>
      <c r="AD18" s="1180"/>
      <c r="AE18" s="1180"/>
      <c r="AF18" s="1180"/>
      <c r="AG18" s="1180"/>
      <c r="AH18" s="1180"/>
      <c r="AI18" s="1180"/>
      <c r="AJ18" s="1180"/>
      <c r="AK18" s="1180"/>
      <c r="AL18" s="1180"/>
      <c r="AM18" s="1180"/>
    </row>
    <row r="19" spans="1:39" ht="15" customHeight="1">
      <c r="A19" s="1180"/>
      <c r="B19" s="1180"/>
      <c r="C19" s="1180"/>
      <c r="D19" s="1180"/>
      <c r="E19" s="1180"/>
      <c r="F19" s="1180"/>
      <c r="G19" s="1180"/>
      <c r="H19" s="1180"/>
      <c r="I19" s="1180"/>
      <c r="J19" s="1180"/>
      <c r="K19" s="1180"/>
      <c r="L19" s="1313" t="s">
        <v>1425</v>
      </c>
      <c r="M19" s="1313"/>
      <c r="N19" s="1313"/>
      <c r="O19" s="1313"/>
      <c r="P19" s="1313"/>
      <c r="Q19" s="1313"/>
      <c r="R19" s="1313"/>
      <c r="S19" s="1313"/>
      <c r="T19" s="1313"/>
      <c r="U19" s="1313"/>
      <c r="V19" s="1180"/>
      <c r="W19" s="1180"/>
      <c r="X19" s="1180"/>
      <c r="Y19" s="1180"/>
      <c r="Z19" s="1180"/>
      <c r="AA19" s="1180"/>
      <c r="AB19" s="1180"/>
      <c r="AC19" s="1180"/>
      <c r="AD19" s="1180"/>
      <c r="AE19" s="1180"/>
      <c r="AF19" s="1180"/>
      <c r="AG19" s="1180"/>
      <c r="AH19" s="1180"/>
      <c r="AI19" s="1180"/>
      <c r="AJ19" s="1180"/>
      <c r="AK19" s="1180"/>
      <c r="AL19" s="1180"/>
      <c r="AM19" s="1180"/>
    </row>
    <row r="20" spans="1:39" ht="15" customHeight="1">
      <c r="A20" s="1180"/>
      <c r="B20" s="1180"/>
      <c r="C20" s="1180"/>
      <c r="D20" s="1180"/>
      <c r="E20" s="1180"/>
      <c r="F20" s="1180"/>
      <c r="G20" s="1180"/>
      <c r="H20" s="1180"/>
      <c r="I20" s="1180"/>
      <c r="J20" s="1180"/>
      <c r="K20" s="807"/>
      <c r="L20" s="1315"/>
      <c r="M20" s="1315"/>
      <c r="N20" s="1315"/>
      <c r="O20" s="1315"/>
      <c r="P20" s="1315"/>
      <c r="Q20" s="1315"/>
      <c r="R20" s="1315"/>
      <c r="S20" s="1315"/>
      <c r="T20" s="1315"/>
      <c r="U20" s="1321"/>
      <c r="V20" s="1320"/>
      <c r="W20" s="1180"/>
      <c r="X20" s="1180"/>
      <c r="Y20" s="1180"/>
      <c r="Z20" s="1180"/>
      <c r="AA20" s="1180"/>
      <c r="AB20" s="1180"/>
      <c r="AC20" s="1180"/>
      <c r="AD20" s="1180"/>
      <c r="AE20" s="1180"/>
      <c r="AF20" s="1180"/>
      <c r="AG20" s="1180"/>
      <c r="AH20" s="1180"/>
      <c r="AI20" s="1180"/>
      <c r="AJ20" s="1180"/>
      <c r="AK20" s="1180"/>
      <c r="AL20" s="1180"/>
      <c r="AM20" s="1180"/>
    </row>
  </sheetData>
  <sheetProtection formatColumns="0" formatRows="0" autoFilter="0"/>
  <mergeCells count="7">
    <mergeCell ref="L20:U20"/>
    <mergeCell ref="L19:U19"/>
    <mergeCell ref="L14:L16"/>
    <mergeCell ref="M14:M15"/>
    <mergeCell ref="N14:N15"/>
    <mergeCell ref="O14:O15"/>
    <mergeCell ref="P14:U14"/>
  </mergeCells>
  <phoneticPr fontId="13" type="noConversion"/>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12" zoomScale="60" zoomScaleNormal="100" workbookViewId="0">
      <selection activeCell="O23" sqref="O23"/>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322"/>
      <c r="B1" s="1322"/>
      <c r="C1" s="1322"/>
      <c r="D1" s="1322"/>
    </row>
    <row r="2" spans="1:4" hidden="1">
      <c r="A2" s="1322"/>
      <c r="B2" s="1322"/>
      <c r="C2" s="1322"/>
      <c r="D2" s="1322"/>
    </row>
    <row r="3" spans="1:4" hidden="1">
      <c r="A3" s="1322"/>
      <c r="B3" s="1322"/>
      <c r="C3" s="1322"/>
      <c r="D3" s="1322"/>
    </row>
    <row r="4" spans="1:4" hidden="1">
      <c r="A4" s="1322"/>
      <c r="B4" s="1322"/>
      <c r="C4" s="1322"/>
      <c r="D4" s="1322"/>
    </row>
    <row r="5" spans="1:4" hidden="1">
      <c r="A5" s="1322"/>
      <c r="B5" s="1322"/>
      <c r="C5" s="1322"/>
      <c r="D5" s="1322"/>
    </row>
    <row r="6" spans="1:4">
      <c r="A6" s="1322"/>
      <c r="B6" s="1322"/>
      <c r="C6" s="1323"/>
      <c r="D6" s="1323"/>
    </row>
    <row r="7" spans="1:4" ht="20.100000000000001" customHeight="1">
      <c r="A7" s="1322"/>
      <c r="B7" s="1322"/>
      <c r="C7" s="1323"/>
      <c r="D7" s="1324" t="s">
        <v>109</v>
      </c>
    </row>
    <row r="8" spans="1:4">
      <c r="A8" s="1322"/>
      <c r="B8" s="1322"/>
      <c r="C8" s="1323"/>
      <c r="D8" s="1323"/>
    </row>
    <row r="9" spans="1:4" ht="20.100000000000001" customHeight="1">
      <c r="A9" s="1322"/>
      <c r="B9" s="1322"/>
      <c r="C9" s="1323"/>
      <c r="D9" s="1325" t="s">
        <v>3002</v>
      </c>
    </row>
    <row r="10" spans="1:4" ht="39.75" customHeight="1">
      <c r="A10" s="1322"/>
      <c r="B10" s="1322"/>
      <c r="C10" s="1323"/>
      <c r="D10" s="1325" t="s">
        <v>3004</v>
      </c>
    </row>
    <row r="11" spans="1:4" ht="79.5" customHeight="1">
      <c r="A11" s="1322"/>
      <c r="B11" s="1322"/>
      <c r="C11" s="1323"/>
      <c r="D11" s="1325" t="s">
        <v>3005</v>
      </c>
    </row>
    <row r="12" spans="1:4" ht="129.75" customHeight="1">
      <c r="A12" s="1322"/>
      <c r="B12" s="1322"/>
      <c r="C12" s="1323"/>
      <c r="D12" s="1325" t="s">
        <v>3006</v>
      </c>
    </row>
    <row r="13" spans="1:4" ht="129.75" customHeight="1">
      <c r="A13" s="1322"/>
      <c r="B13" s="1322"/>
      <c r="C13" s="1323"/>
      <c r="D13" s="1325" t="s">
        <v>3007</v>
      </c>
    </row>
    <row r="14" spans="1:4" ht="134.25" customHeight="1">
      <c r="A14" s="1322"/>
      <c r="B14" s="1322"/>
      <c r="C14" s="1323"/>
      <c r="D14" s="1325" t="s">
        <v>3003</v>
      </c>
    </row>
    <row r="15" spans="1:4" ht="20.100000000000001" customHeight="1">
      <c r="A15" s="1322"/>
      <c r="B15" s="1322"/>
      <c r="C15" s="1323"/>
      <c r="D15" s="1326"/>
    </row>
    <row r="16" spans="1:4" ht="20.100000000000001" customHeight="1">
      <c r="A16" s="1322"/>
      <c r="B16" s="1322"/>
      <c r="C16" s="1323"/>
      <c r="D16" s="1326"/>
    </row>
    <row r="17" spans="1:4" ht="20.100000000000001" customHeight="1">
      <c r="A17" s="1322"/>
      <c r="B17" s="1322"/>
      <c r="C17" s="1323"/>
      <c r="D17" s="1326"/>
    </row>
    <row r="18" spans="1:4" ht="20.100000000000001" customHeight="1">
      <c r="A18" s="1322"/>
      <c r="B18" s="1322"/>
      <c r="C18" s="1323"/>
      <c r="D18" s="1326"/>
    </row>
    <row r="19" spans="1:4">
      <c r="A19" s="1322"/>
      <c r="B19" s="1322"/>
      <c r="C19" s="1323"/>
      <c r="D19" s="1323"/>
    </row>
  </sheetData>
  <sheetProtection formatColumns="0" formatRows="0" autoFilter="0"/>
  <phoneticPr fontId="15"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327" t="s">
        <v>110</v>
      </c>
      <c r="C2" s="1327"/>
      <c r="D2" s="1327"/>
      <c r="E2" s="1327"/>
    </row>
    <row r="3" spans="2:5">
      <c r="B3" s="1328"/>
      <c r="C3" s="1328"/>
      <c r="D3" s="1328"/>
      <c r="E3" s="1328"/>
    </row>
    <row r="4" spans="2:5" ht="21.75" customHeight="1" thickBot="1">
      <c r="B4" s="1329" t="s">
        <v>1117</v>
      </c>
      <c r="C4" s="1329" t="s">
        <v>1118</v>
      </c>
      <c r="D4" s="1329" t="s">
        <v>15</v>
      </c>
      <c r="E4" s="1330" t="s">
        <v>147</v>
      </c>
    </row>
    <row r="5" spans="2:5" ht="12" thickTop="1">
      <c r="B5" s="1328"/>
      <c r="C5" s="1328"/>
      <c r="D5" s="1328"/>
      <c r="E5" s="1328"/>
    </row>
  </sheetData>
  <sheetProtection formatColumns="0" formatRows="0" autoFilter="0"/>
  <autoFilter ref="B4:E4"/>
  <mergeCells count="1">
    <mergeCell ref="B2:E2"/>
  </mergeCells>
  <phoneticPr fontId="15" type="noConversion"/>
  <pageMargins left="0.75" right="0.75" top="1" bottom="0.47222222222222221" header="0.5" footer="0.5"/>
  <pageSetup paperSize="9" orientation="portrait" r:id="rId1"/>
  <headerFooter alignWithMargins="0">
    <oddFooter>&amp;C&amp;A
&amp;P из &amp;N</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80"/>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1001</v>
      </c>
    </row>
    <row r="3" spans="1:27" s="52" customFormat="1" ht="19.5">
      <c r="A3" s="634"/>
      <c r="C3" s="327"/>
      <c r="D3" s="694" t="s">
        <v>18</v>
      </c>
      <c r="E3" s="322"/>
      <c r="F3" s="322"/>
      <c r="G3" s="637" t="str">
        <f>"Тариф " &amp; D3</f>
        <v>Тариф 1</v>
      </c>
      <c r="H3" s="638" t="s">
        <v>992</v>
      </c>
      <c r="I3" s="135" t="s">
        <v>264</v>
      </c>
      <c r="J3" s="52" t="str">
        <f>G3 &amp; " (" &amp;H3&amp; ") - " &amp;H5 &amp; IF(H9="",""," (" &amp; H9 &amp; ")")</f>
        <v xml:space="preserve">Тариф 1 (Водоснабжение) - </v>
      </c>
      <c r="K3" s="52">
        <f>H8</f>
        <v>0</v>
      </c>
      <c r="L3" s="293">
        <f>H5</f>
        <v>0</v>
      </c>
      <c r="M3" s="52">
        <f>H9</f>
        <v>0</v>
      </c>
      <c r="N3" s="52">
        <f>H6</f>
        <v>0</v>
      </c>
    </row>
    <row r="4" spans="1:27" s="52" customFormat="1" ht="19.5">
      <c r="A4" s="634"/>
      <c r="C4" s="327"/>
      <c r="D4" s="694"/>
      <c r="E4" s="322"/>
      <c r="F4" s="322"/>
      <c r="G4" s="639" t="s">
        <v>1203</v>
      </c>
      <c r="H4" s="635"/>
      <c r="I4" s="632"/>
    </row>
    <row r="5" spans="1:27" s="52" customFormat="1" ht="19.5">
      <c r="A5" s="634"/>
      <c r="C5" s="327"/>
      <c r="D5" s="694"/>
      <c r="E5" s="322"/>
      <c r="F5" s="322"/>
      <c r="G5" s="639" t="s">
        <v>244</v>
      </c>
      <c r="H5" s="636"/>
      <c r="I5" s="632"/>
    </row>
    <row r="6" spans="1:27" s="52" customFormat="1" ht="19.5">
      <c r="A6" s="634"/>
      <c r="C6" s="327"/>
      <c r="D6" s="694"/>
      <c r="E6" s="322"/>
      <c r="F6" s="322"/>
      <c r="G6" s="639" t="s">
        <v>245</v>
      </c>
      <c r="H6" s="636"/>
      <c r="I6" s="632"/>
    </row>
    <row r="7" spans="1:27" s="52" customFormat="1" ht="19.5">
      <c r="A7" s="634"/>
      <c r="C7" s="327"/>
      <c r="D7" s="694"/>
      <c r="E7" s="322"/>
      <c r="F7" s="322"/>
      <c r="G7" s="639" t="s">
        <v>246</v>
      </c>
      <c r="H7" s="635"/>
      <c r="I7" s="633"/>
    </row>
    <row r="8" spans="1:27" s="52" customFormat="1" ht="19.5">
      <c r="A8" s="634"/>
      <c r="C8" s="327"/>
      <c r="D8" s="694"/>
      <c r="E8" s="322"/>
      <c r="F8" s="322"/>
      <c r="G8" s="640" t="str">
        <f>IF(H3="Водоотведение","Вид сточных вод","Вид воды")</f>
        <v>Вид воды</v>
      </c>
      <c r="H8" s="636"/>
      <c r="I8" s="632"/>
    </row>
    <row r="9" spans="1:27" s="52" customFormat="1" ht="19.5">
      <c r="A9" s="634"/>
      <c r="C9" s="327"/>
      <c r="D9" s="694"/>
      <c r="E9" s="322"/>
      <c r="F9" s="322"/>
      <c r="G9" s="640" t="s">
        <v>1000</v>
      </c>
      <c r="H9" s="635"/>
      <c r="I9" s="632"/>
    </row>
    <row r="10" spans="1:27" s="52" customFormat="1" ht="19.5">
      <c r="A10" s="634"/>
      <c r="B10" s="52" t="b">
        <f t="shared" ref="B10:B15" si="0">org_declaration="Заявление организации"</f>
        <v>1</v>
      </c>
      <c r="C10" s="327"/>
      <c r="D10" s="694"/>
      <c r="E10" s="322"/>
      <c r="F10" s="322"/>
      <c r="G10" s="639" t="s">
        <v>247</v>
      </c>
      <c r="H10" s="642"/>
      <c r="I10" s="632"/>
    </row>
    <row r="11" spans="1:27" s="52" customFormat="1" ht="19.5">
      <c r="A11" s="634"/>
      <c r="B11" s="52" t="b">
        <f t="shared" si="0"/>
        <v>1</v>
      </c>
      <c r="C11" s="327"/>
      <c r="D11" s="694"/>
      <c r="E11" s="322"/>
      <c r="F11" s="322"/>
      <c r="G11" s="639" t="s">
        <v>248</v>
      </c>
      <c r="H11" s="643"/>
      <c r="I11" s="632"/>
    </row>
    <row r="12" spans="1:27" s="52" customFormat="1" ht="19.5">
      <c r="A12" s="634"/>
      <c r="B12" s="52" t="b">
        <f t="shared" si="0"/>
        <v>1</v>
      </c>
      <c r="C12" s="327"/>
      <c r="D12" s="694"/>
      <c r="E12" s="322"/>
      <c r="F12" s="322"/>
      <c r="G12" s="639" t="s">
        <v>1149</v>
      </c>
      <c r="H12" s="642"/>
      <c r="I12" s="632"/>
    </row>
    <row r="13" spans="1:27" s="52" customFormat="1" ht="19.5">
      <c r="A13" s="634"/>
      <c r="B13" s="52" t="b">
        <f t="shared" si="0"/>
        <v>1</v>
      </c>
      <c r="C13" s="327"/>
      <c r="D13" s="694"/>
      <c r="E13" s="322"/>
      <c r="F13" s="322"/>
      <c r="G13" s="639" t="s">
        <v>249</v>
      </c>
      <c r="H13" s="644"/>
      <c r="I13" s="632"/>
    </row>
    <row r="14" spans="1:27" s="52" customFormat="1" ht="22.5">
      <c r="A14" s="634"/>
      <c r="B14" s="52" t="b">
        <f t="shared" si="0"/>
        <v>1</v>
      </c>
      <c r="C14" s="327"/>
      <c r="D14" s="694"/>
      <c r="E14" s="322"/>
      <c r="F14" s="322"/>
      <c r="G14" s="645"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641"/>
      <c r="I14" s="632"/>
    </row>
    <row r="15" spans="1:27" s="52" customFormat="1" ht="19.5">
      <c r="A15" s="634"/>
      <c r="B15" s="52" t="b">
        <f t="shared" si="0"/>
        <v>1</v>
      </c>
      <c r="C15" s="327"/>
      <c r="D15" s="694"/>
      <c r="E15" s="322"/>
      <c r="F15" s="322"/>
      <c r="G15" s="639" t="s">
        <v>251</v>
      </c>
      <c r="H15" s="646"/>
      <c r="I15" s="632"/>
    </row>
    <row r="16" spans="1:27" s="492" customFormat="1">
      <c r="A16" s="571" t="s">
        <v>1406</v>
      </c>
      <c r="E16" s="647"/>
      <c r="F16" s="647"/>
      <c r="G16" s="647"/>
      <c r="H16" s="647"/>
      <c r="M16" s="493"/>
      <c r="N16" s="493"/>
      <c r="O16" s="493"/>
      <c r="P16" s="493"/>
      <c r="AA16" s="494"/>
    </row>
    <row r="17" spans="1:27" s="52" customFormat="1" ht="19.5">
      <c r="A17" s="634"/>
      <c r="C17" s="570"/>
      <c r="D17" s="135" t="s">
        <v>264</v>
      </c>
      <c r="E17" s="715" t="s">
        <v>208</v>
      </c>
      <c r="F17" s="715"/>
      <c r="G17" s="715"/>
      <c r="H17" s="648"/>
      <c r="I17" s="53"/>
      <c r="J17" s="54"/>
    </row>
    <row r="18" spans="1:27" s="492" customFormat="1">
      <c r="A18" s="571" t="s">
        <v>1407</v>
      </c>
      <c r="E18" s="647"/>
      <c r="F18" s="647"/>
      <c r="G18" s="647"/>
      <c r="H18" s="647"/>
      <c r="M18" s="493"/>
      <c r="N18" s="493"/>
      <c r="O18" s="493"/>
      <c r="P18" s="493"/>
      <c r="AA18" s="494"/>
    </row>
    <row r="19" spans="1:27" s="492" customFormat="1">
      <c r="A19" s="571" t="s">
        <v>1408</v>
      </c>
      <c r="E19" s="647"/>
      <c r="F19" s="647"/>
      <c r="G19" s="647"/>
      <c r="H19" s="647"/>
      <c r="M19" s="493"/>
      <c r="N19" s="493"/>
      <c r="O19" s="493"/>
      <c r="P19" s="493"/>
      <c r="AA19" s="494"/>
    </row>
    <row r="20" spans="1:27" s="492" customFormat="1">
      <c r="A20" s="571" t="s">
        <v>1409</v>
      </c>
      <c r="E20" s="647"/>
      <c r="F20" s="647"/>
      <c r="G20" s="647"/>
      <c r="H20" s="647"/>
      <c r="M20" s="493"/>
      <c r="N20" s="493"/>
      <c r="O20" s="493"/>
      <c r="P20" s="493"/>
      <c r="AA20" s="494"/>
    </row>
    <row r="21" spans="1:27" s="52" customFormat="1" ht="19.5">
      <c r="A21" s="634"/>
      <c r="C21" s="570"/>
      <c r="D21" s="135" t="s">
        <v>264</v>
      </c>
      <c r="E21" s="714" t="s">
        <v>211</v>
      </c>
      <c r="F21" s="715" t="s">
        <v>212</v>
      </c>
      <c r="G21" s="715"/>
      <c r="H21" s="649"/>
      <c r="I21" s="631"/>
    </row>
    <row r="22" spans="1:27" s="52" customFormat="1" ht="19.5">
      <c r="A22" s="634"/>
      <c r="C22" s="570"/>
      <c r="E22" s="714"/>
      <c r="F22" s="715" t="s">
        <v>213</v>
      </c>
      <c r="G22" s="715"/>
      <c r="H22" s="650"/>
      <c r="I22" s="631"/>
    </row>
    <row r="23" spans="1:27" s="52" customFormat="1" ht="19.5">
      <c r="A23" s="634"/>
      <c r="C23" s="570"/>
      <c r="E23" s="714"/>
      <c r="F23" s="715" t="s">
        <v>214</v>
      </c>
      <c r="G23" s="715"/>
      <c r="H23" s="649"/>
      <c r="I23" s="631"/>
    </row>
    <row r="24" spans="1:27" s="52" customFormat="1" ht="19.5">
      <c r="A24" s="634"/>
      <c r="C24" s="570"/>
      <c r="E24" s="714"/>
      <c r="F24" s="715" t="s">
        <v>215</v>
      </c>
      <c r="G24" s="715"/>
      <c r="H24" s="651"/>
      <c r="I24" s="631"/>
    </row>
    <row r="25" spans="1:27" s="52" customFormat="1" ht="19.5">
      <c r="A25" s="634"/>
      <c r="C25" s="570"/>
      <c r="E25" s="714"/>
      <c r="F25" s="715" t="s">
        <v>216</v>
      </c>
      <c r="G25" s="715"/>
      <c r="H25" s="629"/>
      <c r="I25" s="631"/>
      <c r="J25" s="54"/>
    </row>
    <row r="26" spans="1:27" s="492" customFormat="1">
      <c r="A26" s="571" t="s">
        <v>1410</v>
      </c>
      <c r="E26" s="647"/>
      <c r="F26" s="647"/>
      <c r="G26" s="647"/>
      <c r="H26" s="647"/>
      <c r="M26" s="493"/>
      <c r="N26" s="493"/>
      <c r="O26" s="493"/>
      <c r="P26" s="493"/>
      <c r="AA26" s="494"/>
    </row>
    <row r="27" spans="1:27" s="492" customFormat="1">
      <c r="A27" s="571" t="s">
        <v>1411</v>
      </c>
      <c r="E27" s="647"/>
      <c r="F27" s="647"/>
      <c r="G27" s="647"/>
      <c r="H27" s="647"/>
      <c r="M27" s="493"/>
      <c r="N27" s="493"/>
      <c r="O27" s="493"/>
      <c r="P27" s="493"/>
      <c r="AA27" s="494"/>
    </row>
    <row r="28" spans="1:27" s="52" customFormat="1" ht="19.5">
      <c r="A28" s="634"/>
      <c r="C28" s="570"/>
      <c r="D28" s="135" t="s">
        <v>264</v>
      </c>
      <c r="E28" s="714" t="s">
        <v>211</v>
      </c>
      <c r="F28" s="715" t="s">
        <v>212</v>
      </c>
      <c r="G28" s="715"/>
      <c r="H28" s="649"/>
      <c r="I28" s="631"/>
    </row>
    <row r="29" spans="1:27" s="52" customFormat="1" ht="19.5">
      <c r="A29" s="634"/>
      <c r="C29" s="570"/>
      <c r="E29" s="714"/>
      <c r="F29" s="715" t="s">
        <v>213</v>
      </c>
      <c r="G29" s="715"/>
      <c r="H29" s="650"/>
      <c r="I29" s="631"/>
    </row>
    <row r="30" spans="1:27" s="52" customFormat="1" ht="19.5">
      <c r="A30" s="634"/>
      <c r="C30" s="570"/>
      <c r="E30" s="714"/>
      <c r="F30" s="715" t="s">
        <v>214</v>
      </c>
      <c r="G30" s="715"/>
      <c r="H30" s="649"/>
      <c r="I30" s="631"/>
    </row>
    <row r="31" spans="1:27" s="52" customFormat="1" ht="19.5">
      <c r="A31" s="634"/>
      <c r="C31" s="570"/>
      <c r="E31" s="714"/>
      <c r="F31" s="715" t="s">
        <v>215</v>
      </c>
      <c r="G31" s="715"/>
      <c r="H31" s="651"/>
      <c r="I31" s="631"/>
    </row>
    <row r="32" spans="1:27" s="52" customFormat="1" ht="19.5">
      <c r="A32" s="634"/>
      <c r="C32" s="570"/>
      <c r="E32" s="714"/>
      <c r="F32" s="715" t="s">
        <v>219</v>
      </c>
      <c r="G32" s="715"/>
      <c r="H32" s="651"/>
      <c r="I32" s="631"/>
    </row>
    <row r="33" spans="1:27" s="52" customFormat="1" ht="19.5">
      <c r="A33" s="634"/>
      <c r="C33" s="570"/>
      <c r="E33" s="714"/>
      <c r="F33" s="715" t="s">
        <v>220</v>
      </c>
      <c r="G33" s="715"/>
      <c r="H33" s="651"/>
      <c r="I33" s="631"/>
    </row>
    <row r="34" spans="1:27" s="492" customFormat="1">
      <c r="A34" s="571" t="s">
        <v>1412</v>
      </c>
      <c r="E34" s="647"/>
      <c r="F34" s="647"/>
      <c r="G34" s="647"/>
      <c r="H34" s="647"/>
      <c r="M34" s="493"/>
      <c r="N34" s="493"/>
      <c r="O34" s="493"/>
      <c r="P34" s="493"/>
      <c r="AA34" s="494"/>
    </row>
    <row r="35" spans="1:27" s="52" customFormat="1" ht="19.5">
      <c r="A35" s="634"/>
      <c r="C35" s="570"/>
      <c r="D35" s="135" t="s">
        <v>264</v>
      </c>
      <c r="E35" s="714" t="s">
        <v>211</v>
      </c>
      <c r="F35" s="715" t="s">
        <v>212</v>
      </c>
      <c r="G35" s="715"/>
      <c r="H35" s="649"/>
      <c r="I35" s="631"/>
    </row>
    <row r="36" spans="1:27" s="52" customFormat="1" ht="19.5">
      <c r="A36" s="634"/>
      <c r="C36" s="570"/>
      <c r="E36" s="714"/>
      <c r="F36" s="715" t="s">
        <v>213</v>
      </c>
      <c r="G36" s="715"/>
      <c r="H36" s="652"/>
      <c r="I36" s="631"/>
    </row>
    <row r="37" spans="1:27" s="52" customFormat="1" ht="19.5">
      <c r="A37" s="634"/>
      <c r="C37" s="570"/>
      <c r="E37" s="714"/>
      <c r="F37" s="715" t="s">
        <v>214</v>
      </c>
      <c r="G37" s="715"/>
      <c r="H37" s="649"/>
      <c r="I37" s="631"/>
    </row>
    <row r="38" spans="1:27" s="52" customFormat="1" ht="19.5">
      <c r="A38" s="634"/>
      <c r="C38" s="570"/>
      <c r="E38" s="714"/>
      <c r="F38" s="715" t="s">
        <v>215</v>
      </c>
      <c r="G38" s="715"/>
      <c r="H38" s="651"/>
      <c r="I38" s="631"/>
    </row>
    <row r="39" spans="1:27" s="52" customFormat="1" ht="19.5">
      <c r="A39" s="634"/>
      <c r="C39" s="570"/>
      <c r="E39" s="714"/>
      <c r="F39" s="715" t="s">
        <v>221</v>
      </c>
      <c r="G39" s="715"/>
      <c r="H39" s="651"/>
      <c r="I39" s="631"/>
    </row>
    <row r="40" spans="1:27" s="52" customFormat="1" ht="19.5">
      <c r="A40" s="634"/>
      <c r="C40" s="570"/>
      <c r="E40" s="714"/>
      <c r="F40" s="715" t="s">
        <v>1114</v>
      </c>
      <c r="G40" s="715"/>
      <c r="H40" s="651"/>
      <c r="I40" s="631"/>
    </row>
    <row r="41" spans="1:27" s="492" customFormat="1">
      <c r="A41" s="571" t="s">
        <v>1413</v>
      </c>
      <c r="E41" s="647"/>
      <c r="F41" s="647"/>
      <c r="G41" s="647"/>
      <c r="H41" s="647"/>
      <c r="M41" s="493"/>
      <c r="N41" s="493"/>
      <c r="O41" s="493"/>
      <c r="P41" s="493"/>
      <c r="AA41" s="494"/>
    </row>
    <row r="42" spans="1:27" s="492" customFormat="1" ht="19.5">
      <c r="A42" s="663"/>
      <c r="E42" s="647"/>
      <c r="F42" s="647"/>
      <c r="G42" s="653"/>
      <c r="H42" s="654"/>
      <c r="I42" s="135" t="s">
        <v>264</v>
      </c>
      <c r="M42" s="493"/>
      <c r="N42" s="493"/>
      <c r="O42" s="493"/>
      <c r="P42" s="493"/>
      <c r="AA42" s="494"/>
    </row>
    <row r="43" spans="1:27" s="492" customFormat="1">
      <c r="A43" s="572"/>
      <c r="M43" s="493"/>
      <c r="N43" s="493"/>
      <c r="O43" s="493"/>
      <c r="P43" s="493"/>
      <c r="AA43" s="494"/>
    </row>
    <row r="44" spans="1:27" s="131" customFormat="1" ht="30" customHeight="1">
      <c r="A44" s="130" t="s">
        <v>1002</v>
      </c>
      <c r="M44" s="132"/>
      <c r="N44" s="132"/>
      <c r="O44" s="132"/>
      <c r="P44" s="132"/>
      <c r="AA44" s="133"/>
    </row>
    <row r="45" spans="1:27">
      <c r="A45" s="134" t="s">
        <v>1003</v>
      </c>
    </row>
    <row r="46" spans="1:27" s="55" customFormat="1" ht="15" customHeight="1">
      <c r="A46" s="146" t="s">
        <v>18</v>
      </c>
      <c r="D46" s="56"/>
      <c r="E46" s="59"/>
      <c r="F46" s="59"/>
      <c r="G46" s="59"/>
      <c r="H46" s="59"/>
      <c r="I46" s="59"/>
      <c r="J46" s="59"/>
      <c r="K46" s="59"/>
      <c r="L46" s="145" t="str">
        <f>INDEX('Общие сведения'!$J$114:$J$127,MATCH($A46,'Общие сведения'!$D$114:$D$127,0))</f>
        <v>Тариф 1 (Водоснабжение) - тариф на питьевую воду</v>
      </c>
      <c r="M46" s="139"/>
      <c r="N46" s="139"/>
      <c r="O46" s="139"/>
      <c r="P46" s="139"/>
      <c r="Q46" s="139"/>
    </row>
    <row r="47" spans="1:27" s="55" customFormat="1" ht="12.75" outlineLevel="1">
      <c r="A47" s="146" t="str">
        <f>A46</f>
        <v>1</v>
      </c>
      <c r="D47" s="60"/>
      <c r="E47" s="61"/>
      <c r="F47" s="61"/>
      <c r="G47" s="61"/>
      <c r="H47" s="61"/>
      <c r="I47" s="61"/>
      <c r="J47" s="61"/>
      <c r="K47" s="61"/>
      <c r="L47" s="62" t="s">
        <v>18</v>
      </c>
      <c r="M47" s="63"/>
      <c r="N47" s="63"/>
      <c r="O47" s="144"/>
      <c r="P47" s="171"/>
      <c r="Q47" s="171"/>
    </row>
    <row r="48" spans="1:27" s="55" customFormat="1" ht="15" customHeight="1" outlineLevel="1">
      <c r="A48" s="146" t="str">
        <f>A46</f>
        <v>1</v>
      </c>
      <c r="D48" s="56"/>
      <c r="E48" s="57"/>
      <c r="F48" s="57"/>
      <c r="G48" s="57"/>
      <c r="H48" s="57"/>
      <c r="I48" s="57"/>
      <c r="J48" s="57"/>
      <c r="K48" s="57"/>
      <c r="L48" s="140"/>
      <c r="M48" s="306" t="s">
        <v>265</v>
      </c>
      <c r="N48" s="141"/>
      <c r="O48" s="141"/>
      <c r="P48" s="141"/>
      <c r="Q48" s="142"/>
    </row>
    <row r="49" spans="1:28">
      <c r="A49" s="134" t="s">
        <v>1004</v>
      </c>
      <c r="Q49" s="3"/>
      <c r="AA49" s="1"/>
      <c r="AB49" s="5"/>
    </row>
    <row r="50" spans="1:28" s="55" customFormat="1" ht="14.25" outlineLevel="1">
      <c r="A50" s="146" t="str">
        <f ca="1">OFFSET(A50,-1,0)</f>
        <v>et_List01_mo</v>
      </c>
      <c r="D50" s="60"/>
      <c r="E50" s="61"/>
      <c r="F50" s="61"/>
      <c r="G50" s="61"/>
      <c r="H50" s="61"/>
      <c r="I50" s="61"/>
      <c r="J50" s="61"/>
      <c r="K50" s="135" t="s">
        <v>264</v>
      </c>
      <c r="L50" s="62" t="s">
        <v>18</v>
      </c>
      <c r="M50" s="63"/>
      <c r="N50" s="63"/>
      <c r="O50" s="144"/>
      <c r="P50" s="171"/>
      <c r="Q50" s="171"/>
    </row>
    <row r="52" spans="1:28" s="131" customFormat="1" ht="30" customHeight="1">
      <c r="A52" s="130" t="s">
        <v>1008</v>
      </c>
      <c r="M52" s="132"/>
      <c r="N52" s="132"/>
      <c r="O52" s="132"/>
      <c r="P52" s="132"/>
      <c r="AA52" s="133"/>
    </row>
    <row r="53" spans="1:28">
      <c r="A53" s="134" t="s">
        <v>1009</v>
      </c>
    </row>
    <row r="54" spans="1:28" s="65" customFormat="1" ht="15" customHeight="1">
      <c r="A54" s="573" t="s">
        <v>18</v>
      </c>
      <c r="L54" s="149" t="str">
        <f>INDEX('Общие сведения'!$J$114:$J$127,MATCH($A54,'Общие сведения'!$D$114:$D$127,0))</f>
        <v>Тариф 1 (Водоснабжение) - тариф на питьевую воду</v>
      </c>
      <c r="M54" s="145"/>
      <c r="N54" s="139"/>
      <c r="O54" s="139"/>
      <c r="P54" s="139"/>
      <c r="Q54" s="139"/>
      <c r="R54" s="139"/>
      <c r="S54" s="139"/>
    </row>
    <row r="55" spans="1:28" s="65" customFormat="1" ht="15" customHeight="1" outlineLevel="1">
      <c r="A55" s="574" t="str">
        <f t="shared" ref="A55:A61" si="1">A54</f>
        <v>1</v>
      </c>
      <c r="B55" s="65" t="s">
        <v>1480</v>
      </c>
      <c r="C55" s="65" t="s">
        <v>1483</v>
      </c>
      <c r="D55" s="65" t="str">
        <f>M55&amp;"::"&amp;N55</f>
        <v>Водонасосные станции (водозаборные узлы)::ед.</v>
      </c>
      <c r="L55" s="150">
        <v>1</v>
      </c>
      <c r="M55" s="148" t="s">
        <v>269</v>
      </c>
      <c r="N55" s="66" t="s">
        <v>270</v>
      </c>
      <c r="O55" s="155"/>
      <c r="P55" s="154"/>
      <c r="Q55" s="154"/>
      <c r="R55" s="154"/>
      <c r="S55" s="157"/>
    </row>
    <row r="56" spans="1:28" s="65" customFormat="1" ht="15" customHeight="1" outlineLevel="1">
      <c r="A56" s="574" t="str">
        <f t="shared" si="1"/>
        <v>1</v>
      </c>
      <c r="B56" s="65" t="s">
        <v>1480</v>
      </c>
      <c r="C56" s="65" t="s">
        <v>1483</v>
      </c>
      <c r="D56" s="65" t="str">
        <f>M56&amp;"::"&amp;N56</f>
        <v>Скважины::ед.</v>
      </c>
      <c r="L56" s="150">
        <v>2</v>
      </c>
      <c r="M56" s="148" t="s">
        <v>271</v>
      </c>
      <c r="N56" s="66" t="s">
        <v>270</v>
      </c>
      <c r="O56" s="155"/>
      <c r="P56" s="154"/>
      <c r="Q56" s="154"/>
      <c r="R56" s="154"/>
      <c r="S56" s="157"/>
    </row>
    <row r="57" spans="1:28" s="65" customFormat="1" ht="15" customHeight="1" outlineLevel="1">
      <c r="A57" s="574" t="str">
        <f t="shared" si="1"/>
        <v>1</v>
      </c>
      <c r="B57" s="65" t="s">
        <v>1480</v>
      </c>
      <c r="C57" s="65" t="s">
        <v>1483</v>
      </c>
      <c r="D57" s="65" t="str">
        <f>M57&amp;"::"&amp;N57</f>
        <v>Подкачивающие насосные станции::ед.</v>
      </c>
      <c r="L57" s="150">
        <v>3</v>
      </c>
      <c r="M57" s="148" t="s">
        <v>272</v>
      </c>
      <c r="N57" s="66" t="s">
        <v>270</v>
      </c>
      <c r="O57" s="155"/>
      <c r="P57" s="154"/>
      <c r="Q57" s="154"/>
      <c r="R57" s="154"/>
      <c r="S57" s="157"/>
    </row>
    <row r="58" spans="1:28" s="65" customFormat="1" ht="15" customHeight="1" outlineLevel="1">
      <c r="A58" s="574" t="str">
        <f t="shared" si="1"/>
        <v>1</v>
      </c>
      <c r="B58" s="65" t="s">
        <v>1480</v>
      </c>
      <c r="C58" s="65" t="s">
        <v>1483</v>
      </c>
      <c r="D58" s="65" t="str">
        <f>M58&amp;"::"&amp;N58</f>
        <v>Водонапорные башни::ед.</v>
      </c>
      <c r="L58" s="150">
        <v>4</v>
      </c>
      <c r="M58" s="148" t="s">
        <v>273</v>
      </c>
      <c r="N58" s="66" t="s">
        <v>270</v>
      </c>
      <c r="O58" s="155"/>
      <c r="P58" s="154"/>
      <c r="Q58" s="154"/>
      <c r="R58" s="154"/>
      <c r="S58" s="157"/>
    </row>
    <row r="59" spans="1:28" s="65" customFormat="1" ht="15" customHeight="1" outlineLevel="1">
      <c r="A59" s="574" t="str">
        <f t="shared" si="1"/>
        <v>1</v>
      </c>
      <c r="B59" s="65" t="s">
        <v>1480</v>
      </c>
      <c r="C59" s="65" t="s">
        <v>1483</v>
      </c>
      <c r="D59" s="65" t="str">
        <f>M59&amp;"::"&amp;N59</f>
        <v>Водопроводные сети::км</v>
      </c>
      <c r="L59" s="150">
        <v>5</v>
      </c>
      <c r="M59" s="148" t="s">
        <v>274</v>
      </c>
      <c r="N59" s="66" t="s">
        <v>275</v>
      </c>
      <c r="O59" s="156"/>
      <c r="P59" s="152"/>
      <c r="Q59" s="152"/>
      <c r="R59" s="152"/>
      <c r="S59" s="157"/>
    </row>
    <row r="60" spans="1:28" s="65" customFormat="1" ht="15" customHeight="1" outlineLevel="1">
      <c r="A60" s="574" t="str">
        <f t="shared" si="1"/>
        <v>1</v>
      </c>
      <c r="B60" s="65" t="str">
        <f>A60&amp;"pIns"</f>
        <v>1pIns</v>
      </c>
      <c r="L60" s="140"/>
      <c r="M60" s="423" t="s">
        <v>352</v>
      </c>
      <c r="N60" s="141"/>
      <c r="O60" s="141"/>
      <c r="P60" s="141"/>
      <c r="Q60" s="141"/>
      <c r="R60" s="141"/>
      <c r="S60" s="153"/>
    </row>
    <row r="61" spans="1:28" s="65" customFormat="1" ht="15" customHeight="1" outlineLevel="1">
      <c r="A61" s="574" t="str">
        <f t="shared" si="1"/>
        <v>1</v>
      </c>
      <c r="B61" s="65" t="s">
        <v>1481</v>
      </c>
      <c r="C61" s="65" t="s">
        <v>1483</v>
      </c>
      <c r="D61" s="662" t="str">
        <f>M61</f>
        <v>Краткое описание технологического процесса</v>
      </c>
      <c r="L61" s="150"/>
      <c r="M61" s="148" t="s">
        <v>1192</v>
      </c>
      <c r="N61" s="66"/>
      <c r="O61" s="701"/>
      <c r="P61" s="702"/>
      <c r="Q61" s="702"/>
      <c r="R61" s="702"/>
      <c r="S61" s="703"/>
    </row>
    <row r="62" spans="1:28">
      <c r="A62" s="134" t="s">
        <v>1010</v>
      </c>
    </row>
    <row r="63" spans="1:28" s="65" customFormat="1" ht="15" customHeight="1">
      <c r="A63" s="573" t="s">
        <v>18</v>
      </c>
      <c r="L63" s="149" t="str">
        <f>INDEX('Общие сведения'!$J$114:$J$127,MATCH($A63,'Общие сведения'!$D$114:$D$127,0))</f>
        <v>Тариф 1 (Водоснабжение) - тариф на питьевую воду</v>
      </c>
      <c r="M63" s="145"/>
      <c r="N63" s="139"/>
      <c r="O63" s="139"/>
      <c r="P63" s="139"/>
      <c r="Q63" s="139"/>
      <c r="R63" s="139"/>
      <c r="S63" s="139"/>
    </row>
    <row r="64" spans="1:28" s="65" customFormat="1" ht="15" customHeight="1" outlineLevel="1">
      <c r="A64" s="574" t="str">
        <f>A63</f>
        <v>1</v>
      </c>
      <c r="B64" s="65" t="s">
        <v>1480</v>
      </c>
      <c r="C64" s="65" t="s">
        <v>1483</v>
      </c>
      <c r="D64" s="65" t="str">
        <f>M64&amp;"::"&amp;N64</f>
        <v>Биологические очистные сооружения::ед.</v>
      </c>
      <c r="L64" s="150">
        <v>1</v>
      </c>
      <c r="M64" s="148" t="s">
        <v>276</v>
      </c>
      <c r="N64" s="66" t="s">
        <v>270</v>
      </c>
      <c r="O64" s="155"/>
      <c r="P64" s="154"/>
      <c r="Q64" s="154"/>
      <c r="R64" s="154"/>
      <c r="S64" s="157"/>
    </row>
    <row r="65" spans="1:42" s="65" customFormat="1" ht="15" customHeight="1" outlineLevel="1">
      <c r="A65" s="574" t="str">
        <f>A64</f>
        <v>1</v>
      </c>
      <c r="B65" s="65" t="s">
        <v>1480</v>
      </c>
      <c r="C65" s="65" t="s">
        <v>1483</v>
      </c>
      <c r="D65" s="65" t="str">
        <f>M65&amp;"::"&amp;N65</f>
        <v>Канализационные насосные станции::ед.</v>
      </c>
      <c r="L65" s="150">
        <v>2</v>
      </c>
      <c r="M65" s="148" t="s">
        <v>277</v>
      </c>
      <c r="N65" s="66" t="s">
        <v>270</v>
      </c>
      <c r="O65" s="155"/>
      <c r="P65" s="154"/>
      <c r="Q65" s="154"/>
      <c r="R65" s="154"/>
      <c r="S65" s="157"/>
    </row>
    <row r="66" spans="1:42" s="65" customFormat="1" ht="15" customHeight="1" outlineLevel="1">
      <c r="A66" s="574" t="str">
        <f>A65</f>
        <v>1</v>
      </c>
      <c r="B66" s="65" t="s">
        <v>1480</v>
      </c>
      <c r="C66" s="65" t="s">
        <v>1483</v>
      </c>
      <c r="D66" s="65" t="str">
        <f>M66&amp;"::"&amp;N66</f>
        <v>Канализационные сети::км</v>
      </c>
      <c r="L66" s="150">
        <v>3</v>
      </c>
      <c r="M66" s="148" t="s">
        <v>278</v>
      </c>
      <c r="N66" s="66" t="s">
        <v>275</v>
      </c>
      <c r="O66" s="156"/>
      <c r="P66" s="152"/>
      <c r="Q66" s="152"/>
      <c r="R66" s="152"/>
      <c r="S66" s="157"/>
    </row>
    <row r="67" spans="1:42" s="65" customFormat="1" ht="15" customHeight="1" outlineLevel="1">
      <c r="A67" s="574" t="str">
        <f>A66</f>
        <v>1</v>
      </c>
      <c r="B67" s="65" t="str">
        <f>A67&amp;"pIns"</f>
        <v>1pIns</v>
      </c>
      <c r="L67" s="140"/>
      <c r="M67" s="423" t="s">
        <v>352</v>
      </c>
      <c r="N67" s="141"/>
      <c r="O67" s="141"/>
      <c r="P67" s="141"/>
      <c r="Q67" s="141"/>
      <c r="R67" s="141"/>
      <c r="S67" s="153"/>
    </row>
    <row r="68" spans="1:42" s="65" customFormat="1" ht="15" customHeight="1">
      <c r="A68" s="574" t="str">
        <f>A67</f>
        <v>1</v>
      </c>
      <c r="B68" s="65" t="s">
        <v>1481</v>
      </c>
      <c r="C68" s="65" t="s">
        <v>1483</v>
      </c>
      <c r="D68" s="662" t="str">
        <f>M68</f>
        <v>Краткое описание технологического процесса</v>
      </c>
      <c r="L68" s="150"/>
      <c r="M68" s="148" t="s">
        <v>1192</v>
      </c>
      <c r="N68" s="66"/>
      <c r="O68" s="701"/>
      <c r="P68" s="702"/>
      <c r="Q68" s="702"/>
      <c r="R68" s="702"/>
      <c r="S68" s="703"/>
    </row>
    <row r="69" spans="1:42">
      <c r="A69" s="134" t="s">
        <v>1012</v>
      </c>
    </row>
    <row r="70" spans="1:42" s="68" customFormat="1" ht="14.25">
      <c r="A70" s="575"/>
      <c r="C70" s="659"/>
      <c r="D70" s="659"/>
      <c r="F70" s="659"/>
      <c r="G70" s="659"/>
      <c r="K70" s="135" t="s">
        <v>264</v>
      </c>
      <c r="L70" s="151"/>
      <c r="M70" s="660" t="str">
        <f>F70&amp;" :: " &amp;G70&amp;" :: " &amp; H70</f>
        <v xml:space="preserve"> ::  :: </v>
      </c>
      <c r="N70" s="660"/>
      <c r="O70" s="660"/>
      <c r="P70" s="661"/>
      <c r="Q70" s="661"/>
      <c r="R70" s="157"/>
      <c r="S70" s="67"/>
    </row>
    <row r="71" spans="1:42">
      <c r="A71" s="134" t="s">
        <v>1195</v>
      </c>
    </row>
    <row r="72" spans="1:42" s="65" customFormat="1" ht="15" customHeight="1" outlineLevel="1">
      <c r="A72" s="146" t="str">
        <f ca="1">OFFSET(A72,-1,0)</f>
        <v>et_List02_1</v>
      </c>
      <c r="B72" s="65" t="s">
        <v>1480</v>
      </c>
      <c r="C72" s="65" t="s">
        <v>1483</v>
      </c>
      <c r="D72" s="65" t="str">
        <f>M72&amp;"::"&amp;N72</f>
        <v>::</v>
      </c>
      <c r="K72" s="135" t="s">
        <v>264</v>
      </c>
      <c r="L72" s="150">
        <v>1</v>
      </c>
      <c r="M72" s="158"/>
      <c r="N72" s="599"/>
      <c r="O72" s="156"/>
      <c r="P72" s="152"/>
      <c r="Q72" s="152"/>
      <c r="R72" s="152"/>
      <c r="S72" s="157"/>
    </row>
    <row r="73" spans="1:42" s="188" customFormat="1" ht="14.25">
      <c r="A73" s="576"/>
      <c r="K73" s="189"/>
      <c r="L73" s="190"/>
      <c r="M73" s="191"/>
      <c r="N73" s="192"/>
      <c r="O73" s="193"/>
      <c r="P73" s="193"/>
      <c r="Q73" s="193"/>
      <c r="R73" s="191"/>
      <c r="S73" s="191"/>
      <c r="T73" s="194"/>
    </row>
    <row r="74" spans="1:42" s="131" customFormat="1" ht="30" customHeight="1">
      <c r="A74" s="130" t="s">
        <v>1077</v>
      </c>
      <c r="M74" s="132"/>
      <c r="N74" s="132"/>
      <c r="O74" s="132"/>
      <c r="P74" s="132"/>
      <c r="AA74" s="133"/>
    </row>
    <row r="75" spans="1:42">
      <c r="A75" s="134" t="s">
        <v>1113</v>
      </c>
    </row>
    <row r="76" spans="1:42" s="88" customFormat="1">
      <c r="A76" s="573" t="s">
        <v>18</v>
      </c>
      <c r="L76" s="149" t="str">
        <f>INDEX('Общие сведения'!$J$114:$J$127,MATCH($A76,'Общие сведения'!$D$114:$D$127,0))</f>
        <v>Тариф 1 (Водоснабжение) - тариф на питьевую воду</v>
      </c>
      <c r="M76" s="145"/>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200"/>
      <c r="AN76" s="200"/>
      <c r="AO76" s="200"/>
      <c r="AP76" s="200"/>
    </row>
    <row r="77" spans="1:42" s="70" customFormat="1" outlineLevel="1">
      <c r="A77" s="577" t="str">
        <f>A76</f>
        <v>1</v>
      </c>
      <c r="B77" s="70" t="s">
        <v>1191</v>
      </c>
      <c r="L77" s="318"/>
      <c r="M77" s="319" t="s">
        <v>145</v>
      </c>
      <c r="N77" s="320"/>
      <c r="O77" s="320"/>
      <c r="P77" s="320"/>
      <c r="Q77" s="320"/>
      <c r="R77" s="320"/>
      <c r="S77" s="419">
        <f>(1-S78/100)*(1+S79/100)*(1+S81/100)</f>
        <v>1</v>
      </c>
      <c r="T77" s="419">
        <f>(1-T78/100)*(1+T79/100)*(1+T81/100)</f>
        <v>1</v>
      </c>
      <c r="U77" s="419">
        <f>(1-U78/100)*(1+U79/100)*(1+U81/100)</f>
        <v>1</v>
      </c>
      <c r="V77" s="320"/>
      <c r="W77" s="320"/>
      <c r="X77" s="320"/>
      <c r="Y77" s="419">
        <f>(1-Y78/100)*(1+Y79/100)*(1+Y81/100)</f>
        <v>1</v>
      </c>
      <c r="Z77" s="419">
        <f t="shared" ref="Z77:AP77" si="2">(1-Z78/100)*(1+Z79/100)*(1+Z81/100)</f>
        <v>1</v>
      </c>
      <c r="AA77" s="419">
        <f t="shared" si="2"/>
        <v>1</v>
      </c>
      <c r="AB77" s="419">
        <f t="shared" si="2"/>
        <v>1</v>
      </c>
      <c r="AC77" s="419">
        <f t="shared" si="2"/>
        <v>1</v>
      </c>
      <c r="AD77" s="419">
        <f t="shared" si="2"/>
        <v>1</v>
      </c>
      <c r="AE77" s="419">
        <f t="shared" si="2"/>
        <v>1</v>
      </c>
      <c r="AF77" s="419">
        <f t="shared" si="2"/>
        <v>1</v>
      </c>
      <c r="AG77" s="419">
        <f t="shared" si="2"/>
        <v>1</v>
      </c>
      <c r="AH77" s="419">
        <f t="shared" si="2"/>
        <v>1</v>
      </c>
      <c r="AI77" s="419">
        <f t="shared" si="2"/>
        <v>1</v>
      </c>
      <c r="AJ77" s="419">
        <f t="shared" si="2"/>
        <v>1</v>
      </c>
      <c r="AK77" s="419">
        <f t="shared" si="2"/>
        <v>1</v>
      </c>
      <c r="AL77" s="419">
        <f t="shared" si="2"/>
        <v>1</v>
      </c>
      <c r="AM77" s="419">
        <f t="shared" si="2"/>
        <v>1</v>
      </c>
      <c r="AN77" s="419">
        <f t="shared" si="2"/>
        <v>1</v>
      </c>
      <c r="AO77" s="419">
        <f t="shared" si="2"/>
        <v>1</v>
      </c>
      <c r="AP77" s="419">
        <f t="shared" si="2"/>
        <v>1</v>
      </c>
    </row>
    <row r="78" spans="1:42" s="70" customFormat="1" ht="22.5" customHeight="1" outlineLevel="1">
      <c r="A78" s="577" t="str">
        <f t="shared" ref="A78:A93" si="3">A77</f>
        <v>1</v>
      </c>
      <c r="B78" s="70" t="s">
        <v>1188</v>
      </c>
      <c r="C78" s="70" t="s">
        <v>1491</v>
      </c>
      <c r="L78" s="72">
        <v>1</v>
      </c>
      <c r="M78" s="73" t="s">
        <v>288</v>
      </c>
      <c r="N78" s="75" t="s">
        <v>137</v>
      </c>
      <c r="O78" s="328"/>
      <c r="P78" s="328"/>
      <c r="Q78" s="328"/>
      <c r="R78" s="342"/>
      <c r="S78" s="328"/>
      <c r="T78" s="328"/>
      <c r="U78" s="328"/>
      <c r="V78" s="337">
        <f>IF(S78&lt;&gt;0,U78/S78,0)</f>
        <v>0</v>
      </c>
      <c r="W78" s="333">
        <f>U78-T78</f>
        <v>0</v>
      </c>
      <c r="X78" s="342"/>
      <c r="Y78" s="328"/>
      <c r="Z78" s="328"/>
      <c r="AA78" s="328"/>
      <c r="AB78" s="328"/>
      <c r="AC78" s="328"/>
      <c r="AD78" s="328"/>
      <c r="AE78" s="328"/>
      <c r="AF78" s="328"/>
      <c r="AG78" s="328"/>
      <c r="AH78" s="328"/>
      <c r="AI78" s="328"/>
      <c r="AJ78" s="328"/>
      <c r="AK78" s="328"/>
      <c r="AL78" s="328"/>
      <c r="AM78" s="328"/>
      <c r="AN78" s="328"/>
      <c r="AO78" s="328"/>
      <c r="AP78" s="328"/>
    </row>
    <row r="79" spans="1:42" s="70" customFormat="1" outlineLevel="1">
      <c r="A79" s="577" t="str">
        <f t="shared" si="3"/>
        <v>1</v>
      </c>
      <c r="B79" s="70" t="s">
        <v>1189</v>
      </c>
      <c r="C79" s="70" t="s">
        <v>1489</v>
      </c>
      <c r="L79" s="72">
        <v>2</v>
      </c>
      <c r="M79" s="74" t="s">
        <v>146</v>
      </c>
      <c r="N79" s="75" t="s">
        <v>137</v>
      </c>
      <c r="O79" s="328"/>
      <c r="P79" s="328"/>
      <c r="Q79" s="328"/>
      <c r="R79" s="342"/>
      <c r="S79" s="328"/>
      <c r="T79" s="328"/>
      <c r="U79" s="328"/>
      <c r="V79" s="337">
        <f>IF(S79&lt;&gt;0,U79/S79,0)</f>
        <v>0</v>
      </c>
      <c r="W79" s="333">
        <f>U79-T79</f>
        <v>0</v>
      </c>
      <c r="X79" s="342"/>
      <c r="Y79" s="328"/>
      <c r="Z79" s="328"/>
      <c r="AA79" s="328"/>
      <c r="AB79" s="328"/>
      <c r="AC79" s="328"/>
      <c r="AD79" s="328"/>
      <c r="AE79" s="328"/>
      <c r="AF79" s="328"/>
      <c r="AG79" s="328"/>
      <c r="AH79" s="328"/>
      <c r="AI79" s="328"/>
      <c r="AJ79" s="328"/>
      <c r="AK79" s="328"/>
      <c r="AL79" s="328"/>
      <c r="AM79" s="328"/>
      <c r="AN79" s="328"/>
      <c r="AO79" s="328"/>
      <c r="AP79" s="328"/>
    </row>
    <row r="80" spans="1:42" s="70" customFormat="1" outlineLevel="1">
      <c r="A80" s="577" t="str">
        <f t="shared" si="3"/>
        <v>1</v>
      </c>
      <c r="C80" s="70" t="s">
        <v>1490</v>
      </c>
      <c r="L80" s="72">
        <v>3</v>
      </c>
      <c r="M80" s="76" t="s">
        <v>289</v>
      </c>
      <c r="N80" s="75" t="s">
        <v>137</v>
      </c>
      <c r="O80" s="328"/>
      <c r="P80" s="328"/>
      <c r="Q80" s="328"/>
      <c r="R80" s="342"/>
      <c r="S80" s="328"/>
      <c r="T80" s="328"/>
      <c r="U80" s="328"/>
      <c r="V80" s="337">
        <f>IF(S80&lt;&gt;0,U80/S80,0)</f>
        <v>0</v>
      </c>
      <c r="W80" s="333">
        <f>U80-T80</f>
        <v>0</v>
      </c>
      <c r="X80" s="342"/>
      <c r="Y80" s="328"/>
      <c r="Z80" s="328"/>
      <c r="AA80" s="328"/>
      <c r="AB80" s="328"/>
      <c r="AC80" s="328"/>
      <c r="AD80" s="328"/>
      <c r="AE80" s="328"/>
      <c r="AF80" s="328"/>
      <c r="AG80" s="328"/>
      <c r="AH80" s="328"/>
      <c r="AI80" s="328"/>
      <c r="AJ80" s="328"/>
      <c r="AK80" s="328"/>
      <c r="AL80" s="328"/>
      <c r="AM80" s="328"/>
      <c r="AN80" s="328"/>
      <c r="AO80" s="328"/>
      <c r="AP80" s="328"/>
    </row>
    <row r="81" spans="1:42" s="70" customFormat="1" outlineLevel="1">
      <c r="A81" s="577" t="str">
        <f t="shared" si="3"/>
        <v>1</v>
      </c>
      <c r="B81" s="70" t="s">
        <v>1190</v>
      </c>
      <c r="C81" s="70" t="s">
        <v>1488</v>
      </c>
      <c r="L81" s="72">
        <v>4</v>
      </c>
      <c r="M81" s="74" t="s">
        <v>290</v>
      </c>
      <c r="N81" s="75" t="s">
        <v>137</v>
      </c>
      <c r="O81" s="328"/>
      <c r="P81" s="330"/>
      <c r="Q81" s="335"/>
      <c r="R81" s="342"/>
      <c r="S81" s="328"/>
      <c r="T81" s="330"/>
      <c r="U81" s="330"/>
      <c r="V81" s="337">
        <f>IF(S81&lt;&gt;0,U81/S81,0)</f>
        <v>0</v>
      </c>
      <c r="W81" s="333">
        <f>U81-T81</f>
        <v>0</v>
      </c>
      <c r="X81" s="342"/>
      <c r="Y81" s="328"/>
      <c r="Z81" s="328"/>
      <c r="AA81" s="328"/>
      <c r="AB81" s="328"/>
      <c r="AC81" s="328"/>
      <c r="AD81" s="328"/>
      <c r="AE81" s="328"/>
      <c r="AF81" s="328"/>
      <c r="AG81" s="328"/>
      <c r="AH81" s="328"/>
      <c r="AI81" s="328"/>
      <c r="AJ81" s="328"/>
      <c r="AK81" s="328"/>
      <c r="AL81" s="328"/>
      <c r="AM81" s="328"/>
      <c r="AN81" s="328"/>
      <c r="AO81" s="328"/>
      <c r="AP81" s="328"/>
    </row>
    <row r="82" spans="1:42" s="70" customFormat="1" outlineLevel="1">
      <c r="A82" s="577" t="str">
        <f t="shared" si="3"/>
        <v>1</v>
      </c>
      <c r="L82" s="318"/>
      <c r="M82" s="319" t="s">
        <v>291</v>
      </c>
      <c r="N82" s="320"/>
      <c r="O82" s="329"/>
      <c r="P82" s="329"/>
      <c r="Q82" s="329"/>
      <c r="R82" s="321"/>
      <c r="S82" s="329"/>
      <c r="T82" s="329"/>
      <c r="U82" s="329"/>
      <c r="V82" s="338"/>
      <c r="W82" s="329"/>
      <c r="X82" s="321"/>
      <c r="Y82" s="329"/>
      <c r="Z82" s="329"/>
      <c r="AA82" s="329"/>
      <c r="AB82" s="329"/>
      <c r="AC82" s="329"/>
      <c r="AD82" s="329"/>
      <c r="AE82" s="329"/>
      <c r="AF82" s="329"/>
      <c r="AG82" s="329"/>
      <c r="AH82" s="329"/>
      <c r="AI82" s="329"/>
      <c r="AJ82" s="329"/>
      <c r="AK82" s="329"/>
      <c r="AL82" s="329"/>
      <c r="AM82" s="329"/>
      <c r="AN82" s="329"/>
      <c r="AO82" s="329"/>
      <c r="AP82" s="340"/>
    </row>
    <row r="83" spans="1:42" s="70" customFormat="1" outlineLevel="1">
      <c r="A83" s="577" t="str">
        <f t="shared" si="3"/>
        <v>1</v>
      </c>
      <c r="B83" s="70" t="s">
        <v>1193</v>
      </c>
      <c r="C83" s="70" t="s">
        <v>1492</v>
      </c>
      <c r="L83" s="72">
        <v>1</v>
      </c>
      <c r="M83" s="74" t="s">
        <v>292</v>
      </c>
      <c r="N83" s="75" t="s">
        <v>137</v>
      </c>
      <c r="O83" s="330"/>
      <c r="P83" s="328"/>
      <c r="Q83" s="328"/>
      <c r="R83" s="342"/>
      <c r="S83" s="330"/>
      <c r="T83" s="328"/>
      <c r="U83" s="328"/>
      <c r="V83" s="337">
        <f>IF(S83&lt;&gt;0,U83/S83,0)</f>
        <v>0</v>
      </c>
      <c r="W83" s="333">
        <f>U83-T83</f>
        <v>0</v>
      </c>
      <c r="X83" s="342"/>
      <c r="Y83" s="330"/>
      <c r="Z83" s="330"/>
      <c r="AA83" s="330"/>
      <c r="AB83" s="330"/>
      <c r="AC83" s="330"/>
      <c r="AD83" s="330"/>
      <c r="AE83" s="330"/>
      <c r="AF83" s="330"/>
      <c r="AG83" s="330"/>
      <c r="AH83" s="330"/>
      <c r="AI83" s="330"/>
      <c r="AJ83" s="330"/>
      <c r="AK83" s="330"/>
      <c r="AL83" s="330"/>
      <c r="AM83" s="330"/>
      <c r="AN83" s="330"/>
      <c r="AO83" s="330"/>
      <c r="AP83" s="330"/>
    </row>
    <row r="84" spans="1:42" s="70" customFormat="1" outlineLevel="1">
      <c r="A84" s="577" t="str">
        <f t="shared" si="3"/>
        <v>1</v>
      </c>
      <c r="C84" s="70" t="s">
        <v>1493</v>
      </c>
      <c r="L84" s="72">
        <v>2</v>
      </c>
      <c r="M84" s="74" t="s">
        <v>293</v>
      </c>
      <c r="N84" s="75" t="s">
        <v>137</v>
      </c>
      <c r="O84" s="330"/>
      <c r="P84" s="328"/>
      <c r="Q84" s="330"/>
      <c r="R84" s="342"/>
      <c r="S84" s="330"/>
      <c r="T84" s="330"/>
      <c r="U84" s="330"/>
      <c r="V84" s="337">
        <f t="shared" ref="V84:V93" si="4">IF(S84&lt;&gt;0,U84/S84,0)</f>
        <v>0</v>
      </c>
      <c r="W84" s="333">
        <f t="shared" ref="W84:W93" si="5">U84-T84</f>
        <v>0</v>
      </c>
      <c r="X84" s="342"/>
      <c r="Y84" s="330"/>
      <c r="Z84" s="330"/>
      <c r="AA84" s="330"/>
      <c r="AB84" s="330"/>
      <c r="AC84" s="330"/>
      <c r="AD84" s="330"/>
      <c r="AE84" s="330"/>
      <c r="AF84" s="330"/>
      <c r="AG84" s="330"/>
      <c r="AH84" s="330"/>
      <c r="AI84" s="330"/>
      <c r="AJ84" s="330"/>
      <c r="AK84" s="330"/>
      <c r="AL84" s="330"/>
      <c r="AM84" s="330"/>
      <c r="AN84" s="330"/>
      <c r="AO84" s="330"/>
      <c r="AP84" s="330"/>
    </row>
    <row r="85" spans="1:42" s="70" customFormat="1" outlineLevel="1">
      <c r="A85" s="577" t="str">
        <f t="shared" si="3"/>
        <v>1</v>
      </c>
      <c r="L85" s="164">
        <v>3</v>
      </c>
      <c r="M85" s="165" t="s">
        <v>294</v>
      </c>
      <c r="N85" s="78"/>
      <c r="O85" s="331"/>
      <c r="P85" s="334"/>
      <c r="Q85" s="336"/>
      <c r="R85" s="323"/>
      <c r="S85" s="331"/>
      <c r="T85" s="334"/>
      <c r="U85" s="334"/>
      <c r="V85" s="339"/>
      <c r="W85" s="334"/>
      <c r="X85" s="323"/>
      <c r="Y85" s="331"/>
      <c r="Z85" s="331"/>
      <c r="AA85" s="331"/>
      <c r="AB85" s="331"/>
      <c r="AC85" s="331"/>
      <c r="AD85" s="331"/>
      <c r="AE85" s="331"/>
      <c r="AF85" s="331"/>
      <c r="AG85" s="331"/>
      <c r="AH85" s="331"/>
      <c r="AI85" s="331"/>
      <c r="AJ85" s="331"/>
      <c r="AK85" s="331"/>
      <c r="AL85" s="331"/>
      <c r="AM85" s="331"/>
      <c r="AN85" s="331"/>
      <c r="AO85" s="331"/>
      <c r="AP85" s="331"/>
    </row>
    <row r="86" spans="1:42" s="70" customFormat="1" ht="22.5" customHeight="1" outlineLevel="1">
      <c r="A86" s="577" t="str">
        <f t="shared" si="3"/>
        <v>1</v>
      </c>
      <c r="C86" s="70" t="s">
        <v>1740</v>
      </c>
      <c r="L86" s="166" t="s">
        <v>1013</v>
      </c>
      <c r="M86" s="167" t="s">
        <v>295</v>
      </c>
      <c r="N86" s="78" t="s">
        <v>296</v>
      </c>
      <c r="O86" s="328"/>
      <c r="P86" s="330"/>
      <c r="Q86" s="335"/>
      <c r="R86" s="342"/>
      <c r="S86" s="328"/>
      <c r="T86" s="330"/>
      <c r="U86" s="330"/>
      <c r="V86" s="337">
        <f t="shared" si="4"/>
        <v>0</v>
      </c>
      <c r="W86" s="333">
        <f t="shared" si="5"/>
        <v>0</v>
      </c>
      <c r="X86" s="342"/>
      <c r="Y86" s="328"/>
      <c r="Z86" s="328"/>
      <c r="AA86" s="328"/>
      <c r="AB86" s="328"/>
      <c r="AC86" s="328"/>
      <c r="AD86" s="328"/>
      <c r="AE86" s="328"/>
      <c r="AF86" s="328"/>
      <c r="AG86" s="328"/>
      <c r="AH86" s="328"/>
      <c r="AI86" s="328"/>
      <c r="AJ86" s="328"/>
      <c r="AK86" s="328"/>
      <c r="AL86" s="328"/>
      <c r="AM86" s="328"/>
      <c r="AN86" s="328"/>
      <c r="AO86" s="328"/>
      <c r="AP86" s="328"/>
    </row>
    <row r="87" spans="1:42" s="70" customFormat="1" ht="22.5" customHeight="1" outlineLevel="1">
      <c r="A87" s="577" t="str">
        <f t="shared" si="3"/>
        <v>1</v>
      </c>
      <c r="C87" s="70" t="s">
        <v>1741</v>
      </c>
      <c r="L87" s="166" t="s">
        <v>1014</v>
      </c>
      <c r="M87" s="167" t="s">
        <v>297</v>
      </c>
      <c r="N87" s="78" t="s">
        <v>296</v>
      </c>
      <c r="O87" s="328"/>
      <c r="P87" s="330"/>
      <c r="Q87" s="335"/>
      <c r="R87" s="342"/>
      <c r="S87" s="328"/>
      <c r="T87" s="330"/>
      <c r="U87" s="330"/>
      <c r="V87" s="337">
        <f t="shared" si="4"/>
        <v>0</v>
      </c>
      <c r="W87" s="333">
        <f t="shared" si="5"/>
        <v>0</v>
      </c>
      <c r="X87" s="342"/>
      <c r="Y87" s="328"/>
      <c r="Z87" s="328"/>
      <c r="AA87" s="328"/>
      <c r="AB87" s="328"/>
      <c r="AC87" s="328"/>
      <c r="AD87" s="328"/>
      <c r="AE87" s="328"/>
      <c r="AF87" s="328"/>
      <c r="AG87" s="328"/>
      <c r="AH87" s="328"/>
      <c r="AI87" s="328"/>
      <c r="AJ87" s="328"/>
      <c r="AK87" s="328"/>
      <c r="AL87" s="328"/>
      <c r="AM87" s="328"/>
      <c r="AN87" s="328"/>
      <c r="AO87" s="328"/>
      <c r="AP87" s="328"/>
    </row>
    <row r="88" spans="1:42" s="70" customFormat="1" ht="22.5" customHeight="1" outlineLevel="1">
      <c r="A88" s="577" t="str">
        <f t="shared" si="3"/>
        <v>1</v>
      </c>
      <c r="C88" s="70" t="s">
        <v>1742</v>
      </c>
      <c r="L88" s="166" t="s">
        <v>1015</v>
      </c>
      <c r="M88" s="167" t="s">
        <v>298</v>
      </c>
      <c r="N88" s="78" t="s">
        <v>296</v>
      </c>
      <c r="O88" s="328"/>
      <c r="P88" s="330"/>
      <c r="Q88" s="335"/>
      <c r="R88" s="342"/>
      <c r="S88" s="328"/>
      <c r="T88" s="330"/>
      <c r="U88" s="330"/>
      <c r="V88" s="337">
        <f t="shared" si="4"/>
        <v>0</v>
      </c>
      <c r="W88" s="333">
        <f t="shared" si="5"/>
        <v>0</v>
      </c>
      <c r="X88" s="342"/>
      <c r="Y88" s="328"/>
      <c r="Z88" s="328"/>
      <c r="AA88" s="328"/>
      <c r="AB88" s="328"/>
      <c r="AC88" s="328"/>
      <c r="AD88" s="328"/>
      <c r="AE88" s="328"/>
      <c r="AF88" s="328"/>
      <c r="AG88" s="328"/>
      <c r="AH88" s="328"/>
      <c r="AI88" s="328"/>
      <c r="AJ88" s="328"/>
      <c r="AK88" s="328"/>
      <c r="AL88" s="328"/>
      <c r="AM88" s="328"/>
      <c r="AN88" s="328"/>
      <c r="AO88" s="328"/>
      <c r="AP88" s="328"/>
    </row>
    <row r="89" spans="1:42" s="70" customFormat="1" ht="22.5" customHeight="1" outlineLevel="1">
      <c r="A89" s="577" t="str">
        <f t="shared" si="3"/>
        <v>1</v>
      </c>
      <c r="C89" s="70" t="s">
        <v>1743</v>
      </c>
      <c r="L89" s="166" t="s">
        <v>1016</v>
      </c>
      <c r="M89" s="167" t="s">
        <v>299</v>
      </c>
      <c r="N89" s="78" t="s">
        <v>296</v>
      </c>
      <c r="O89" s="328"/>
      <c r="P89" s="330"/>
      <c r="Q89" s="335"/>
      <c r="R89" s="342"/>
      <c r="S89" s="328"/>
      <c r="T89" s="330"/>
      <c r="U89" s="330"/>
      <c r="V89" s="337">
        <f t="shared" si="4"/>
        <v>0</v>
      </c>
      <c r="W89" s="333">
        <f t="shared" si="5"/>
        <v>0</v>
      </c>
      <c r="X89" s="342"/>
      <c r="Y89" s="328"/>
      <c r="Z89" s="328"/>
      <c r="AA89" s="328"/>
      <c r="AB89" s="328"/>
      <c r="AC89" s="328"/>
      <c r="AD89" s="328"/>
      <c r="AE89" s="328"/>
      <c r="AF89" s="328"/>
      <c r="AG89" s="328"/>
      <c r="AH89" s="328"/>
      <c r="AI89" s="328"/>
      <c r="AJ89" s="328"/>
      <c r="AK89" s="328"/>
      <c r="AL89" s="328"/>
      <c r="AM89" s="328"/>
      <c r="AN89" s="328"/>
      <c r="AO89" s="328"/>
      <c r="AP89" s="328"/>
    </row>
    <row r="90" spans="1:42" s="70" customFormat="1" outlineLevel="1">
      <c r="A90" s="577" t="str">
        <f t="shared" si="3"/>
        <v>1</v>
      </c>
      <c r="C90" s="70" t="s">
        <v>1484</v>
      </c>
      <c r="L90" s="72">
        <v>4</v>
      </c>
      <c r="M90" s="79" t="s">
        <v>300</v>
      </c>
      <c r="N90" s="75" t="s">
        <v>137</v>
      </c>
      <c r="O90" s="328"/>
      <c r="P90" s="330"/>
      <c r="Q90" s="335"/>
      <c r="R90" s="342"/>
      <c r="S90" s="328"/>
      <c r="T90" s="330"/>
      <c r="U90" s="330"/>
      <c r="V90" s="337">
        <f t="shared" si="4"/>
        <v>0</v>
      </c>
      <c r="W90" s="333">
        <f t="shared" si="5"/>
        <v>0</v>
      </c>
      <c r="X90" s="342"/>
      <c r="Y90" s="328"/>
      <c r="Z90" s="328"/>
      <c r="AA90" s="328"/>
      <c r="AB90" s="328"/>
      <c r="AC90" s="328"/>
      <c r="AD90" s="328"/>
      <c r="AE90" s="328"/>
      <c r="AF90" s="328"/>
      <c r="AG90" s="328"/>
      <c r="AH90" s="328"/>
      <c r="AI90" s="328"/>
      <c r="AJ90" s="328"/>
      <c r="AK90" s="328"/>
      <c r="AL90" s="328"/>
      <c r="AM90" s="328"/>
      <c r="AN90" s="328"/>
      <c r="AO90" s="328"/>
      <c r="AP90" s="328"/>
    </row>
    <row r="91" spans="1:42" s="70" customFormat="1" outlineLevel="1">
      <c r="A91" s="577" t="str">
        <f t="shared" si="3"/>
        <v>1</v>
      </c>
      <c r="C91" s="70" t="s">
        <v>1485</v>
      </c>
      <c r="L91" s="72">
        <v>5</v>
      </c>
      <c r="M91" s="79" t="s">
        <v>301</v>
      </c>
      <c r="N91" s="75" t="s">
        <v>137</v>
      </c>
      <c r="O91" s="328"/>
      <c r="P91" s="330"/>
      <c r="Q91" s="335"/>
      <c r="R91" s="342"/>
      <c r="S91" s="328"/>
      <c r="T91" s="330"/>
      <c r="U91" s="330"/>
      <c r="V91" s="337">
        <f t="shared" si="4"/>
        <v>0</v>
      </c>
      <c r="W91" s="333">
        <f t="shared" si="5"/>
        <v>0</v>
      </c>
      <c r="X91" s="342"/>
      <c r="Y91" s="328"/>
      <c r="Z91" s="328"/>
      <c r="AA91" s="328"/>
      <c r="AB91" s="328"/>
      <c r="AC91" s="328"/>
      <c r="AD91" s="328"/>
      <c r="AE91" s="328"/>
      <c r="AF91" s="328"/>
      <c r="AG91" s="328"/>
      <c r="AH91" s="328"/>
      <c r="AI91" s="328"/>
      <c r="AJ91" s="328"/>
      <c r="AK91" s="328"/>
      <c r="AL91" s="328"/>
      <c r="AM91" s="328"/>
      <c r="AN91" s="328"/>
      <c r="AO91" s="328"/>
      <c r="AP91" s="328"/>
    </row>
    <row r="92" spans="1:42" s="80" customFormat="1" outlineLevel="1">
      <c r="A92" s="577" t="str">
        <f t="shared" si="3"/>
        <v>1</v>
      </c>
      <c r="C92" s="80" t="s">
        <v>1486</v>
      </c>
      <c r="L92" s="81" t="s">
        <v>124</v>
      </c>
      <c r="M92" s="77" t="s">
        <v>302</v>
      </c>
      <c r="N92" s="75"/>
      <c r="O92" s="332"/>
      <c r="P92" s="332"/>
      <c r="Q92" s="332"/>
      <c r="R92" s="343"/>
      <c r="S92" s="332"/>
      <c r="T92" s="332"/>
      <c r="U92" s="332"/>
      <c r="V92" s="337">
        <f t="shared" si="4"/>
        <v>0</v>
      </c>
      <c r="W92" s="333">
        <f t="shared" si="5"/>
        <v>0</v>
      </c>
      <c r="X92" s="343"/>
      <c r="Y92" s="332"/>
      <c r="Z92" s="332"/>
      <c r="AA92" s="332"/>
      <c r="AB92" s="332"/>
      <c r="AC92" s="332"/>
      <c r="AD92" s="332"/>
      <c r="AE92" s="332"/>
      <c r="AF92" s="332"/>
      <c r="AG92" s="332"/>
      <c r="AH92" s="332"/>
      <c r="AI92" s="332"/>
      <c r="AJ92" s="332"/>
      <c r="AK92" s="332"/>
      <c r="AL92" s="332"/>
      <c r="AM92" s="332"/>
      <c r="AN92" s="332"/>
      <c r="AO92" s="332"/>
      <c r="AP92" s="332"/>
    </row>
    <row r="93" spans="1:42" s="80" customFormat="1" outlineLevel="1">
      <c r="A93" s="577" t="str">
        <f t="shared" si="3"/>
        <v>1</v>
      </c>
      <c r="C93" s="80" t="s">
        <v>1487</v>
      </c>
      <c r="L93" s="81" t="s">
        <v>125</v>
      </c>
      <c r="M93" s="76" t="s">
        <v>303</v>
      </c>
      <c r="N93" s="75"/>
      <c r="O93" s="332"/>
      <c r="P93" s="332"/>
      <c r="Q93" s="332"/>
      <c r="R93" s="343"/>
      <c r="S93" s="332"/>
      <c r="T93" s="332"/>
      <c r="U93" s="332"/>
      <c r="V93" s="337">
        <f t="shared" si="4"/>
        <v>0</v>
      </c>
      <c r="W93" s="333">
        <f t="shared" si="5"/>
        <v>0</v>
      </c>
      <c r="X93" s="343"/>
      <c r="Y93" s="332"/>
      <c r="Z93" s="332"/>
      <c r="AA93" s="332"/>
      <c r="AB93" s="332"/>
      <c r="AC93" s="332"/>
      <c r="AD93" s="332"/>
      <c r="AE93" s="332"/>
      <c r="AF93" s="332"/>
      <c r="AG93" s="332"/>
      <c r="AH93" s="332"/>
      <c r="AI93" s="332"/>
      <c r="AJ93" s="332"/>
      <c r="AK93" s="332"/>
      <c r="AL93" s="332"/>
      <c r="AM93" s="332"/>
      <c r="AN93" s="332"/>
      <c r="AO93" s="332"/>
      <c r="AP93" s="332"/>
    </row>
    <row r="94" spans="1:42">
      <c r="A94" s="322"/>
    </row>
    <row r="95" spans="1:42" s="131" customFormat="1" ht="30" customHeight="1">
      <c r="A95" s="130" t="s">
        <v>1017</v>
      </c>
      <c r="M95" s="132"/>
      <c r="N95" s="132"/>
      <c r="O95" s="132"/>
      <c r="P95" s="132"/>
      <c r="AA95" s="133"/>
    </row>
    <row r="96" spans="1:42">
      <c r="A96" s="134" t="s">
        <v>1018</v>
      </c>
    </row>
    <row r="97" spans="1:39" s="86" customFormat="1" ht="15" customHeight="1">
      <c r="A97" s="172" t="s">
        <v>18</v>
      </c>
      <c r="L97" s="149" t="str">
        <f>INDEX('Общие сведения'!$J$114:$J$127,MATCH($A97,'Общие сведения'!$D$114:$D$127,0))</f>
        <v>Тариф 1 (Водоснабжение) - тариф на питьевую воду</v>
      </c>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row>
    <row r="98" spans="1:39" s="86" customFormat="1" outlineLevel="1">
      <c r="A98" s="173" t="str">
        <f t="shared" ref="A98:A134" si="6">A97</f>
        <v>1</v>
      </c>
      <c r="L98" s="443" t="s">
        <v>18</v>
      </c>
      <c r="M98" s="445" t="s">
        <v>309</v>
      </c>
      <c r="N98" s="138"/>
      <c r="O98" s="551" t="str">
        <f>INDEX('Общие сведения'!$K$114:$K$127,MATCH($A98,'Общие сведения'!$D$114:$D$127,0))</f>
        <v>питьевая вода</v>
      </c>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3"/>
      <c r="AM98" s="183"/>
    </row>
    <row r="99" spans="1:39" s="86" customFormat="1" outlineLevel="1">
      <c r="A99" s="173" t="str">
        <f t="shared" si="6"/>
        <v>1</v>
      </c>
      <c r="C99" s="86" t="s">
        <v>1481</v>
      </c>
      <c r="L99" s="443" t="s">
        <v>102</v>
      </c>
      <c r="M99" s="444" t="s">
        <v>306</v>
      </c>
      <c r="N99" s="138" t="s">
        <v>307</v>
      </c>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183"/>
    </row>
    <row r="100" spans="1:39" s="86" customFormat="1" outlineLevel="1">
      <c r="A100" s="173" t="str">
        <f t="shared" si="6"/>
        <v>1</v>
      </c>
      <c r="C100" s="86" t="s">
        <v>1483</v>
      </c>
      <c r="L100" s="443" t="s">
        <v>103</v>
      </c>
      <c r="M100" s="444" t="s">
        <v>308</v>
      </c>
      <c r="N100" s="138" t="s">
        <v>307</v>
      </c>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183"/>
    </row>
    <row r="101" spans="1:39" s="86" customFormat="1" outlineLevel="1">
      <c r="A101" s="173" t="str">
        <f t="shared" si="6"/>
        <v>1</v>
      </c>
      <c r="C101" s="86" t="s">
        <v>1484</v>
      </c>
      <c r="L101" s="443">
        <v>4</v>
      </c>
      <c r="M101" s="446" t="s">
        <v>1134</v>
      </c>
      <c r="N101" s="136" t="s">
        <v>310</v>
      </c>
      <c r="O101" s="469">
        <f t="shared" ref="O101:AL101" si="7">O110+O105-O108</f>
        <v>0</v>
      </c>
      <c r="P101" s="469">
        <f t="shared" si="7"/>
        <v>0</v>
      </c>
      <c r="Q101" s="469">
        <f>Q110+Q105-Q108</f>
        <v>0</v>
      </c>
      <c r="R101" s="469">
        <f t="shared" si="7"/>
        <v>0</v>
      </c>
      <c r="S101" s="469">
        <f t="shared" si="7"/>
        <v>0</v>
      </c>
      <c r="T101" s="469">
        <f t="shared" si="7"/>
        <v>0</v>
      </c>
      <c r="U101" s="469">
        <f t="shared" si="7"/>
        <v>0</v>
      </c>
      <c r="V101" s="469">
        <f t="shared" si="7"/>
        <v>0</v>
      </c>
      <c r="W101" s="469">
        <f t="shared" si="7"/>
        <v>0</v>
      </c>
      <c r="X101" s="469">
        <f t="shared" si="7"/>
        <v>0</v>
      </c>
      <c r="Y101" s="469">
        <f t="shared" si="7"/>
        <v>0</v>
      </c>
      <c r="Z101" s="469">
        <f t="shared" si="7"/>
        <v>0</v>
      </c>
      <c r="AA101" s="469">
        <f t="shared" si="7"/>
        <v>0</v>
      </c>
      <c r="AB101" s="469">
        <f t="shared" si="7"/>
        <v>0</v>
      </c>
      <c r="AC101" s="469">
        <f>AC110+AC105-AC108</f>
        <v>0</v>
      </c>
      <c r="AD101" s="469">
        <f t="shared" si="7"/>
        <v>0</v>
      </c>
      <c r="AE101" s="469">
        <f t="shared" si="7"/>
        <v>0</v>
      </c>
      <c r="AF101" s="469">
        <f t="shared" si="7"/>
        <v>0</v>
      </c>
      <c r="AG101" s="469">
        <f t="shared" si="7"/>
        <v>0</v>
      </c>
      <c r="AH101" s="469">
        <f t="shared" si="7"/>
        <v>0</v>
      </c>
      <c r="AI101" s="469">
        <f t="shared" si="7"/>
        <v>0</v>
      </c>
      <c r="AJ101" s="469">
        <f t="shared" si="7"/>
        <v>0</v>
      </c>
      <c r="AK101" s="469">
        <f t="shared" si="7"/>
        <v>0</v>
      </c>
      <c r="AL101" s="469">
        <f t="shared" si="7"/>
        <v>0</v>
      </c>
      <c r="AM101" s="183"/>
    </row>
    <row r="102" spans="1:39" s="86" customFormat="1" outlineLevel="1">
      <c r="A102" s="173" t="str">
        <f t="shared" si="6"/>
        <v>1</v>
      </c>
      <c r="C102" s="86" t="s">
        <v>1499</v>
      </c>
      <c r="L102" s="443" t="s">
        <v>140</v>
      </c>
      <c r="M102" s="167" t="s">
        <v>311</v>
      </c>
      <c r="N102" s="136" t="s">
        <v>310</v>
      </c>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43"/>
    </row>
    <row r="103" spans="1:39" s="86" customFormat="1" outlineLevel="1">
      <c r="A103" s="173" t="str">
        <f t="shared" si="6"/>
        <v>1</v>
      </c>
      <c r="C103" s="86" t="s">
        <v>1500</v>
      </c>
      <c r="L103" s="443" t="s">
        <v>372</v>
      </c>
      <c r="M103" s="167" t="s">
        <v>312</v>
      </c>
      <c r="N103" s="136" t="s">
        <v>310</v>
      </c>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43"/>
    </row>
    <row r="104" spans="1:39" s="86" customFormat="1" ht="22.5" outlineLevel="1">
      <c r="A104" s="173" t="str">
        <f t="shared" si="6"/>
        <v>1</v>
      </c>
      <c r="C104" s="86" t="s">
        <v>1501</v>
      </c>
      <c r="L104" s="443" t="s">
        <v>373</v>
      </c>
      <c r="M104" s="446" t="s">
        <v>1130</v>
      </c>
      <c r="N104" s="136" t="s">
        <v>310</v>
      </c>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43"/>
    </row>
    <row r="105" spans="1:39" s="86" customFormat="1" outlineLevel="1">
      <c r="A105" s="173" t="str">
        <f t="shared" si="6"/>
        <v>1</v>
      </c>
      <c r="C105" s="86" t="s">
        <v>1485</v>
      </c>
      <c r="L105" s="443" t="s">
        <v>120</v>
      </c>
      <c r="M105" s="446" t="s">
        <v>313</v>
      </c>
      <c r="N105" s="136" t="s">
        <v>310</v>
      </c>
      <c r="O105" s="469">
        <f t="shared" ref="O105:AL105" si="8">SUM(O106:O107)</f>
        <v>0</v>
      </c>
      <c r="P105" s="469">
        <f t="shared" si="8"/>
        <v>0</v>
      </c>
      <c r="Q105" s="469">
        <f t="shared" si="8"/>
        <v>0</v>
      </c>
      <c r="R105" s="469">
        <f t="shared" si="8"/>
        <v>0</v>
      </c>
      <c r="S105" s="469">
        <f t="shared" si="8"/>
        <v>0</v>
      </c>
      <c r="T105" s="469">
        <f t="shared" si="8"/>
        <v>0</v>
      </c>
      <c r="U105" s="469">
        <f t="shared" si="8"/>
        <v>0</v>
      </c>
      <c r="V105" s="469">
        <f t="shared" si="8"/>
        <v>0</v>
      </c>
      <c r="W105" s="469">
        <f t="shared" si="8"/>
        <v>0</v>
      </c>
      <c r="X105" s="469">
        <f t="shared" si="8"/>
        <v>0</v>
      </c>
      <c r="Y105" s="469">
        <f t="shared" si="8"/>
        <v>0</v>
      </c>
      <c r="Z105" s="469">
        <f t="shared" si="8"/>
        <v>0</v>
      </c>
      <c r="AA105" s="469">
        <f t="shared" si="8"/>
        <v>0</v>
      </c>
      <c r="AB105" s="469">
        <f t="shared" si="8"/>
        <v>0</v>
      </c>
      <c r="AC105" s="469">
        <f t="shared" si="8"/>
        <v>0</v>
      </c>
      <c r="AD105" s="469">
        <f t="shared" si="8"/>
        <v>0</v>
      </c>
      <c r="AE105" s="469">
        <f t="shared" si="8"/>
        <v>0</v>
      </c>
      <c r="AF105" s="469">
        <f t="shared" si="8"/>
        <v>0</v>
      </c>
      <c r="AG105" s="469">
        <f t="shared" si="8"/>
        <v>0</v>
      </c>
      <c r="AH105" s="469">
        <f t="shared" si="8"/>
        <v>0</v>
      </c>
      <c r="AI105" s="469">
        <f t="shared" si="8"/>
        <v>0</v>
      </c>
      <c r="AJ105" s="469">
        <f t="shared" si="8"/>
        <v>0</v>
      </c>
      <c r="AK105" s="469">
        <f t="shared" si="8"/>
        <v>0</v>
      </c>
      <c r="AL105" s="469">
        <f t="shared" si="8"/>
        <v>0</v>
      </c>
      <c r="AM105" s="343"/>
    </row>
    <row r="106" spans="1:39" s="86" customFormat="1" outlineLevel="1">
      <c r="A106" s="173" t="str">
        <f t="shared" si="6"/>
        <v>1</v>
      </c>
      <c r="C106" s="86" t="s">
        <v>1502</v>
      </c>
      <c r="L106" s="443" t="s">
        <v>122</v>
      </c>
      <c r="M106" s="167" t="s">
        <v>1090</v>
      </c>
      <c r="N106" s="136" t="s">
        <v>310</v>
      </c>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43"/>
    </row>
    <row r="107" spans="1:39" s="86" customFormat="1" outlineLevel="1">
      <c r="A107" s="173" t="str">
        <f t="shared" si="6"/>
        <v>1</v>
      </c>
      <c r="C107" s="86" t="s">
        <v>1503</v>
      </c>
      <c r="L107" s="443" t="s">
        <v>123</v>
      </c>
      <c r="M107" s="167" t="s">
        <v>314</v>
      </c>
      <c r="N107" s="136" t="s">
        <v>310</v>
      </c>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43"/>
    </row>
    <row r="108" spans="1:39" s="86" customFormat="1" outlineLevel="1">
      <c r="A108" s="173" t="str">
        <f t="shared" si="6"/>
        <v>1</v>
      </c>
      <c r="C108" s="86" t="s">
        <v>1486</v>
      </c>
      <c r="L108" s="443" t="s">
        <v>124</v>
      </c>
      <c r="M108" s="445" t="s">
        <v>315</v>
      </c>
      <c r="N108" s="136" t="s">
        <v>310</v>
      </c>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343"/>
    </row>
    <row r="109" spans="1:39" s="86" customFormat="1" outlineLevel="1">
      <c r="A109" s="173" t="str">
        <f t="shared" si="6"/>
        <v>1</v>
      </c>
      <c r="C109" s="86" t="s">
        <v>1487</v>
      </c>
      <c r="L109" s="443" t="s">
        <v>125</v>
      </c>
      <c r="M109" s="445" t="s">
        <v>316</v>
      </c>
      <c r="N109" s="136" t="s">
        <v>310</v>
      </c>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43"/>
    </row>
    <row r="110" spans="1:39" s="86" customFormat="1" outlineLevel="1">
      <c r="A110" s="173" t="str">
        <f t="shared" si="6"/>
        <v>1</v>
      </c>
      <c r="C110" s="86" t="s">
        <v>1494</v>
      </c>
      <c r="L110" s="443" t="s">
        <v>126</v>
      </c>
      <c r="M110" s="446" t="s">
        <v>317</v>
      </c>
      <c r="N110" s="136" t="s">
        <v>310</v>
      </c>
      <c r="O110" s="469">
        <f t="shared" ref="O110:AL110" si="9">O116+O114</f>
        <v>0</v>
      </c>
      <c r="P110" s="469">
        <f t="shared" si="9"/>
        <v>0</v>
      </c>
      <c r="Q110" s="469">
        <f t="shared" si="9"/>
        <v>0</v>
      </c>
      <c r="R110" s="469">
        <f t="shared" si="9"/>
        <v>0</v>
      </c>
      <c r="S110" s="469">
        <f t="shared" si="9"/>
        <v>0</v>
      </c>
      <c r="T110" s="469">
        <f t="shared" si="9"/>
        <v>0</v>
      </c>
      <c r="U110" s="469">
        <f t="shared" si="9"/>
        <v>0</v>
      </c>
      <c r="V110" s="469">
        <f t="shared" si="9"/>
        <v>0</v>
      </c>
      <c r="W110" s="469">
        <f t="shared" si="9"/>
        <v>0</v>
      </c>
      <c r="X110" s="469">
        <f t="shared" si="9"/>
        <v>0</v>
      </c>
      <c r="Y110" s="469">
        <f t="shared" si="9"/>
        <v>0</v>
      </c>
      <c r="Z110" s="469">
        <f t="shared" si="9"/>
        <v>0</v>
      </c>
      <c r="AA110" s="469">
        <f t="shared" si="9"/>
        <v>0</v>
      </c>
      <c r="AB110" s="469">
        <f t="shared" si="9"/>
        <v>0</v>
      </c>
      <c r="AC110" s="469">
        <f t="shared" si="9"/>
        <v>0</v>
      </c>
      <c r="AD110" s="469">
        <f t="shared" si="9"/>
        <v>0</v>
      </c>
      <c r="AE110" s="469">
        <f t="shared" si="9"/>
        <v>0</v>
      </c>
      <c r="AF110" s="469">
        <f t="shared" si="9"/>
        <v>0</v>
      </c>
      <c r="AG110" s="469">
        <f t="shared" si="9"/>
        <v>0</v>
      </c>
      <c r="AH110" s="469">
        <f t="shared" si="9"/>
        <v>0</v>
      </c>
      <c r="AI110" s="469">
        <f t="shared" si="9"/>
        <v>0</v>
      </c>
      <c r="AJ110" s="469">
        <f t="shared" si="9"/>
        <v>0</v>
      </c>
      <c r="AK110" s="469">
        <f t="shared" si="9"/>
        <v>0</v>
      </c>
      <c r="AL110" s="469">
        <f t="shared" si="9"/>
        <v>0</v>
      </c>
      <c r="AM110" s="343"/>
    </row>
    <row r="111" spans="1:39" s="86" customFormat="1" outlineLevel="1">
      <c r="A111" s="173" t="str">
        <f t="shared" si="6"/>
        <v>1</v>
      </c>
      <c r="C111" s="86" t="s">
        <v>1504</v>
      </c>
      <c r="L111" s="443" t="s">
        <v>141</v>
      </c>
      <c r="M111" s="167" t="s">
        <v>318</v>
      </c>
      <c r="N111" s="136" t="s">
        <v>310</v>
      </c>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43"/>
    </row>
    <row r="112" spans="1:39" s="86" customFormat="1" outlineLevel="1">
      <c r="A112" s="173" t="str">
        <f t="shared" si="6"/>
        <v>1</v>
      </c>
      <c r="C112" s="86" t="s">
        <v>1505</v>
      </c>
      <c r="L112" s="443" t="s">
        <v>183</v>
      </c>
      <c r="M112" s="167" t="s">
        <v>319</v>
      </c>
      <c r="N112" s="136" t="s">
        <v>310</v>
      </c>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43"/>
    </row>
    <row r="113" spans="1:39" s="86" customFormat="1" ht="22.5" outlineLevel="1">
      <c r="A113" s="173" t="str">
        <f t="shared" si="6"/>
        <v>1</v>
      </c>
      <c r="C113" s="86" t="s">
        <v>1506</v>
      </c>
      <c r="L113" s="443" t="s">
        <v>389</v>
      </c>
      <c r="M113" s="167" t="s">
        <v>1131</v>
      </c>
      <c r="N113" s="136" t="s">
        <v>310</v>
      </c>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43"/>
    </row>
    <row r="114" spans="1:39" s="86" customFormat="1" outlineLevel="1">
      <c r="A114" s="173" t="str">
        <f t="shared" si="6"/>
        <v>1</v>
      </c>
      <c r="C114" s="86" t="s">
        <v>1495</v>
      </c>
      <c r="L114" s="443" t="s">
        <v>127</v>
      </c>
      <c r="M114" s="445" t="s">
        <v>1150</v>
      </c>
      <c r="N114" s="136" t="s">
        <v>310</v>
      </c>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43"/>
    </row>
    <row r="115" spans="1:39" s="86" customFormat="1" outlineLevel="1">
      <c r="A115" s="173" t="str">
        <f t="shared" si="6"/>
        <v>1</v>
      </c>
      <c r="C115" s="86" t="s">
        <v>1507</v>
      </c>
      <c r="L115" s="443" t="s">
        <v>1248</v>
      </c>
      <c r="M115" s="447" t="s">
        <v>321</v>
      </c>
      <c r="N115" s="174" t="s">
        <v>137</v>
      </c>
      <c r="O115" s="470">
        <f t="shared" ref="O115:AL115" si="10">IF(O110=0,0,O114/O110*100)</f>
        <v>0</v>
      </c>
      <c r="P115" s="470">
        <f t="shared" si="10"/>
        <v>0</v>
      </c>
      <c r="Q115" s="470">
        <f t="shared" si="10"/>
        <v>0</v>
      </c>
      <c r="R115" s="470">
        <f t="shared" si="10"/>
        <v>0</v>
      </c>
      <c r="S115" s="470">
        <f t="shared" si="10"/>
        <v>0</v>
      </c>
      <c r="T115" s="470">
        <f t="shared" si="10"/>
        <v>0</v>
      </c>
      <c r="U115" s="470">
        <f t="shared" si="10"/>
        <v>0</v>
      </c>
      <c r="V115" s="470">
        <f t="shared" si="10"/>
        <v>0</v>
      </c>
      <c r="W115" s="470">
        <f t="shared" si="10"/>
        <v>0</v>
      </c>
      <c r="X115" s="470">
        <f t="shared" si="10"/>
        <v>0</v>
      </c>
      <c r="Y115" s="470">
        <f t="shared" si="10"/>
        <v>0</v>
      </c>
      <c r="Z115" s="470">
        <f t="shared" si="10"/>
        <v>0</v>
      </c>
      <c r="AA115" s="470">
        <f t="shared" si="10"/>
        <v>0</v>
      </c>
      <c r="AB115" s="470">
        <f t="shared" si="10"/>
        <v>0</v>
      </c>
      <c r="AC115" s="470">
        <f t="shared" si="10"/>
        <v>0</v>
      </c>
      <c r="AD115" s="470">
        <f t="shared" si="10"/>
        <v>0</v>
      </c>
      <c r="AE115" s="470">
        <f t="shared" si="10"/>
        <v>0</v>
      </c>
      <c r="AF115" s="470">
        <f t="shared" si="10"/>
        <v>0</v>
      </c>
      <c r="AG115" s="470">
        <f t="shared" si="10"/>
        <v>0</v>
      </c>
      <c r="AH115" s="470">
        <f t="shared" si="10"/>
        <v>0</v>
      </c>
      <c r="AI115" s="470">
        <f t="shared" si="10"/>
        <v>0</v>
      </c>
      <c r="AJ115" s="470">
        <f t="shared" si="10"/>
        <v>0</v>
      </c>
      <c r="AK115" s="470">
        <f t="shared" si="10"/>
        <v>0</v>
      </c>
      <c r="AL115" s="470">
        <f t="shared" si="10"/>
        <v>0</v>
      </c>
      <c r="AM115" s="343"/>
    </row>
    <row r="116" spans="1:39" s="86" customFormat="1" outlineLevel="1">
      <c r="A116" s="173" t="str">
        <f t="shared" si="6"/>
        <v>1</v>
      </c>
      <c r="C116" s="86" t="s">
        <v>1496</v>
      </c>
      <c r="L116" s="443" t="s">
        <v>128</v>
      </c>
      <c r="M116" s="445" t="s">
        <v>322</v>
      </c>
      <c r="N116" s="136" t="s">
        <v>310</v>
      </c>
      <c r="O116" s="469">
        <f t="shared" ref="O116:AL116" si="11">O117+O121+O124+O134</f>
        <v>0</v>
      </c>
      <c r="P116" s="469">
        <f t="shared" si="11"/>
        <v>0</v>
      </c>
      <c r="Q116" s="469">
        <f t="shared" si="11"/>
        <v>0</v>
      </c>
      <c r="R116" s="469">
        <f t="shared" si="11"/>
        <v>0</v>
      </c>
      <c r="S116" s="469">
        <f t="shared" si="11"/>
        <v>0</v>
      </c>
      <c r="T116" s="469">
        <f t="shared" si="11"/>
        <v>0</v>
      </c>
      <c r="U116" s="469">
        <f t="shared" si="11"/>
        <v>0</v>
      </c>
      <c r="V116" s="469">
        <f t="shared" si="11"/>
        <v>0</v>
      </c>
      <c r="W116" s="469">
        <f t="shared" si="11"/>
        <v>0</v>
      </c>
      <c r="X116" s="469">
        <f t="shared" si="11"/>
        <v>0</v>
      </c>
      <c r="Y116" s="469">
        <f t="shared" si="11"/>
        <v>0</v>
      </c>
      <c r="Z116" s="469">
        <f t="shared" si="11"/>
        <v>0</v>
      </c>
      <c r="AA116" s="469">
        <f t="shared" si="11"/>
        <v>0</v>
      </c>
      <c r="AB116" s="469">
        <f t="shared" si="11"/>
        <v>0</v>
      </c>
      <c r="AC116" s="469">
        <f t="shared" si="11"/>
        <v>0</v>
      </c>
      <c r="AD116" s="469">
        <f t="shared" si="11"/>
        <v>0</v>
      </c>
      <c r="AE116" s="469">
        <f t="shared" si="11"/>
        <v>0</v>
      </c>
      <c r="AF116" s="469">
        <f t="shared" si="11"/>
        <v>0</v>
      </c>
      <c r="AG116" s="469">
        <f t="shared" si="11"/>
        <v>0</v>
      </c>
      <c r="AH116" s="469">
        <f t="shared" si="11"/>
        <v>0</v>
      </c>
      <c r="AI116" s="469">
        <f t="shared" si="11"/>
        <v>0</v>
      </c>
      <c r="AJ116" s="469">
        <f t="shared" si="11"/>
        <v>0</v>
      </c>
      <c r="AK116" s="469">
        <f t="shared" si="11"/>
        <v>0</v>
      </c>
      <c r="AL116" s="469">
        <f t="shared" si="11"/>
        <v>0</v>
      </c>
      <c r="AM116" s="343"/>
    </row>
    <row r="117" spans="1:39" s="86" customFormat="1" outlineLevel="1">
      <c r="A117" s="173" t="str">
        <f t="shared" si="6"/>
        <v>1</v>
      </c>
      <c r="B117" s="86" t="str">
        <f>IF(OwnNeedsInPO="да","ПО","")</f>
        <v/>
      </c>
      <c r="C117" s="86" t="s">
        <v>1508</v>
      </c>
      <c r="L117" s="443" t="s">
        <v>1196</v>
      </c>
      <c r="M117" s="167" t="s">
        <v>323</v>
      </c>
      <c r="N117" s="136" t="s">
        <v>310</v>
      </c>
      <c r="O117" s="469">
        <f t="shared" ref="O117:AL117" si="12">SUM(O118:O120)</f>
        <v>0</v>
      </c>
      <c r="P117" s="469">
        <f t="shared" si="12"/>
        <v>0</v>
      </c>
      <c r="Q117" s="469">
        <f t="shared" si="12"/>
        <v>0</v>
      </c>
      <c r="R117" s="469">
        <f t="shared" si="12"/>
        <v>0</v>
      </c>
      <c r="S117" s="469">
        <f t="shared" si="12"/>
        <v>0</v>
      </c>
      <c r="T117" s="469">
        <f t="shared" si="12"/>
        <v>0</v>
      </c>
      <c r="U117" s="469">
        <f t="shared" si="12"/>
        <v>0</v>
      </c>
      <c r="V117" s="469">
        <f t="shared" si="12"/>
        <v>0</v>
      </c>
      <c r="W117" s="469">
        <f t="shared" si="12"/>
        <v>0</v>
      </c>
      <c r="X117" s="469">
        <f t="shared" si="12"/>
        <v>0</v>
      </c>
      <c r="Y117" s="469">
        <f t="shared" si="12"/>
        <v>0</v>
      </c>
      <c r="Z117" s="469">
        <f t="shared" si="12"/>
        <v>0</v>
      </c>
      <c r="AA117" s="469">
        <f t="shared" si="12"/>
        <v>0</v>
      </c>
      <c r="AB117" s="469">
        <f t="shared" si="12"/>
        <v>0</v>
      </c>
      <c r="AC117" s="469">
        <f t="shared" si="12"/>
        <v>0</v>
      </c>
      <c r="AD117" s="469">
        <f t="shared" si="12"/>
        <v>0</v>
      </c>
      <c r="AE117" s="469">
        <f t="shared" si="12"/>
        <v>0</v>
      </c>
      <c r="AF117" s="469">
        <f t="shared" si="12"/>
        <v>0</v>
      </c>
      <c r="AG117" s="469">
        <f t="shared" si="12"/>
        <v>0</v>
      </c>
      <c r="AH117" s="469">
        <f t="shared" si="12"/>
        <v>0</v>
      </c>
      <c r="AI117" s="469">
        <f t="shared" si="12"/>
        <v>0</v>
      </c>
      <c r="AJ117" s="469">
        <f t="shared" si="12"/>
        <v>0</v>
      </c>
      <c r="AK117" s="469">
        <f t="shared" si="12"/>
        <v>0</v>
      </c>
      <c r="AL117" s="469">
        <f t="shared" si="12"/>
        <v>0</v>
      </c>
      <c r="AM117" s="343"/>
    </row>
    <row r="118" spans="1:39" s="86" customFormat="1" outlineLevel="1">
      <c r="A118" s="173" t="str">
        <f t="shared" si="6"/>
        <v>1</v>
      </c>
      <c r="C118" s="86" t="s">
        <v>1509</v>
      </c>
      <c r="L118" s="443" t="s">
        <v>1249</v>
      </c>
      <c r="M118" s="448" t="s">
        <v>324</v>
      </c>
      <c r="N118" s="136" t="s">
        <v>310</v>
      </c>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43"/>
    </row>
    <row r="119" spans="1:39" s="86" customFormat="1" outlineLevel="1">
      <c r="A119" s="173" t="str">
        <f t="shared" si="6"/>
        <v>1</v>
      </c>
      <c r="C119" s="86" t="s">
        <v>1510</v>
      </c>
      <c r="L119" s="443" t="s">
        <v>1250</v>
      </c>
      <c r="M119" s="448" t="s">
        <v>325</v>
      </c>
      <c r="N119" s="136" t="s">
        <v>310</v>
      </c>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43"/>
    </row>
    <row r="120" spans="1:39" s="86" customFormat="1" outlineLevel="1">
      <c r="A120" s="173" t="str">
        <f t="shared" si="6"/>
        <v>1</v>
      </c>
      <c r="C120" s="86" t="s">
        <v>1511</v>
      </c>
      <c r="L120" s="443" t="s">
        <v>1251</v>
      </c>
      <c r="M120" s="448" t="s">
        <v>326</v>
      </c>
      <c r="N120" s="136" t="s">
        <v>310</v>
      </c>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43"/>
    </row>
    <row r="121" spans="1:39" s="86" customFormat="1" outlineLevel="1">
      <c r="A121" s="173" t="str">
        <f t="shared" si="6"/>
        <v>1</v>
      </c>
      <c r="B121" s="86" t="s">
        <v>1128</v>
      </c>
      <c r="C121" s="86" t="s">
        <v>1512</v>
      </c>
      <c r="L121" s="443" t="s">
        <v>1252</v>
      </c>
      <c r="M121" s="167" t="s">
        <v>327</v>
      </c>
      <c r="N121" s="136" t="s">
        <v>310</v>
      </c>
      <c r="O121" s="469">
        <f t="shared" ref="O121:AL121" si="13">SUM(O122:O123)</f>
        <v>0</v>
      </c>
      <c r="P121" s="469">
        <f t="shared" si="13"/>
        <v>0</v>
      </c>
      <c r="Q121" s="469">
        <f t="shared" si="13"/>
        <v>0</v>
      </c>
      <c r="R121" s="469">
        <f t="shared" si="13"/>
        <v>0</v>
      </c>
      <c r="S121" s="469">
        <f t="shared" si="13"/>
        <v>0</v>
      </c>
      <c r="T121" s="469">
        <f t="shared" si="13"/>
        <v>0</v>
      </c>
      <c r="U121" s="469">
        <f t="shared" si="13"/>
        <v>0</v>
      </c>
      <c r="V121" s="469">
        <f t="shared" si="13"/>
        <v>0</v>
      </c>
      <c r="W121" s="469">
        <f t="shared" si="13"/>
        <v>0</v>
      </c>
      <c r="X121" s="469">
        <f t="shared" si="13"/>
        <v>0</v>
      </c>
      <c r="Y121" s="469">
        <f t="shared" si="13"/>
        <v>0</v>
      </c>
      <c r="Z121" s="469">
        <f t="shared" si="13"/>
        <v>0</v>
      </c>
      <c r="AA121" s="469">
        <f t="shared" si="13"/>
        <v>0</v>
      </c>
      <c r="AB121" s="469">
        <f t="shared" si="13"/>
        <v>0</v>
      </c>
      <c r="AC121" s="469">
        <f t="shared" si="13"/>
        <v>0</v>
      </c>
      <c r="AD121" s="469">
        <f t="shared" si="13"/>
        <v>0</v>
      </c>
      <c r="AE121" s="469">
        <f t="shared" si="13"/>
        <v>0</v>
      </c>
      <c r="AF121" s="469">
        <f t="shared" si="13"/>
        <v>0</v>
      </c>
      <c r="AG121" s="469">
        <f t="shared" si="13"/>
        <v>0</v>
      </c>
      <c r="AH121" s="469">
        <f t="shared" si="13"/>
        <v>0</v>
      </c>
      <c r="AI121" s="469">
        <f t="shared" si="13"/>
        <v>0</v>
      </c>
      <c r="AJ121" s="469">
        <f t="shared" si="13"/>
        <v>0</v>
      </c>
      <c r="AK121" s="469">
        <f t="shared" si="13"/>
        <v>0</v>
      </c>
      <c r="AL121" s="469">
        <f t="shared" si="13"/>
        <v>0</v>
      </c>
      <c r="AM121" s="343"/>
    </row>
    <row r="122" spans="1:39" s="86" customFormat="1" outlineLevel="1">
      <c r="A122" s="173" t="str">
        <f t="shared" si="6"/>
        <v>1</v>
      </c>
      <c r="C122" s="86" t="s">
        <v>1513</v>
      </c>
      <c r="L122" s="443" t="s">
        <v>1253</v>
      </c>
      <c r="M122" s="448" t="s">
        <v>328</v>
      </c>
      <c r="N122" s="136" t="s">
        <v>310</v>
      </c>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43"/>
    </row>
    <row r="123" spans="1:39" s="86" customFormat="1" outlineLevel="1">
      <c r="A123" s="173" t="str">
        <f t="shared" si="6"/>
        <v>1</v>
      </c>
      <c r="C123" s="86" t="s">
        <v>1514</v>
      </c>
      <c r="L123" s="443" t="s">
        <v>1254</v>
      </c>
      <c r="M123" s="448" t="s">
        <v>329</v>
      </c>
      <c r="N123" s="136" t="s">
        <v>310</v>
      </c>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43"/>
    </row>
    <row r="124" spans="1:39" s="86" customFormat="1" outlineLevel="1">
      <c r="A124" s="173" t="str">
        <f t="shared" si="6"/>
        <v>1</v>
      </c>
      <c r="B124" s="86" t="s">
        <v>1128</v>
      </c>
      <c r="C124" s="86" t="s">
        <v>1515</v>
      </c>
      <c r="L124" s="443" t="s">
        <v>1255</v>
      </c>
      <c r="M124" s="167" t="s">
        <v>1151</v>
      </c>
      <c r="N124" s="136" t="s">
        <v>310</v>
      </c>
      <c r="O124" s="469">
        <f t="shared" ref="O124:AL124" si="14">O125+O128+O131</f>
        <v>0</v>
      </c>
      <c r="P124" s="469">
        <f t="shared" si="14"/>
        <v>0</v>
      </c>
      <c r="Q124" s="469">
        <f t="shared" si="14"/>
        <v>0</v>
      </c>
      <c r="R124" s="469">
        <f t="shared" si="14"/>
        <v>0</v>
      </c>
      <c r="S124" s="469">
        <f t="shared" si="14"/>
        <v>0</v>
      </c>
      <c r="T124" s="469">
        <f t="shared" si="14"/>
        <v>0</v>
      </c>
      <c r="U124" s="469">
        <f t="shared" si="14"/>
        <v>0</v>
      </c>
      <c r="V124" s="469">
        <f t="shared" si="14"/>
        <v>0</v>
      </c>
      <c r="W124" s="469">
        <f t="shared" si="14"/>
        <v>0</v>
      </c>
      <c r="X124" s="469">
        <f t="shared" si="14"/>
        <v>0</v>
      </c>
      <c r="Y124" s="469">
        <f t="shared" si="14"/>
        <v>0</v>
      </c>
      <c r="Z124" s="469">
        <f t="shared" si="14"/>
        <v>0</v>
      </c>
      <c r="AA124" s="469">
        <f t="shared" si="14"/>
        <v>0</v>
      </c>
      <c r="AB124" s="469">
        <f t="shared" si="14"/>
        <v>0</v>
      </c>
      <c r="AC124" s="469">
        <f t="shared" si="14"/>
        <v>0</v>
      </c>
      <c r="AD124" s="469">
        <f t="shared" si="14"/>
        <v>0</v>
      </c>
      <c r="AE124" s="469">
        <f t="shared" si="14"/>
        <v>0</v>
      </c>
      <c r="AF124" s="469">
        <f t="shared" si="14"/>
        <v>0</v>
      </c>
      <c r="AG124" s="469">
        <f t="shared" si="14"/>
        <v>0</v>
      </c>
      <c r="AH124" s="469">
        <f t="shared" si="14"/>
        <v>0</v>
      </c>
      <c r="AI124" s="469">
        <f t="shared" si="14"/>
        <v>0</v>
      </c>
      <c r="AJ124" s="469">
        <f t="shared" si="14"/>
        <v>0</v>
      </c>
      <c r="AK124" s="469">
        <f t="shared" si="14"/>
        <v>0</v>
      </c>
      <c r="AL124" s="469">
        <f t="shared" si="14"/>
        <v>0</v>
      </c>
      <c r="AM124" s="343"/>
    </row>
    <row r="125" spans="1:39" s="86" customFormat="1" outlineLevel="1">
      <c r="A125" s="173" t="str">
        <f t="shared" si="6"/>
        <v>1</v>
      </c>
      <c r="C125" s="86" t="s">
        <v>1516</v>
      </c>
      <c r="L125" s="443" t="s">
        <v>1256</v>
      </c>
      <c r="M125" s="448" t="s">
        <v>330</v>
      </c>
      <c r="N125" s="136" t="s">
        <v>310</v>
      </c>
      <c r="O125" s="469">
        <f t="shared" ref="O125:AL125" si="15">SUM(O126:O127)</f>
        <v>0</v>
      </c>
      <c r="P125" s="469">
        <f t="shared" si="15"/>
        <v>0</v>
      </c>
      <c r="Q125" s="469">
        <f t="shared" si="15"/>
        <v>0</v>
      </c>
      <c r="R125" s="469">
        <f t="shared" si="15"/>
        <v>0</v>
      </c>
      <c r="S125" s="469">
        <f t="shared" si="15"/>
        <v>0</v>
      </c>
      <c r="T125" s="469">
        <f t="shared" si="15"/>
        <v>0</v>
      </c>
      <c r="U125" s="469">
        <f t="shared" si="15"/>
        <v>0</v>
      </c>
      <c r="V125" s="469">
        <f t="shared" si="15"/>
        <v>0</v>
      </c>
      <c r="W125" s="469">
        <f t="shared" si="15"/>
        <v>0</v>
      </c>
      <c r="X125" s="469">
        <f t="shared" si="15"/>
        <v>0</v>
      </c>
      <c r="Y125" s="469">
        <f t="shared" si="15"/>
        <v>0</v>
      </c>
      <c r="Z125" s="469">
        <f t="shared" si="15"/>
        <v>0</v>
      </c>
      <c r="AA125" s="469">
        <f t="shared" si="15"/>
        <v>0</v>
      </c>
      <c r="AB125" s="469">
        <f t="shared" si="15"/>
        <v>0</v>
      </c>
      <c r="AC125" s="469">
        <f t="shared" si="15"/>
        <v>0</v>
      </c>
      <c r="AD125" s="469">
        <f t="shared" si="15"/>
        <v>0</v>
      </c>
      <c r="AE125" s="469">
        <f t="shared" si="15"/>
        <v>0</v>
      </c>
      <c r="AF125" s="469">
        <f t="shared" si="15"/>
        <v>0</v>
      </c>
      <c r="AG125" s="469">
        <f t="shared" si="15"/>
        <v>0</v>
      </c>
      <c r="AH125" s="469">
        <f t="shared" si="15"/>
        <v>0</v>
      </c>
      <c r="AI125" s="469">
        <f t="shared" si="15"/>
        <v>0</v>
      </c>
      <c r="AJ125" s="469">
        <f t="shared" si="15"/>
        <v>0</v>
      </c>
      <c r="AK125" s="469">
        <f t="shared" si="15"/>
        <v>0</v>
      </c>
      <c r="AL125" s="469">
        <f t="shared" si="15"/>
        <v>0</v>
      </c>
      <c r="AM125" s="343"/>
    </row>
    <row r="126" spans="1:39" s="86" customFormat="1" outlineLevel="1">
      <c r="A126" s="173" t="str">
        <f t="shared" si="6"/>
        <v>1</v>
      </c>
      <c r="C126" s="86" t="s">
        <v>1517</v>
      </c>
      <c r="L126" s="443" t="s">
        <v>1257</v>
      </c>
      <c r="M126" s="449" t="s">
        <v>328</v>
      </c>
      <c r="N126" s="136" t="s">
        <v>310</v>
      </c>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43"/>
    </row>
    <row r="127" spans="1:39" s="86" customFormat="1" outlineLevel="1">
      <c r="A127" s="173" t="str">
        <f t="shared" si="6"/>
        <v>1</v>
      </c>
      <c r="C127" s="86" t="s">
        <v>1518</v>
      </c>
      <c r="L127" s="443" t="s">
        <v>1258</v>
      </c>
      <c r="M127" s="449" t="s">
        <v>329</v>
      </c>
      <c r="N127" s="136" t="s">
        <v>310</v>
      </c>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43"/>
    </row>
    <row r="128" spans="1:39" s="86" customFormat="1" outlineLevel="1">
      <c r="A128" s="173" t="str">
        <f t="shared" si="6"/>
        <v>1</v>
      </c>
      <c r="B128" s="86" t="s">
        <v>1129</v>
      </c>
      <c r="C128" s="86" t="s">
        <v>1519</v>
      </c>
      <c r="L128" s="443" t="s">
        <v>1259</v>
      </c>
      <c r="M128" s="448" t="s">
        <v>331</v>
      </c>
      <c r="N128" s="136" t="s">
        <v>310</v>
      </c>
      <c r="O128" s="469">
        <f t="shared" ref="O128:AL128" si="16">SUM(O129:O130)</f>
        <v>0</v>
      </c>
      <c r="P128" s="469">
        <f t="shared" si="16"/>
        <v>0</v>
      </c>
      <c r="Q128" s="469">
        <f t="shared" si="16"/>
        <v>0</v>
      </c>
      <c r="R128" s="469">
        <f t="shared" si="16"/>
        <v>0</v>
      </c>
      <c r="S128" s="469">
        <f t="shared" si="16"/>
        <v>0</v>
      </c>
      <c r="T128" s="469">
        <f t="shared" si="16"/>
        <v>0</v>
      </c>
      <c r="U128" s="469">
        <f t="shared" si="16"/>
        <v>0</v>
      </c>
      <c r="V128" s="469">
        <f t="shared" si="16"/>
        <v>0</v>
      </c>
      <c r="W128" s="469">
        <f t="shared" si="16"/>
        <v>0</v>
      </c>
      <c r="X128" s="469">
        <f t="shared" si="16"/>
        <v>0</v>
      </c>
      <c r="Y128" s="469">
        <f t="shared" si="16"/>
        <v>0</v>
      </c>
      <c r="Z128" s="469">
        <f t="shared" si="16"/>
        <v>0</v>
      </c>
      <c r="AA128" s="469">
        <f t="shared" si="16"/>
        <v>0</v>
      </c>
      <c r="AB128" s="469">
        <f t="shared" si="16"/>
        <v>0</v>
      </c>
      <c r="AC128" s="469">
        <f t="shared" si="16"/>
        <v>0</v>
      </c>
      <c r="AD128" s="469">
        <f t="shared" si="16"/>
        <v>0</v>
      </c>
      <c r="AE128" s="469">
        <f t="shared" si="16"/>
        <v>0</v>
      </c>
      <c r="AF128" s="469">
        <f t="shared" si="16"/>
        <v>0</v>
      </c>
      <c r="AG128" s="469">
        <f t="shared" si="16"/>
        <v>0</v>
      </c>
      <c r="AH128" s="469">
        <f t="shared" si="16"/>
        <v>0</v>
      </c>
      <c r="AI128" s="469">
        <f t="shared" si="16"/>
        <v>0</v>
      </c>
      <c r="AJ128" s="469">
        <f t="shared" si="16"/>
        <v>0</v>
      </c>
      <c r="AK128" s="469">
        <f t="shared" si="16"/>
        <v>0</v>
      </c>
      <c r="AL128" s="469">
        <f t="shared" si="16"/>
        <v>0</v>
      </c>
      <c r="AM128" s="343"/>
    </row>
    <row r="129" spans="1:39" s="86" customFormat="1" outlineLevel="1">
      <c r="A129" s="173" t="str">
        <f t="shared" si="6"/>
        <v>1</v>
      </c>
      <c r="C129" s="86" t="s">
        <v>1520</v>
      </c>
      <c r="L129" s="443" t="s">
        <v>1260</v>
      </c>
      <c r="M129" s="449" t="s">
        <v>328</v>
      </c>
      <c r="N129" s="136" t="s">
        <v>310</v>
      </c>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43"/>
    </row>
    <row r="130" spans="1:39" s="86" customFormat="1" outlineLevel="1">
      <c r="A130" s="173" t="str">
        <f t="shared" si="6"/>
        <v>1</v>
      </c>
      <c r="C130" s="86" t="s">
        <v>1521</v>
      </c>
      <c r="L130" s="443" t="s">
        <v>1261</v>
      </c>
      <c r="M130" s="449" t="s">
        <v>329</v>
      </c>
      <c r="N130" s="136" t="s">
        <v>310</v>
      </c>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43"/>
    </row>
    <row r="131" spans="1:39" s="86" customFormat="1" outlineLevel="1">
      <c r="A131" s="173" t="str">
        <f t="shared" si="6"/>
        <v>1</v>
      </c>
      <c r="C131" s="86" t="s">
        <v>1522</v>
      </c>
      <c r="L131" s="443" t="s">
        <v>1262</v>
      </c>
      <c r="M131" s="448" t="s">
        <v>332</v>
      </c>
      <c r="N131" s="136" t="s">
        <v>310</v>
      </c>
      <c r="O131" s="469">
        <f t="shared" ref="O131:AL131" si="17">SUM(O132:O133)</f>
        <v>0</v>
      </c>
      <c r="P131" s="469">
        <f t="shared" si="17"/>
        <v>0</v>
      </c>
      <c r="Q131" s="469">
        <f t="shared" si="17"/>
        <v>0</v>
      </c>
      <c r="R131" s="469">
        <f t="shared" si="17"/>
        <v>0</v>
      </c>
      <c r="S131" s="469">
        <f t="shared" si="17"/>
        <v>0</v>
      </c>
      <c r="T131" s="469">
        <f t="shared" si="17"/>
        <v>0</v>
      </c>
      <c r="U131" s="469">
        <f t="shared" si="17"/>
        <v>0</v>
      </c>
      <c r="V131" s="469">
        <f t="shared" si="17"/>
        <v>0</v>
      </c>
      <c r="W131" s="469">
        <f t="shared" si="17"/>
        <v>0</v>
      </c>
      <c r="X131" s="469">
        <f t="shared" si="17"/>
        <v>0</v>
      </c>
      <c r="Y131" s="469">
        <f t="shared" si="17"/>
        <v>0</v>
      </c>
      <c r="Z131" s="469">
        <f t="shared" si="17"/>
        <v>0</v>
      </c>
      <c r="AA131" s="469">
        <f t="shared" si="17"/>
        <v>0</v>
      </c>
      <c r="AB131" s="469">
        <f t="shared" si="17"/>
        <v>0</v>
      </c>
      <c r="AC131" s="469">
        <f t="shared" si="17"/>
        <v>0</v>
      </c>
      <c r="AD131" s="469">
        <f t="shared" si="17"/>
        <v>0</v>
      </c>
      <c r="AE131" s="469">
        <f t="shared" si="17"/>
        <v>0</v>
      </c>
      <c r="AF131" s="469">
        <f t="shared" si="17"/>
        <v>0</v>
      </c>
      <c r="AG131" s="469">
        <f t="shared" si="17"/>
        <v>0</v>
      </c>
      <c r="AH131" s="469">
        <f t="shared" si="17"/>
        <v>0</v>
      </c>
      <c r="AI131" s="469">
        <f t="shared" si="17"/>
        <v>0</v>
      </c>
      <c r="AJ131" s="469">
        <f t="shared" si="17"/>
        <v>0</v>
      </c>
      <c r="AK131" s="469">
        <f t="shared" si="17"/>
        <v>0</v>
      </c>
      <c r="AL131" s="469">
        <f t="shared" si="17"/>
        <v>0</v>
      </c>
      <c r="AM131" s="343"/>
    </row>
    <row r="132" spans="1:39" s="86" customFormat="1" outlineLevel="1">
      <c r="A132" s="173" t="str">
        <f t="shared" si="6"/>
        <v>1</v>
      </c>
      <c r="C132" s="86" t="s">
        <v>1523</v>
      </c>
      <c r="L132" s="443" t="s">
        <v>1263</v>
      </c>
      <c r="M132" s="449" t="s">
        <v>328</v>
      </c>
      <c r="N132" s="136" t="s">
        <v>310</v>
      </c>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43"/>
    </row>
    <row r="133" spans="1:39" s="86" customFormat="1" outlineLevel="1">
      <c r="A133" s="173" t="str">
        <f t="shared" si="6"/>
        <v>1</v>
      </c>
      <c r="C133" s="86" t="s">
        <v>1524</v>
      </c>
      <c r="L133" s="443" t="s">
        <v>1264</v>
      </c>
      <c r="M133" s="449" t="s">
        <v>329</v>
      </c>
      <c r="N133" s="136" t="s">
        <v>310</v>
      </c>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183"/>
    </row>
    <row r="134" spans="1:39" s="86" customFormat="1" ht="22.5" outlineLevel="1">
      <c r="A134" s="173" t="str">
        <f t="shared" si="6"/>
        <v>1</v>
      </c>
      <c r="C134" s="86" t="s">
        <v>1525</v>
      </c>
      <c r="L134" s="443" t="s">
        <v>1265</v>
      </c>
      <c r="M134" s="450" t="s">
        <v>1116</v>
      </c>
      <c r="N134" s="413" t="s">
        <v>310</v>
      </c>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183"/>
    </row>
    <row r="135" spans="1:39" s="177" customFormat="1">
      <c r="A135" s="176" t="s">
        <v>1019</v>
      </c>
      <c r="M135" s="3"/>
      <c r="N135" s="3"/>
      <c r="O135" s="471"/>
      <c r="P135" s="471"/>
      <c r="Q135" s="471"/>
      <c r="R135" s="471"/>
      <c r="S135" s="471"/>
      <c r="T135" s="472"/>
      <c r="U135" s="471"/>
      <c r="V135" s="471"/>
      <c r="W135" s="471"/>
      <c r="X135" s="471"/>
      <c r="Y135" s="471"/>
      <c r="Z135" s="471"/>
      <c r="AA135" s="471"/>
      <c r="AB135" s="471"/>
      <c r="AC135" s="471"/>
      <c r="AD135" s="471"/>
      <c r="AE135" s="471"/>
      <c r="AF135" s="471"/>
      <c r="AG135" s="471"/>
      <c r="AH135" s="471"/>
      <c r="AI135" s="471"/>
      <c r="AJ135" s="471"/>
      <c r="AK135" s="471"/>
      <c r="AL135" s="471"/>
    </row>
    <row r="136" spans="1:39" s="86" customFormat="1" ht="15" customHeight="1">
      <c r="A136" s="172" t="s">
        <v>18</v>
      </c>
      <c r="L136" s="149" t="str">
        <f>INDEX('Общие сведения'!$J$114:$J$127,MATCH($A136,'Общие сведения'!$D$114:$D$127,0))</f>
        <v>Тариф 1 (Водоснабжение) - тариф на питьевую воду</v>
      </c>
      <c r="M136" s="145"/>
      <c r="N136" s="145"/>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145"/>
    </row>
    <row r="137" spans="1:39" s="86" customFormat="1" outlineLevel="1">
      <c r="A137" s="173" t="str">
        <f t="shared" ref="A137:A152" si="18">A136</f>
        <v>1</v>
      </c>
      <c r="L137" s="451" t="s">
        <v>18</v>
      </c>
      <c r="M137" s="452" t="s">
        <v>309</v>
      </c>
      <c r="N137" s="178"/>
      <c r="O137" s="551" t="str">
        <f>INDEX('Общие сведения'!$K$114:$K$127,MATCH($A137,'Общие сведения'!$D$114:$D$127,0))</f>
        <v>питьевая вода</v>
      </c>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3"/>
      <c r="AM137" s="183"/>
    </row>
    <row r="138" spans="1:39" s="86" customFormat="1" outlineLevel="1">
      <c r="A138" s="173" t="str">
        <f t="shared" si="18"/>
        <v>1</v>
      </c>
      <c r="C138" s="86" t="s">
        <v>1481</v>
      </c>
      <c r="L138" s="451" t="s">
        <v>102</v>
      </c>
      <c r="M138" s="452" t="s">
        <v>306</v>
      </c>
      <c r="N138" s="138" t="s">
        <v>307</v>
      </c>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183"/>
    </row>
    <row r="139" spans="1:39" s="86" customFormat="1" outlineLevel="1">
      <c r="A139" s="173" t="str">
        <f t="shared" si="18"/>
        <v>1</v>
      </c>
      <c r="C139" s="86" t="s">
        <v>1483</v>
      </c>
      <c r="L139" s="451" t="s">
        <v>103</v>
      </c>
      <c r="M139" s="452" t="s">
        <v>308</v>
      </c>
      <c r="N139" s="138" t="s">
        <v>307</v>
      </c>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183"/>
    </row>
    <row r="140" spans="1:39" s="86" customFormat="1" outlineLevel="1">
      <c r="A140" s="173" t="str">
        <f t="shared" si="18"/>
        <v>1</v>
      </c>
      <c r="C140" s="86" t="s">
        <v>1484</v>
      </c>
      <c r="L140" s="451">
        <v>4</v>
      </c>
      <c r="M140" s="453" t="s">
        <v>335</v>
      </c>
      <c r="N140" s="136" t="s">
        <v>310</v>
      </c>
      <c r="O140" s="474">
        <f t="shared" ref="O140:AL140" si="19">O144+O146+O149+O152</f>
        <v>0</v>
      </c>
      <c r="P140" s="474">
        <f t="shared" si="19"/>
        <v>0</v>
      </c>
      <c r="Q140" s="474">
        <f t="shared" si="19"/>
        <v>0</v>
      </c>
      <c r="R140" s="474">
        <f t="shared" si="19"/>
        <v>0</v>
      </c>
      <c r="S140" s="474">
        <f t="shared" si="19"/>
        <v>0</v>
      </c>
      <c r="T140" s="474">
        <f t="shared" si="19"/>
        <v>0</v>
      </c>
      <c r="U140" s="474">
        <f t="shared" si="19"/>
        <v>0</v>
      </c>
      <c r="V140" s="474">
        <f t="shared" si="19"/>
        <v>0</v>
      </c>
      <c r="W140" s="474">
        <f t="shared" si="19"/>
        <v>0</v>
      </c>
      <c r="X140" s="474">
        <f t="shared" si="19"/>
        <v>0</v>
      </c>
      <c r="Y140" s="474">
        <f t="shared" si="19"/>
        <v>0</v>
      </c>
      <c r="Z140" s="474">
        <f t="shared" si="19"/>
        <v>0</v>
      </c>
      <c r="AA140" s="474">
        <f t="shared" si="19"/>
        <v>0</v>
      </c>
      <c r="AB140" s="474">
        <f t="shared" si="19"/>
        <v>0</v>
      </c>
      <c r="AC140" s="474">
        <f t="shared" si="19"/>
        <v>0</v>
      </c>
      <c r="AD140" s="474">
        <f t="shared" si="19"/>
        <v>0</v>
      </c>
      <c r="AE140" s="474">
        <f t="shared" si="19"/>
        <v>0</v>
      </c>
      <c r="AF140" s="474">
        <f t="shared" si="19"/>
        <v>0</v>
      </c>
      <c r="AG140" s="474">
        <f t="shared" si="19"/>
        <v>0</v>
      </c>
      <c r="AH140" s="474">
        <f t="shared" si="19"/>
        <v>0</v>
      </c>
      <c r="AI140" s="474">
        <f t="shared" si="19"/>
        <v>0</v>
      </c>
      <c r="AJ140" s="474">
        <f t="shared" si="19"/>
        <v>0</v>
      </c>
      <c r="AK140" s="474">
        <f t="shared" si="19"/>
        <v>0</v>
      </c>
      <c r="AL140" s="474">
        <f t="shared" si="19"/>
        <v>0</v>
      </c>
      <c r="AM140" s="183"/>
    </row>
    <row r="141" spans="1:39" s="86" customFormat="1" outlineLevel="1">
      <c r="A141" s="173" t="str">
        <f t="shared" si="18"/>
        <v>1</v>
      </c>
      <c r="C141" s="86" t="s">
        <v>1499</v>
      </c>
      <c r="L141" s="451" t="s">
        <v>140</v>
      </c>
      <c r="M141" s="454" t="s">
        <v>333</v>
      </c>
      <c r="N141" s="136" t="s">
        <v>310</v>
      </c>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183"/>
    </row>
    <row r="142" spans="1:39" s="86" customFormat="1" outlineLevel="1">
      <c r="A142" s="173" t="str">
        <f t="shared" si="18"/>
        <v>1</v>
      </c>
      <c r="C142" s="86" t="s">
        <v>1500</v>
      </c>
      <c r="L142" s="451" t="s">
        <v>372</v>
      </c>
      <c r="M142" s="454" t="s">
        <v>334</v>
      </c>
      <c r="N142" s="136" t="s">
        <v>310</v>
      </c>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183"/>
    </row>
    <row r="143" spans="1:39" s="86" customFormat="1" ht="22.5" outlineLevel="1">
      <c r="A143" s="173" t="str">
        <f t="shared" si="18"/>
        <v>1</v>
      </c>
      <c r="C143" s="86" t="s">
        <v>1501</v>
      </c>
      <c r="L143" s="451" t="s">
        <v>373</v>
      </c>
      <c r="M143" s="454" t="s">
        <v>320</v>
      </c>
      <c r="N143" s="136" t="s">
        <v>310</v>
      </c>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183"/>
    </row>
    <row r="144" spans="1:39" s="86" customFormat="1" outlineLevel="1">
      <c r="A144" s="173" t="str">
        <f t="shared" si="18"/>
        <v>1</v>
      </c>
      <c r="C144" s="86" t="s">
        <v>1485</v>
      </c>
      <c r="L144" s="451" t="s">
        <v>120</v>
      </c>
      <c r="M144" s="452" t="s">
        <v>1150</v>
      </c>
      <c r="N144" s="136" t="s">
        <v>310</v>
      </c>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183"/>
    </row>
    <row r="145" spans="1:39" s="86" customFormat="1" outlineLevel="1">
      <c r="A145" s="173" t="str">
        <f t="shared" si="18"/>
        <v>1</v>
      </c>
      <c r="C145" s="86" t="s">
        <v>1502</v>
      </c>
      <c r="L145" s="443" t="s">
        <v>122</v>
      </c>
      <c r="M145" s="447" t="s">
        <v>321</v>
      </c>
      <c r="N145" s="174" t="s">
        <v>137</v>
      </c>
      <c r="O145" s="470">
        <f t="shared" ref="O145:AL145" si="20">IF(O140=0,0,O144/O140*100)</f>
        <v>0</v>
      </c>
      <c r="P145" s="470">
        <f t="shared" si="20"/>
        <v>0</v>
      </c>
      <c r="Q145" s="470">
        <f t="shared" si="20"/>
        <v>0</v>
      </c>
      <c r="R145" s="470">
        <f t="shared" si="20"/>
        <v>0</v>
      </c>
      <c r="S145" s="470">
        <f t="shared" si="20"/>
        <v>0</v>
      </c>
      <c r="T145" s="470">
        <f t="shared" si="20"/>
        <v>0</v>
      </c>
      <c r="U145" s="470">
        <f t="shared" si="20"/>
        <v>0</v>
      </c>
      <c r="V145" s="470">
        <f t="shared" si="20"/>
        <v>0</v>
      </c>
      <c r="W145" s="470">
        <f t="shared" si="20"/>
        <v>0</v>
      </c>
      <c r="X145" s="470">
        <f t="shared" si="20"/>
        <v>0</v>
      </c>
      <c r="Y145" s="470">
        <f t="shared" si="20"/>
        <v>0</v>
      </c>
      <c r="Z145" s="470">
        <f t="shared" si="20"/>
        <v>0</v>
      </c>
      <c r="AA145" s="470">
        <f t="shared" si="20"/>
        <v>0</v>
      </c>
      <c r="AB145" s="470">
        <f t="shared" si="20"/>
        <v>0</v>
      </c>
      <c r="AC145" s="470">
        <f t="shared" si="20"/>
        <v>0</v>
      </c>
      <c r="AD145" s="470">
        <f t="shared" si="20"/>
        <v>0</v>
      </c>
      <c r="AE145" s="470">
        <f t="shared" si="20"/>
        <v>0</v>
      </c>
      <c r="AF145" s="470">
        <f t="shared" si="20"/>
        <v>0</v>
      </c>
      <c r="AG145" s="470">
        <f t="shared" si="20"/>
        <v>0</v>
      </c>
      <c r="AH145" s="470">
        <f t="shared" si="20"/>
        <v>0</v>
      </c>
      <c r="AI145" s="470">
        <f t="shared" si="20"/>
        <v>0</v>
      </c>
      <c r="AJ145" s="470">
        <f t="shared" si="20"/>
        <v>0</v>
      </c>
      <c r="AK145" s="470">
        <f t="shared" si="20"/>
        <v>0</v>
      </c>
      <c r="AL145" s="470">
        <f t="shared" si="20"/>
        <v>0</v>
      </c>
      <c r="AM145" s="343"/>
    </row>
    <row r="146" spans="1:39" s="86" customFormat="1" outlineLevel="1">
      <c r="A146" s="173" t="str">
        <f>A144</f>
        <v>1</v>
      </c>
      <c r="C146" s="86" t="s">
        <v>1486</v>
      </c>
      <c r="L146" s="451" t="s">
        <v>124</v>
      </c>
      <c r="M146" s="453" t="s">
        <v>323</v>
      </c>
      <c r="N146" s="136" t="s">
        <v>310</v>
      </c>
      <c r="O146" s="474">
        <f t="shared" ref="O146:AL146" si="21">O147+O148</f>
        <v>0</v>
      </c>
      <c r="P146" s="474">
        <f t="shared" si="21"/>
        <v>0</v>
      </c>
      <c r="Q146" s="474">
        <f t="shared" si="21"/>
        <v>0</v>
      </c>
      <c r="R146" s="474">
        <f t="shared" si="21"/>
        <v>0</v>
      </c>
      <c r="S146" s="474">
        <f t="shared" si="21"/>
        <v>0</v>
      </c>
      <c r="T146" s="474">
        <f t="shared" si="21"/>
        <v>0</v>
      </c>
      <c r="U146" s="474">
        <f t="shared" si="21"/>
        <v>0</v>
      </c>
      <c r="V146" s="474">
        <f t="shared" si="21"/>
        <v>0</v>
      </c>
      <c r="W146" s="474">
        <f t="shared" si="21"/>
        <v>0</v>
      </c>
      <c r="X146" s="474">
        <f t="shared" si="21"/>
        <v>0</v>
      </c>
      <c r="Y146" s="474">
        <f t="shared" si="21"/>
        <v>0</v>
      </c>
      <c r="Z146" s="474">
        <f t="shared" si="21"/>
        <v>0</v>
      </c>
      <c r="AA146" s="474">
        <f t="shared" si="21"/>
        <v>0</v>
      </c>
      <c r="AB146" s="474">
        <f t="shared" si="21"/>
        <v>0</v>
      </c>
      <c r="AC146" s="474">
        <f t="shared" si="21"/>
        <v>0</v>
      </c>
      <c r="AD146" s="474">
        <f t="shared" si="21"/>
        <v>0</v>
      </c>
      <c r="AE146" s="474">
        <f t="shared" si="21"/>
        <v>0</v>
      </c>
      <c r="AF146" s="474">
        <f t="shared" si="21"/>
        <v>0</v>
      </c>
      <c r="AG146" s="474">
        <f t="shared" si="21"/>
        <v>0</v>
      </c>
      <c r="AH146" s="474">
        <f t="shared" si="21"/>
        <v>0</v>
      </c>
      <c r="AI146" s="474">
        <f t="shared" si="21"/>
        <v>0</v>
      </c>
      <c r="AJ146" s="474">
        <f t="shared" si="21"/>
        <v>0</v>
      </c>
      <c r="AK146" s="474">
        <f t="shared" si="21"/>
        <v>0</v>
      </c>
      <c r="AL146" s="474">
        <f t="shared" si="21"/>
        <v>0</v>
      </c>
      <c r="AM146" s="183"/>
    </row>
    <row r="147" spans="1:39" s="86" customFormat="1" outlineLevel="1">
      <c r="A147" s="173" t="str">
        <f t="shared" si="18"/>
        <v>1</v>
      </c>
      <c r="C147" s="86" t="s">
        <v>1526</v>
      </c>
      <c r="L147" s="451" t="s">
        <v>179</v>
      </c>
      <c r="M147" s="454" t="s">
        <v>324</v>
      </c>
      <c r="N147" s="136" t="s">
        <v>310</v>
      </c>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183"/>
    </row>
    <row r="148" spans="1:39" s="86" customFormat="1" outlineLevel="1">
      <c r="A148" s="173" t="str">
        <f t="shared" si="18"/>
        <v>1</v>
      </c>
      <c r="C148" s="86" t="s">
        <v>1527</v>
      </c>
      <c r="L148" s="451" t="s">
        <v>180</v>
      </c>
      <c r="M148" s="454" t="s">
        <v>325</v>
      </c>
      <c r="N148" s="136" t="s">
        <v>310</v>
      </c>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183"/>
    </row>
    <row r="149" spans="1:39" s="86" customFormat="1" outlineLevel="1">
      <c r="A149" s="173" t="str">
        <f t="shared" si="18"/>
        <v>1</v>
      </c>
      <c r="B149" s="86" t="s">
        <v>1128</v>
      </c>
      <c r="C149" s="86" t="s">
        <v>1487</v>
      </c>
      <c r="L149" s="451" t="s">
        <v>125</v>
      </c>
      <c r="M149" s="453" t="s">
        <v>327</v>
      </c>
      <c r="N149" s="136" t="s">
        <v>310</v>
      </c>
      <c r="O149" s="474">
        <f t="shared" ref="O149:AL149" si="22">O150+O151</f>
        <v>0</v>
      </c>
      <c r="P149" s="474">
        <f t="shared" si="22"/>
        <v>0</v>
      </c>
      <c r="Q149" s="474">
        <f t="shared" si="22"/>
        <v>0</v>
      </c>
      <c r="R149" s="474">
        <f t="shared" si="22"/>
        <v>0</v>
      </c>
      <c r="S149" s="474">
        <f t="shared" si="22"/>
        <v>0</v>
      </c>
      <c r="T149" s="474">
        <f t="shared" si="22"/>
        <v>0</v>
      </c>
      <c r="U149" s="474">
        <f t="shared" si="22"/>
        <v>0</v>
      </c>
      <c r="V149" s="474">
        <f t="shared" si="22"/>
        <v>0</v>
      </c>
      <c r="W149" s="474">
        <f t="shared" si="22"/>
        <v>0</v>
      </c>
      <c r="X149" s="474">
        <f t="shared" si="22"/>
        <v>0</v>
      </c>
      <c r="Y149" s="474">
        <f t="shared" si="22"/>
        <v>0</v>
      </c>
      <c r="Z149" s="474">
        <f t="shared" si="22"/>
        <v>0</v>
      </c>
      <c r="AA149" s="474">
        <f t="shared" si="22"/>
        <v>0</v>
      </c>
      <c r="AB149" s="474">
        <f t="shared" si="22"/>
        <v>0</v>
      </c>
      <c r="AC149" s="474">
        <f t="shared" si="22"/>
        <v>0</v>
      </c>
      <c r="AD149" s="474">
        <f t="shared" si="22"/>
        <v>0</v>
      </c>
      <c r="AE149" s="474">
        <f t="shared" si="22"/>
        <v>0</v>
      </c>
      <c r="AF149" s="474">
        <f t="shared" si="22"/>
        <v>0</v>
      </c>
      <c r="AG149" s="474">
        <f t="shared" si="22"/>
        <v>0</v>
      </c>
      <c r="AH149" s="474">
        <f t="shared" si="22"/>
        <v>0</v>
      </c>
      <c r="AI149" s="474">
        <f t="shared" si="22"/>
        <v>0</v>
      </c>
      <c r="AJ149" s="474">
        <f t="shared" si="22"/>
        <v>0</v>
      </c>
      <c r="AK149" s="474">
        <f t="shared" si="22"/>
        <v>0</v>
      </c>
      <c r="AL149" s="474">
        <f t="shared" si="22"/>
        <v>0</v>
      </c>
      <c r="AM149" s="183"/>
    </row>
    <row r="150" spans="1:39" s="86" customFormat="1" outlineLevel="1">
      <c r="A150" s="173" t="str">
        <f t="shared" si="18"/>
        <v>1</v>
      </c>
      <c r="C150" s="86" t="s">
        <v>1528</v>
      </c>
      <c r="L150" s="451" t="s">
        <v>181</v>
      </c>
      <c r="M150" s="454" t="s">
        <v>328</v>
      </c>
      <c r="N150" s="136" t="s">
        <v>310</v>
      </c>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183"/>
    </row>
    <row r="151" spans="1:39" s="86" customFormat="1" outlineLevel="1">
      <c r="A151" s="173" t="str">
        <f t="shared" si="18"/>
        <v>1</v>
      </c>
      <c r="C151" s="86" t="s">
        <v>1529</v>
      </c>
      <c r="L151" s="451" t="s">
        <v>182</v>
      </c>
      <c r="M151" s="454" t="s">
        <v>329</v>
      </c>
      <c r="N151" s="136" t="s">
        <v>310</v>
      </c>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183"/>
    </row>
    <row r="152" spans="1:39" s="86" customFormat="1" outlineLevel="1">
      <c r="A152" s="173" t="str">
        <f t="shared" si="18"/>
        <v>1</v>
      </c>
      <c r="C152" s="86" t="s">
        <v>1494</v>
      </c>
      <c r="L152" s="451" t="s">
        <v>126</v>
      </c>
      <c r="M152" s="455" t="s">
        <v>1116</v>
      </c>
      <c r="N152" s="136" t="s">
        <v>310</v>
      </c>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183"/>
    </row>
    <row r="153" spans="1:39" s="177" customFormat="1">
      <c r="A153" s="176" t="s">
        <v>1020</v>
      </c>
      <c r="M153" s="3"/>
      <c r="N153" s="3"/>
      <c r="O153" s="471"/>
      <c r="P153" s="471"/>
      <c r="Q153" s="471"/>
      <c r="R153" s="471"/>
      <c r="S153" s="471"/>
      <c r="T153" s="472"/>
      <c r="U153" s="471"/>
      <c r="V153" s="471"/>
      <c r="W153" s="471"/>
      <c r="X153" s="471"/>
      <c r="Y153" s="471"/>
      <c r="Z153" s="471"/>
      <c r="AA153" s="471"/>
      <c r="AB153" s="471"/>
      <c r="AC153" s="471"/>
      <c r="AD153" s="471"/>
      <c r="AE153" s="471"/>
      <c r="AF153" s="471"/>
      <c r="AG153" s="471"/>
      <c r="AH153" s="471"/>
      <c r="AI153" s="471"/>
      <c r="AJ153" s="471"/>
      <c r="AK153" s="471"/>
      <c r="AL153" s="471"/>
    </row>
    <row r="154" spans="1:39" s="86" customFormat="1" ht="15" customHeight="1">
      <c r="A154" s="172" t="s">
        <v>18</v>
      </c>
      <c r="L154" s="149" t="str">
        <f>INDEX('Общие сведения'!$J$114:$J$127,MATCH($A154,'Общие сведения'!$D$114:$D$127,0))</f>
        <v>Тариф 1 (Водоснабжение) - тариф на питьевую воду</v>
      </c>
      <c r="M154" s="145"/>
      <c r="N154" s="145"/>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3"/>
      <c r="AL154" s="473"/>
      <c r="AM154" s="145"/>
    </row>
    <row r="155" spans="1:39" s="86" customFormat="1" outlineLevel="1">
      <c r="A155" s="173" t="str">
        <f t="shared" ref="A155:A179" si="23">A154</f>
        <v>1</v>
      </c>
      <c r="L155" s="451" t="s">
        <v>18</v>
      </c>
      <c r="M155" s="457" t="s">
        <v>336</v>
      </c>
      <c r="N155" s="175"/>
      <c r="O155" s="551" t="str">
        <f>INDEX('Общие сведения'!$K$114:$K$127,MATCH($A155,'Общие сведения'!$D$114:$D$127,0))</f>
        <v>питьевая вода</v>
      </c>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2"/>
      <c r="AL155" s="553"/>
      <c r="AM155" s="183"/>
    </row>
    <row r="156" spans="1:39" s="86" customFormat="1" outlineLevel="1">
      <c r="A156" s="173" t="str">
        <f t="shared" si="23"/>
        <v>1</v>
      </c>
      <c r="C156" s="86" t="s">
        <v>1481</v>
      </c>
      <c r="L156" s="451" t="s">
        <v>102</v>
      </c>
      <c r="M156" s="456" t="s">
        <v>306</v>
      </c>
      <c r="N156" s="138" t="s">
        <v>307</v>
      </c>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183"/>
    </row>
    <row r="157" spans="1:39" s="86" customFormat="1" outlineLevel="1">
      <c r="A157" s="173" t="str">
        <f t="shared" si="23"/>
        <v>1</v>
      </c>
      <c r="C157" s="86" t="s">
        <v>1483</v>
      </c>
      <c r="L157" s="451" t="s">
        <v>103</v>
      </c>
      <c r="M157" s="456" t="s">
        <v>308</v>
      </c>
      <c r="N157" s="138" t="s">
        <v>307</v>
      </c>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183"/>
    </row>
    <row r="158" spans="1:39" s="86" customFormat="1" outlineLevel="1">
      <c r="A158" s="173" t="str">
        <f t="shared" si="23"/>
        <v>1</v>
      </c>
      <c r="C158" s="86" t="s">
        <v>1484</v>
      </c>
      <c r="L158" s="451" t="s">
        <v>104</v>
      </c>
      <c r="M158" s="457" t="s">
        <v>337</v>
      </c>
      <c r="N158" s="136" t="s">
        <v>310</v>
      </c>
      <c r="O158" s="475">
        <f>O159+O160+O173</f>
        <v>0</v>
      </c>
      <c r="P158" s="475">
        <f t="shared" ref="P158:AL158" si="24">P159+P160+P173</f>
        <v>0</v>
      </c>
      <c r="Q158" s="475">
        <f t="shared" si="24"/>
        <v>0</v>
      </c>
      <c r="R158" s="475">
        <f t="shared" si="24"/>
        <v>0</v>
      </c>
      <c r="S158" s="475">
        <f t="shared" si="24"/>
        <v>0</v>
      </c>
      <c r="T158" s="475">
        <f t="shared" si="24"/>
        <v>0</v>
      </c>
      <c r="U158" s="475">
        <f t="shared" si="24"/>
        <v>0</v>
      </c>
      <c r="V158" s="475">
        <f t="shared" si="24"/>
        <v>0</v>
      </c>
      <c r="W158" s="475">
        <f t="shared" si="24"/>
        <v>0</v>
      </c>
      <c r="X158" s="475">
        <f t="shared" si="24"/>
        <v>0</v>
      </c>
      <c r="Y158" s="475">
        <f t="shared" si="24"/>
        <v>0</v>
      </c>
      <c r="Z158" s="475">
        <f t="shared" si="24"/>
        <v>0</v>
      </c>
      <c r="AA158" s="475">
        <f t="shared" si="24"/>
        <v>0</v>
      </c>
      <c r="AB158" s="475">
        <f t="shared" si="24"/>
        <v>0</v>
      </c>
      <c r="AC158" s="475">
        <f t="shared" si="24"/>
        <v>0</v>
      </c>
      <c r="AD158" s="475">
        <f t="shared" si="24"/>
        <v>0</v>
      </c>
      <c r="AE158" s="475">
        <f t="shared" si="24"/>
        <v>0</v>
      </c>
      <c r="AF158" s="475">
        <f t="shared" si="24"/>
        <v>0</v>
      </c>
      <c r="AG158" s="475">
        <f t="shared" si="24"/>
        <v>0</v>
      </c>
      <c r="AH158" s="475">
        <f t="shared" si="24"/>
        <v>0</v>
      </c>
      <c r="AI158" s="475">
        <f t="shared" si="24"/>
        <v>0</v>
      </c>
      <c r="AJ158" s="475">
        <f t="shared" si="24"/>
        <v>0</v>
      </c>
      <c r="AK158" s="475">
        <f t="shared" si="24"/>
        <v>0</v>
      </c>
      <c r="AL158" s="475">
        <f t="shared" si="24"/>
        <v>0</v>
      </c>
      <c r="AM158" s="183"/>
    </row>
    <row r="159" spans="1:39" s="86" customFormat="1" outlineLevel="1">
      <c r="A159" s="173" t="str">
        <f t="shared" si="23"/>
        <v>1</v>
      </c>
      <c r="B159" s="86" t="str">
        <f>IF(OwnNeedsInPO="да","ПО","")</f>
        <v/>
      </c>
      <c r="C159" s="86" t="s">
        <v>1485</v>
      </c>
      <c r="L159" s="451" t="s">
        <v>120</v>
      </c>
      <c r="M159" s="457" t="s">
        <v>338</v>
      </c>
      <c r="N159" s="136" t="s">
        <v>310</v>
      </c>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183"/>
    </row>
    <row r="160" spans="1:39" s="86" customFormat="1" outlineLevel="1">
      <c r="A160" s="173" t="str">
        <f t="shared" si="23"/>
        <v>1</v>
      </c>
      <c r="B160" s="86" t="s">
        <v>1128</v>
      </c>
      <c r="C160" s="86" t="s">
        <v>1486</v>
      </c>
      <c r="L160" s="451" t="s">
        <v>124</v>
      </c>
      <c r="M160" s="77" t="s">
        <v>339</v>
      </c>
      <c r="N160" s="136" t="s">
        <v>310</v>
      </c>
      <c r="O160" s="474">
        <f>O161+O164+O167+O170</f>
        <v>0</v>
      </c>
      <c r="P160" s="474">
        <f t="shared" ref="P160:AL160" si="25">P161+P164+P167+P170</f>
        <v>0</v>
      </c>
      <c r="Q160" s="474">
        <f t="shared" si="25"/>
        <v>0</v>
      </c>
      <c r="R160" s="474">
        <f t="shared" si="25"/>
        <v>0</v>
      </c>
      <c r="S160" s="474">
        <f t="shared" si="25"/>
        <v>0</v>
      </c>
      <c r="T160" s="474">
        <f t="shared" si="25"/>
        <v>0</v>
      </c>
      <c r="U160" s="474">
        <f t="shared" si="25"/>
        <v>0</v>
      </c>
      <c r="V160" s="474">
        <f t="shared" si="25"/>
        <v>0</v>
      </c>
      <c r="W160" s="474">
        <f t="shared" si="25"/>
        <v>0</v>
      </c>
      <c r="X160" s="474">
        <f t="shared" si="25"/>
        <v>0</v>
      </c>
      <c r="Y160" s="474">
        <f t="shared" si="25"/>
        <v>0</v>
      </c>
      <c r="Z160" s="474">
        <f t="shared" si="25"/>
        <v>0</v>
      </c>
      <c r="AA160" s="474">
        <f t="shared" si="25"/>
        <v>0</v>
      </c>
      <c r="AB160" s="474">
        <f t="shared" si="25"/>
        <v>0</v>
      </c>
      <c r="AC160" s="474">
        <f t="shared" si="25"/>
        <v>0</v>
      </c>
      <c r="AD160" s="474">
        <f t="shared" si="25"/>
        <v>0</v>
      </c>
      <c r="AE160" s="474">
        <f t="shared" si="25"/>
        <v>0</v>
      </c>
      <c r="AF160" s="474">
        <f t="shared" si="25"/>
        <v>0</v>
      </c>
      <c r="AG160" s="474">
        <f t="shared" si="25"/>
        <v>0</v>
      </c>
      <c r="AH160" s="474">
        <f t="shared" si="25"/>
        <v>0</v>
      </c>
      <c r="AI160" s="474">
        <f t="shared" si="25"/>
        <v>0</v>
      </c>
      <c r="AJ160" s="474">
        <f t="shared" si="25"/>
        <v>0</v>
      </c>
      <c r="AK160" s="474">
        <f t="shared" si="25"/>
        <v>0</v>
      </c>
      <c r="AL160" s="474">
        <f t="shared" si="25"/>
        <v>0</v>
      </c>
      <c r="AM160" s="183"/>
    </row>
    <row r="161" spans="1:39" s="86" customFormat="1" outlineLevel="1">
      <c r="A161" s="173" t="str">
        <f t="shared" si="23"/>
        <v>1</v>
      </c>
      <c r="C161" s="86" t="s">
        <v>1526</v>
      </c>
      <c r="L161" s="451" t="s">
        <v>179</v>
      </c>
      <c r="M161" s="167" t="s">
        <v>330</v>
      </c>
      <c r="N161" s="136" t="s">
        <v>310</v>
      </c>
      <c r="O161" s="474">
        <f t="shared" ref="O161:AL161" si="26">O162+O163</f>
        <v>0</v>
      </c>
      <c r="P161" s="474">
        <f t="shared" si="26"/>
        <v>0</v>
      </c>
      <c r="Q161" s="474">
        <f t="shared" si="26"/>
        <v>0</v>
      </c>
      <c r="R161" s="474">
        <f t="shared" si="26"/>
        <v>0</v>
      </c>
      <c r="S161" s="474">
        <f t="shared" si="26"/>
        <v>0</v>
      </c>
      <c r="T161" s="474">
        <f t="shared" si="26"/>
        <v>0</v>
      </c>
      <c r="U161" s="474">
        <f t="shared" si="26"/>
        <v>0</v>
      </c>
      <c r="V161" s="474">
        <f t="shared" si="26"/>
        <v>0</v>
      </c>
      <c r="W161" s="474">
        <f t="shared" si="26"/>
        <v>0</v>
      </c>
      <c r="X161" s="474">
        <f t="shared" si="26"/>
        <v>0</v>
      </c>
      <c r="Y161" s="474">
        <f t="shared" si="26"/>
        <v>0</v>
      </c>
      <c r="Z161" s="474">
        <f t="shared" si="26"/>
        <v>0</v>
      </c>
      <c r="AA161" s="474">
        <f t="shared" si="26"/>
        <v>0</v>
      </c>
      <c r="AB161" s="474">
        <f t="shared" si="26"/>
        <v>0</v>
      </c>
      <c r="AC161" s="474">
        <f t="shared" si="26"/>
        <v>0</v>
      </c>
      <c r="AD161" s="474">
        <f t="shared" si="26"/>
        <v>0</v>
      </c>
      <c r="AE161" s="474">
        <f t="shared" si="26"/>
        <v>0</v>
      </c>
      <c r="AF161" s="474">
        <f t="shared" si="26"/>
        <v>0</v>
      </c>
      <c r="AG161" s="474">
        <f t="shared" si="26"/>
        <v>0</v>
      </c>
      <c r="AH161" s="474">
        <f t="shared" si="26"/>
        <v>0</v>
      </c>
      <c r="AI161" s="474">
        <f t="shared" si="26"/>
        <v>0</v>
      </c>
      <c r="AJ161" s="474">
        <f t="shared" si="26"/>
        <v>0</v>
      </c>
      <c r="AK161" s="474">
        <f t="shared" si="26"/>
        <v>0</v>
      </c>
      <c r="AL161" s="474">
        <f t="shared" si="26"/>
        <v>0</v>
      </c>
      <c r="AM161" s="183"/>
    </row>
    <row r="162" spans="1:39" s="86" customFormat="1" outlineLevel="1">
      <c r="A162" s="173" t="str">
        <f t="shared" si="23"/>
        <v>1</v>
      </c>
      <c r="C162" s="86" t="s">
        <v>1530</v>
      </c>
      <c r="L162" s="451" t="s">
        <v>1266</v>
      </c>
      <c r="M162" s="458" t="s">
        <v>328</v>
      </c>
      <c r="N162" s="136" t="s">
        <v>310</v>
      </c>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183"/>
    </row>
    <row r="163" spans="1:39" s="86" customFormat="1" outlineLevel="1">
      <c r="A163" s="173" t="str">
        <f t="shared" si="23"/>
        <v>1</v>
      </c>
      <c r="C163" s="86" t="s">
        <v>1531</v>
      </c>
      <c r="L163" s="451" t="s">
        <v>1267</v>
      </c>
      <c r="M163" s="458" t="s">
        <v>329</v>
      </c>
      <c r="N163" s="136" t="s">
        <v>310</v>
      </c>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183"/>
    </row>
    <row r="164" spans="1:39" s="86" customFormat="1" outlineLevel="1">
      <c r="A164" s="173" t="str">
        <f t="shared" si="23"/>
        <v>1</v>
      </c>
      <c r="B164" s="86" t="s">
        <v>1129</v>
      </c>
      <c r="C164" s="86" t="s">
        <v>1527</v>
      </c>
      <c r="L164" s="451" t="s">
        <v>180</v>
      </c>
      <c r="M164" s="167" t="s">
        <v>331</v>
      </c>
      <c r="N164" s="136" t="s">
        <v>310</v>
      </c>
      <c r="O164" s="474">
        <f t="shared" ref="O164:AL164" si="27">O165+O166</f>
        <v>0</v>
      </c>
      <c r="P164" s="474">
        <f t="shared" si="27"/>
        <v>0</v>
      </c>
      <c r="Q164" s="474">
        <f t="shared" si="27"/>
        <v>0</v>
      </c>
      <c r="R164" s="474">
        <f t="shared" si="27"/>
        <v>0</v>
      </c>
      <c r="S164" s="474">
        <f t="shared" si="27"/>
        <v>0</v>
      </c>
      <c r="T164" s="474">
        <f t="shared" si="27"/>
        <v>0</v>
      </c>
      <c r="U164" s="474">
        <f t="shared" si="27"/>
        <v>0</v>
      </c>
      <c r="V164" s="474">
        <f t="shared" si="27"/>
        <v>0</v>
      </c>
      <c r="W164" s="474">
        <f t="shared" si="27"/>
        <v>0</v>
      </c>
      <c r="X164" s="474">
        <f t="shared" si="27"/>
        <v>0</v>
      </c>
      <c r="Y164" s="474">
        <f t="shared" si="27"/>
        <v>0</v>
      </c>
      <c r="Z164" s="474">
        <f t="shared" si="27"/>
        <v>0</v>
      </c>
      <c r="AA164" s="474">
        <f t="shared" si="27"/>
        <v>0</v>
      </c>
      <c r="AB164" s="474">
        <f t="shared" si="27"/>
        <v>0</v>
      </c>
      <c r="AC164" s="474">
        <f t="shared" si="27"/>
        <v>0</v>
      </c>
      <c r="AD164" s="474">
        <f t="shared" si="27"/>
        <v>0</v>
      </c>
      <c r="AE164" s="474">
        <f t="shared" si="27"/>
        <v>0</v>
      </c>
      <c r="AF164" s="474">
        <f t="shared" si="27"/>
        <v>0</v>
      </c>
      <c r="AG164" s="474">
        <f t="shared" si="27"/>
        <v>0</v>
      </c>
      <c r="AH164" s="474">
        <f t="shared" si="27"/>
        <v>0</v>
      </c>
      <c r="AI164" s="474">
        <f t="shared" si="27"/>
        <v>0</v>
      </c>
      <c r="AJ164" s="474">
        <f t="shared" si="27"/>
        <v>0</v>
      </c>
      <c r="AK164" s="474">
        <f t="shared" si="27"/>
        <v>0</v>
      </c>
      <c r="AL164" s="474">
        <f t="shared" si="27"/>
        <v>0</v>
      </c>
      <c r="AM164" s="183"/>
    </row>
    <row r="165" spans="1:39" s="86" customFormat="1" outlineLevel="1">
      <c r="A165" s="173" t="str">
        <f t="shared" si="23"/>
        <v>1</v>
      </c>
      <c r="C165" s="86" t="s">
        <v>1532</v>
      </c>
      <c r="L165" s="451" t="s">
        <v>1268</v>
      </c>
      <c r="M165" s="458" t="s">
        <v>328</v>
      </c>
      <c r="N165" s="136" t="s">
        <v>310</v>
      </c>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183"/>
    </row>
    <row r="166" spans="1:39" s="86" customFormat="1" outlineLevel="1">
      <c r="A166" s="173" t="str">
        <f t="shared" si="23"/>
        <v>1</v>
      </c>
      <c r="C166" s="86" t="s">
        <v>1533</v>
      </c>
      <c r="L166" s="451" t="s">
        <v>1269</v>
      </c>
      <c r="M166" s="458" t="s">
        <v>329</v>
      </c>
      <c r="N166" s="136" t="s">
        <v>310</v>
      </c>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183"/>
    </row>
    <row r="167" spans="1:39" s="86" customFormat="1" outlineLevel="1">
      <c r="A167" s="173" t="str">
        <f t="shared" si="23"/>
        <v>1</v>
      </c>
      <c r="C167" s="86" t="s">
        <v>1534</v>
      </c>
      <c r="L167" s="451" t="s">
        <v>381</v>
      </c>
      <c r="M167" s="167" t="s">
        <v>332</v>
      </c>
      <c r="N167" s="136" t="s">
        <v>310</v>
      </c>
      <c r="O167" s="474">
        <f t="shared" ref="O167:AL167" si="28">O168+O169</f>
        <v>0</v>
      </c>
      <c r="P167" s="474">
        <f t="shared" si="28"/>
        <v>0</v>
      </c>
      <c r="Q167" s="474">
        <f t="shared" si="28"/>
        <v>0</v>
      </c>
      <c r="R167" s="474">
        <f t="shared" si="28"/>
        <v>0</v>
      </c>
      <c r="S167" s="474">
        <f t="shared" si="28"/>
        <v>0</v>
      </c>
      <c r="T167" s="474">
        <f t="shared" si="28"/>
        <v>0</v>
      </c>
      <c r="U167" s="474">
        <f t="shared" si="28"/>
        <v>0</v>
      </c>
      <c r="V167" s="474">
        <f t="shared" si="28"/>
        <v>0</v>
      </c>
      <c r="W167" s="474">
        <f t="shared" si="28"/>
        <v>0</v>
      </c>
      <c r="X167" s="474">
        <f t="shared" si="28"/>
        <v>0</v>
      </c>
      <c r="Y167" s="474">
        <f t="shared" si="28"/>
        <v>0</v>
      </c>
      <c r="Z167" s="474">
        <f t="shared" si="28"/>
        <v>0</v>
      </c>
      <c r="AA167" s="474">
        <f t="shared" si="28"/>
        <v>0</v>
      </c>
      <c r="AB167" s="474">
        <f t="shared" si="28"/>
        <v>0</v>
      </c>
      <c r="AC167" s="474">
        <f t="shared" si="28"/>
        <v>0</v>
      </c>
      <c r="AD167" s="474">
        <f t="shared" si="28"/>
        <v>0</v>
      </c>
      <c r="AE167" s="474">
        <f t="shared" si="28"/>
        <v>0</v>
      </c>
      <c r="AF167" s="474">
        <f t="shared" si="28"/>
        <v>0</v>
      </c>
      <c r="AG167" s="474">
        <f t="shared" si="28"/>
        <v>0</v>
      </c>
      <c r="AH167" s="474">
        <f t="shared" si="28"/>
        <v>0</v>
      </c>
      <c r="AI167" s="474">
        <f t="shared" si="28"/>
        <v>0</v>
      </c>
      <c r="AJ167" s="474">
        <f t="shared" si="28"/>
        <v>0</v>
      </c>
      <c r="AK167" s="474">
        <f t="shared" si="28"/>
        <v>0</v>
      </c>
      <c r="AL167" s="474">
        <f t="shared" si="28"/>
        <v>0</v>
      </c>
      <c r="AM167" s="183"/>
    </row>
    <row r="168" spans="1:39" s="86" customFormat="1" outlineLevel="1">
      <c r="A168" s="173" t="str">
        <f t="shared" si="23"/>
        <v>1</v>
      </c>
      <c r="C168" s="86" t="s">
        <v>1535</v>
      </c>
      <c r="L168" s="451" t="s">
        <v>1270</v>
      </c>
      <c r="M168" s="458" t="s">
        <v>328</v>
      </c>
      <c r="N168" s="136" t="s">
        <v>310</v>
      </c>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183"/>
    </row>
    <row r="169" spans="1:39" s="86" customFormat="1" outlineLevel="1">
      <c r="A169" s="173" t="str">
        <f t="shared" si="23"/>
        <v>1</v>
      </c>
      <c r="C169" s="86" t="s">
        <v>1536</v>
      </c>
      <c r="L169" s="451" t="s">
        <v>1271</v>
      </c>
      <c r="M169" s="458" t="s">
        <v>329</v>
      </c>
      <c r="N169" s="136" t="s">
        <v>310</v>
      </c>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183"/>
    </row>
    <row r="170" spans="1:39" s="86" customFormat="1" outlineLevel="1">
      <c r="A170" s="173" t="str">
        <f t="shared" si="23"/>
        <v>1</v>
      </c>
      <c r="C170" s="86" t="s">
        <v>1537</v>
      </c>
      <c r="L170" s="451" t="s">
        <v>382</v>
      </c>
      <c r="M170" s="167" t="s">
        <v>340</v>
      </c>
      <c r="N170" s="136" t="s">
        <v>310</v>
      </c>
      <c r="O170" s="474">
        <f t="shared" ref="O170:AL170" si="29">O171+O172</f>
        <v>0</v>
      </c>
      <c r="P170" s="474">
        <f t="shared" si="29"/>
        <v>0</v>
      </c>
      <c r="Q170" s="474">
        <f t="shared" si="29"/>
        <v>0</v>
      </c>
      <c r="R170" s="474">
        <f t="shared" si="29"/>
        <v>0</v>
      </c>
      <c r="S170" s="474">
        <f t="shared" si="29"/>
        <v>0</v>
      </c>
      <c r="T170" s="474">
        <f t="shared" si="29"/>
        <v>0</v>
      </c>
      <c r="U170" s="474">
        <f t="shared" si="29"/>
        <v>0</v>
      </c>
      <c r="V170" s="474">
        <f t="shared" si="29"/>
        <v>0</v>
      </c>
      <c r="W170" s="474">
        <f t="shared" si="29"/>
        <v>0</v>
      </c>
      <c r="X170" s="474">
        <f t="shared" si="29"/>
        <v>0</v>
      </c>
      <c r="Y170" s="474">
        <f t="shared" si="29"/>
        <v>0</v>
      </c>
      <c r="Z170" s="474">
        <f t="shared" si="29"/>
        <v>0</v>
      </c>
      <c r="AA170" s="474">
        <f t="shared" si="29"/>
        <v>0</v>
      </c>
      <c r="AB170" s="474">
        <f t="shared" si="29"/>
        <v>0</v>
      </c>
      <c r="AC170" s="474">
        <f t="shared" si="29"/>
        <v>0</v>
      </c>
      <c r="AD170" s="474">
        <f t="shared" si="29"/>
        <v>0</v>
      </c>
      <c r="AE170" s="474">
        <f t="shared" si="29"/>
        <v>0</v>
      </c>
      <c r="AF170" s="474">
        <f t="shared" si="29"/>
        <v>0</v>
      </c>
      <c r="AG170" s="474">
        <f t="shared" si="29"/>
        <v>0</v>
      </c>
      <c r="AH170" s="474">
        <f t="shared" si="29"/>
        <v>0</v>
      </c>
      <c r="AI170" s="474">
        <f t="shared" si="29"/>
        <v>0</v>
      </c>
      <c r="AJ170" s="474">
        <f t="shared" si="29"/>
        <v>0</v>
      </c>
      <c r="AK170" s="474">
        <f t="shared" si="29"/>
        <v>0</v>
      </c>
      <c r="AL170" s="474">
        <f t="shared" si="29"/>
        <v>0</v>
      </c>
      <c r="AM170" s="183"/>
    </row>
    <row r="171" spans="1:39" s="86" customFormat="1" outlineLevel="1">
      <c r="A171" s="173" t="str">
        <f t="shared" si="23"/>
        <v>1</v>
      </c>
      <c r="C171" s="86" t="s">
        <v>1538</v>
      </c>
      <c r="L171" s="451" t="s">
        <v>1272</v>
      </c>
      <c r="M171" s="448" t="s">
        <v>328</v>
      </c>
      <c r="N171" s="136" t="s">
        <v>310</v>
      </c>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183"/>
    </row>
    <row r="172" spans="1:39" s="86" customFormat="1" outlineLevel="1">
      <c r="A172" s="173" t="str">
        <f t="shared" si="23"/>
        <v>1</v>
      </c>
      <c r="C172" s="86" t="s">
        <v>1539</v>
      </c>
      <c r="L172" s="451" t="s">
        <v>1273</v>
      </c>
      <c r="M172" s="448" t="s">
        <v>329</v>
      </c>
      <c r="N172" s="136" t="s">
        <v>310</v>
      </c>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183"/>
    </row>
    <row r="173" spans="1:39" s="86" customFormat="1" ht="22.5" outlineLevel="1">
      <c r="A173" s="173" t="str">
        <f>A171</f>
        <v>1</v>
      </c>
      <c r="C173" s="86" t="s">
        <v>1540</v>
      </c>
      <c r="L173" s="451" t="s">
        <v>383</v>
      </c>
      <c r="M173" s="459" t="s">
        <v>1131</v>
      </c>
      <c r="N173" s="413" t="s">
        <v>310</v>
      </c>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c r="AK173" s="468"/>
      <c r="AL173" s="468"/>
      <c r="AM173" s="183"/>
    </row>
    <row r="174" spans="1:39" s="86" customFormat="1" outlineLevel="1">
      <c r="A174" s="173" t="str">
        <f>A172</f>
        <v>1</v>
      </c>
      <c r="C174" s="86" t="s">
        <v>1487</v>
      </c>
      <c r="L174" s="451" t="s">
        <v>125</v>
      </c>
      <c r="M174" s="457" t="s">
        <v>341</v>
      </c>
      <c r="N174" s="136" t="s">
        <v>310</v>
      </c>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8"/>
      <c r="AM174" s="183"/>
    </row>
    <row r="175" spans="1:39" s="86" customFormat="1" outlineLevel="1">
      <c r="A175" s="173" t="str">
        <f t="shared" si="23"/>
        <v>1</v>
      </c>
      <c r="C175" s="86" t="s">
        <v>1494</v>
      </c>
      <c r="L175" s="451" t="s">
        <v>126</v>
      </c>
      <c r="M175" s="457" t="s">
        <v>342</v>
      </c>
      <c r="N175" s="136" t="s">
        <v>310</v>
      </c>
      <c r="O175" s="468"/>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183"/>
    </row>
    <row r="176" spans="1:39" s="86" customFormat="1" outlineLevel="1">
      <c r="A176" s="173" t="str">
        <f t="shared" si="23"/>
        <v>1</v>
      </c>
      <c r="C176" s="86" t="s">
        <v>1495</v>
      </c>
      <c r="L176" s="451" t="s">
        <v>127</v>
      </c>
      <c r="M176" s="457" t="s">
        <v>1091</v>
      </c>
      <c r="N176" s="136" t="s">
        <v>310</v>
      </c>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8"/>
      <c r="AM176" s="183"/>
    </row>
    <row r="177" spans="1:39" s="86" customFormat="1" outlineLevel="1">
      <c r="A177" s="173" t="str">
        <f t="shared" si="23"/>
        <v>1</v>
      </c>
      <c r="C177" s="86" t="s">
        <v>1496</v>
      </c>
      <c r="L177" s="451" t="s">
        <v>128</v>
      </c>
      <c r="M177" s="77" t="s">
        <v>343</v>
      </c>
      <c r="N177" s="136" t="s">
        <v>310</v>
      </c>
      <c r="O177" s="474">
        <f t="shared" ref="O177:AL177" si="30">O178+O179</f>
        <v>0</v>
      </c>
      <c r="P177" s="474">
        <f t="shared" si="30"/>
        <v>0</v>
      </c>
      <c r="Q177" s="474">
        <f t="shared" si="30"/>
        <v>0</v>
      </c>
      <c r="R177" s="474">
        <f t="shared" si="30"/>
        <v>0</v>
      </c>
      <c r="S177" s="474">
        <f t="shared" si="30"/>
        <v>0</v>
      </c>
      <c r="T177" s="474">
        <f t="shared" si="30"/>
        <v>0</v>
      </c>
      <c r="U177" s="474">
        <f t="shared" si="30"/>
        <v>0</v>
      </c>
      <c r="V177" s="474">
        <f t="shared" si="30"/>
        <v>0</v>
      </c>
      <c r="W177" s="474">
        <f t="shared" si="30"/>
        <v>0</v>
      </c>
      <c r="X177" s="474">
        <f t="shared" si="30"/>
        <v>0</v>
      </c>
      <c r="Y177" s="474">
        <f t="shared" si="30"/>
        <v>0</v>
      </c>
      <c r="Z177" s="474">
        <f t="shared" si="30"/>
        <v>0</v>
      </c>
      <c r="AA177" s="474">
        <f t="shared" si="30"/>
        <v>0</v>
      </c>
      <c r="AB177" s="474">
        <f t="shared" si="30"/>
        <v>0</v>
      </c>
      <c r="AC177" s="474">
        <f t="shared" si="30"/>
        <v>0</v>
      </c>
      <c r="AD177" s="474">
        <f t="shared" si="30"/>
        <v>0</v>
      </c>
      <c r="AE177" s="474">
        <f t="shared" si="30"/>
        <v>0</v>
      </c>
      <c r="AF177" s="474">
        <f t="shared" si="30"/>
        <v>0</v>
      </c>
      <c r="AG177" s="474">
        <f t="shared" si="30"/>
        <v>0</v>
      </c>
      <c r="AH177" s="474">
        <f t="shared" si="30"/>
        <v>0</v>
      </c>
      <c r="AI177" s="474">
        <f t="shared" si="30"/>
        <v>0</v>
      </c>
      <c r="AJ177" s="474">
        <f t="shared" si="30"/>
        <v>0</v>
      </c>
      <c r="AK177" s="474">
        <f t="shared" si="30"/>
        <v>0</v>
      </c>
      <c r="AL177" s="474">
        <f t="shared" si="30"/>
        <v>0</v>
      </c>
      <c r="AM177" s="183"/>
    </row>
    <row r="178" spans="1:39" s="86" customFormat="1" outlineLevel="1">
      <c r="A178" s="173" t="str">
        <f t="shared" si="23"/>
        <v>1</v>
      </c>
      <c r="C178" s="86" t="s">
        <v>1508</v>
      </c>
      <c r="L178" s="451" t="s">
        <v>1196</v>
      </c>
      <c r="M178" s="167" t="s">
        <v>344</v>
      </c>
      <c r="N178" s="136" t="s">
        <v>310</v>
      </c>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183"/>
    </row>
    <row r="179" spans="1:39" s="86" customFormat="1" outlineLevel="1">
      <c r="A179" s="173" t="str">
        <f t="shared" si="23"/>
        <v>1</v>
      </c>
      <c r="C179" s="86" t="s">
        <v>1512</v>
      </c>
      <c r="L179" s="451" t="s">
        <v>1252</v>
      </c>
      <c r="M179" s="167" t="s">
        <v>345</v>
      </c>
      <c r="N179" s="136" t="s">
        <v>310</v>
      </c>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468"/>
      <c r="AK179" s="468"/>
      <c r="AL179" s="468"/>
      <c r="AM179" s="183"/>
    </row>
    <row r="180" spans="1:39" s="86" customFormat="1" outlineLevel="1">
      <c r="A180" s="173" t="str">
        <f>A178</f>
        <v>1</v>
      </c>
      <c r="C180" s="86" t="s">
        <v>1497</v>
      </c>
      <c r="L180" s="451" t="s">
        <v>129</v>
      </c>
      <c r="M180" s="460" t="s">
        <v>1116</v>
      </c>
      <c r="N180" s="413" t="s">
        <v>310</v>
      </c>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468"/>
      <c r="AK180" s="468"/>
      <c r="AL180" s="468"/>
      <c r="AM180" s="183"/>
    </row>
    <row r="181" spans="1:39" s="86" customFormat="1" outlineLevel="1">
      <c r="A181" s="173" t="str">
        <f>A179</f>
        <v>1</v>
      </c>
      <c r="C181" s="86" t="s">
        <v>1498</v>
      </c>
      <c r="L181" s="451" t="s">
        <v>130</v>
      </c>
      <c r="M181" s="457" t="s">
        <v>346</v>
      </c>
      <c r="N181" s="136" t="s">
        <v>310</v>
      </c>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468"/>
      <c r="AK181" s="468"/>
      <c r="AL181" s="468"/>
      <c r="AM181" s="183"/>
    </row>
    <row r="182" spans="1:39" s="177" customFormat="1">
      <c r="A182" s="176" t="s">
        <v>1021</v>
      </c>
      <c r="M182" s="3"/>
      <c r="N182" s="3"/>
      <c r="O182" s="471"/>
      <c r="P182" s="471"/>
      <c r="Q182" s="471"/>
      <c r="R182" s="471"/>
      <c r="S182" s="471"/>
      <c r="T182" s="472"/>
      <c r="U182" s="471"/>
      <c r="V182" s="471"/>
      <c r="W182" s="471"/>
      <c r="X182" s="471"/>
      <c r="Y182" s="471"/>
      <c r="Z182" s="471"/>
      <c r="AA182" s="471"/>
      <c r="AB182" s="471"/>
      <c r="AC182" s="471"/>
      <c r="AD182" s="471"/>
      <c r="AE182" s="471"/>
      <c r="AF182" s="471"/>
      <c r="AG182" s="471"/>
      <c r="AH182" s="471"/>
      <c r="AI182" s="471"/>
      <c r="AJ182" s="471"/>
      <c r="AK182" s="471"/>
      <c r="AL182" s="471"/>
    </row>
    <row r="183" spans="1:39" s="86" customFormat="1" ht="15" customHeight="1">
      <c r="A183" s="172" t="s">
        <v>18</v>
      </c>
      <c r="L183" s="149" t="str">
        <f>INDEX('Общие сведения'!$J$114:$J$127,MATCH($A183,'Общие сведения'!$D$114:$D$127,0))</f>
        <v>Тариф 1 (Водоснабжение) - тариф на питьевую воду</v>
      </c>
      <c r="M183" s="145"/>
      <c r="N183" s="145"/>
      <c r="O183" s="473"/>
      <c r="P183" s="473"/>
      <c r="Q183" s="473"/>
      <c r="R183" s="473"/>
      <c r="S183" s="473"/>
      <c r="T183" s="473"/>
      <c r="U183" s="473"/>
      <c r="V183" s="473"/>
      <c r="W183" s="473"/>
      <c r="X183" s="473"/>
      <c r="Y183" s="473"/>
      <c r="Z183" s="473"/>
      <c r="AA183" s="473"/>
      <c r="AB183" s="473"/>
      <c r="AC183" s="473"/>
      <c r="AD183" s="473"/>
      <c r="AE183" s="473"/>
      <c r="AF183" s="473"/>
      <c r="AG183" s="473"/>
      <c r="AH183" s="473"/>
      <c r="AI183" s="473"/>
      <c r="AJ183" s="473"/>
      <c r="AK183" s="473"/>
      <c r="AL183" s="473"/>
      <c r="AM183" s="145"/>
    </row>
    <row r="184" spans="1:39" s="86" customFormat="1" outlineLevel="1">
      <c r="A184" s="173" t="str">
        <f t="shared" ref="A184:A195" si="31">A183</f>
        <v>1</v>
      </c>
      <c r="L184" s="451" t="s">
        <v>18</v>
      </c>
      <c r="M184" s="462" t="s">
        <v>336</v>
      </c>
      <c r="N184" s="175"/>
      <c r="O184" s="551" t="str">
        <f>INDEX('Общие сведения'!$K$114:$K$127,MATCH($A184,'Общие сведения'!$D$114:$D$127,0))</f>
        <v>питьевая вода</v>
      </c>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3"/>
      <c r="AM184" s="183"/>
    </row>
    <row r="185" spans="1:39" s="86" customFormat="1" outlineLevel="1">
      <c r="A185" s="173" t="str">
        <f t="shared" si="31"/>
        <v>1</v>
      </c>
      <c r="C185" s="86" t="s">
        <v>1481</v>
      </c>
      <c r="L185" s="451" t="s">
        <v>102</v>
      </c>
      <c r="M185" s="461" t="s">
        <v>306</v>
      </c>
      <c r="N185" s="138" t="s">
        <v>307</v>
      </c>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8"/>
      <c r="AM185" s="183"/>
    </row>
    <row r="186" spans="1:39" s="86" customFormat="1" outlineLevel="1">
      <c r="A186" s="173" t="str">
        <f t="shared" si="31"/>
        <v>1</v>
      </c>
      <c r="C186" s="86" t="s">
        <v>1483</v>
      </c>
      <c r="L186" s="451" t="s">
        <v>103</v>
      </c>
      <c r="M186" s="461" t="s">
        <v>308</v>
      </c>
      <c r="N186" s="138" t="s">
        <v>307</v>
      </c>
      <c r="O186" s="468"/>
      <c r="P186" s="468"/>
      <c r="Q186" s="468"/>
      <c r="R186" s="468"/>
      <c r="S186" s="468"/>
      <c r="T186" s="468"/>
      <c r="U186" s="468"/>
      <c r="V186" s="468"/>
      <c r="W186" s="468"/>
      <c r="X186" s="468"/>
      <c r="Y186" s="468"/>
      <c r="Z186" s="468"/>
      <c r="AA186" s="468"/>
      <c r="AB186" s="468"/>
      <c r="AC186" s="468"/>
      <c r="AD186" s="468"/>
      <c r="AE186" s="468"/>
      <c r="AF186" s="468"/>
      <c r="AG186" s="468"/>
      <c r="AH186" s="468"/>
      <c r="AI186" s="468"/>
      <c r="AJ186" s="468"/>
      <c r="AK186" s="468"/>
      <c r="AL186" s="468"/>
      <c r="AM186" s="183"/>
    </row>
    <row r="187" spans="1:39" s="86" customFormat="1" outlineLevel="1">
      <c r="A187" s="173" t="str">
        <f t="shared" si="31"/>
        <v>1</v>
      </c>
      <c r="C187" s="86" t="s">
        <v>1484</v>
      </c>
      <c r="L187" s="451" t="s">
        <v>104</v>
      </c>
      <c r="M187" s="463" t="s">
        <v>347</v>
      </c>
      <c r="N187" s="136" t="s">
        <v>310</v>
      </c>
      <c r="O187" s="474">
        <f t="shared" ref="O187:AL187" si="32">O188+O190+O189</f>
        <v>0</v>
      </c>
      <c r="P187" s="474">
        <f t="shared" si="32"/>
        <v>0</v>
      </c>
      <c r="Q187" s="474">
        <f t="shared" si="32"/>
        <v>0</v>
      </c>
      <c r="R187" s="474">
        <f t="shared" si="32"/>
        <v>0</v>
      </c>
      <c r="S187" s="474">
        <f t="shared" si="32"/>
        <v>0</v>
      </c>
      <c r="T187" s="474">
        <f t="shared" si="32"/>
        <v>0</v>
      </c>
      <c r="U187" s="474">
        <f t="shared" si="32"/>
        <v>0</v>
      </c>
      <c r="V187" s="474">
        <f t="shared" si="32"/>
        <v>0</v>
      </c>
      <c r="W187" s="474">
        <f t="shared" si="32"/>
        <v>0</v>
      </c>
      <c r="X187" s="474">
        <f t="shared" si="32"/>
        <v>0</v>
      </c>
      <c r="Y187" s="474">
        <f t="shared" si="32"/>
        <v>0</v>
      </c>
      <c r="Z187" s="474">
        <f t="shared" si="32"/>
        <v>0</v>
      </c>
      <c r="AA187" s="474">
        <f t="shared" si="32"/>
        <v>0</v>
      </c>
      <c r="AB187" s="474">
        <f t="shared" si="32"/>
        <v>0</v>
      </c>
      <c r="AC187" s="474">
        <f t="shared" si="32"/>
        <v>0</v>
      </c>
      <c r="AD187" s="474">
        <f t="shared" si="32"/>
        <v>0</v>
      </c>
      <c r="AE187" s="474">
        <f t="shared" si="32"/>
        <v>0</v>
      </c>
      <c r="AF187" s="474">
        <f t="shared" si="32"/>
        <v>0</v>
      </c>
      <c r="AG187" s="474">
        <f t="shared" si="32"/>
        <v>0</v>
      </c>
      <c r="AH187" s="474">
        <f t="shared" si="32"/>
        <v>0</v>
      </c>
      <c r="AI187" s="474">
        <f t="shared" si="32"/>
        <v>0</v>
      </c>
      <c r="AJ187" s="474">
        <f t="shared" si="32"/>
        <v>0</v>
      </c>
      <c r="AK187" s="474">
        <f t="shared" si="32"/>
        <v>0</v>
      </c>
      <c r="AL187" s="474">
        <f t="shared" si="32"/>
        <v>0</v>
      </c>
      <c r="AM187" s="183"/>
    </row>
    <row r="188" spans="1:39" s="86" customFormat="1" outlineLevel="1">
      <c r="A188" s="173" t="str">
        <f t="shared" si="31"/>
        <v>1</v>
      </c>
      <c r="C188" s="86" t="s">
        <v>1499</v>
      </c>
      <c r="L188" s="451" t="s">
        <v>140</v>
      </c>
      <c r="M188" s="464" t="s">
        <v>1132</v>
      </c>
      <c r="N188" s="136" t="s">
        <v>310</v>
      </c>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c r="AM188" s="183"/>
    </row>
    <row r="189" spans="1:39" s="86" customFormat="1" outlineLevel="1">
      <c r="A189" s="173" t="str">
        <f>A187</f>
        <v>1</v>
      </c>
      <c r="C189" s="86" t="s">
        <v>1500</v>
      </c>
      <c r="L189" s="451" t="s">
        <v>372</v>
      </c>
      <c r="M189" s="464" t="s">
        <v>1133</v>
      </c>
      <c r="N189" s="413" t="s">
        <v>310</v>
      </c>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183"/>
    </row>
    <row r="190" spans="1:39" s="86" customFormat="1" ht="22.5" outlineLevel="1">
      <c r="A190" s="173" t="str">
        <f>A188</f>
        <v>1</v>
      </c>
      <c r="C190" s="86" t="s">
        <v>1501</v>
      </c>
      <c r="L190" s="451" t="s">
        <v>373</v>
      </c>
      <c r="M190" s="464" t="s">
        <v>1116</v>
      </c>
      <c r="N190" s="136" t="s">
        <v>310</v>
      </c>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183"/>
    </row>
    <row r="191" spans="1:39" s="86" customFormat="1" outlineLevel="1">
      <c r="A191" s="173" t="str">
        <f t="shared" si="31"/>
        <v>1</v>
      </c>
      <c r="B191" s="86" t="s">
        <v>1128</v>
      </c>
      <c r="C191" s="86" t="s">
        <v>1485</v>
      </c>
      <c r="L191" s="451" t="s">
        <v>120</v>
      </c>
      <c r="M191" s="463" t="s">
        <v>348</v>
      </c>
      <c r="N191" s="136" t="s">
        <v>310</v>
      </c>
      <c r="O191" s="474">
        <f t="shared" ref="O191:AL191" si="33">O192+O193+O196</f>
        <v>0</v>
      </c>
      <c r="P191" s="474">
        <f t="shared" si="33"/>
        <v>0</v>
      </c>
      <c r="Q191" s="474">
        <f t="shared" si="33"/>
        <v>0</v>
      </c>
      <c r="R191" s="474">
        <f t="shared" si="33"/>
        <v>0</v>
      </c>
      <c r="S191" s="474">
        <f t="shared" si="33"/>
        <v>0</v>
      </c>
      <c r="T191" s="474">
        <f t="shared" si="33"/>
        <v>0</v>
      </c>
      <c r="U191" s="474">
        <f t="shared" si="33"/>
        <v>0</v>
      </c>
      <c r="V191" s="474">
        <f t="shared" si="33"/>
        <v>0</v>
      </c>
      <c r="W191" s="474">
        <f t="shared" si="33"/>
        <v>0</v>
      </c>
      <c r="X191" s="474">
        <f t="shared" si="33"/>
        <v>0</v>
      </c>
      <c r="Y191" s="474">
        <f t="shared" si="33"/>
        <v>0</v>
      </c>
      <c r="Z191" s="474">
        <f t="shared" si="33"/>
        <v>0</v>
      </c>
      <c r="AA191" s="474">
        <f t="shared" si="33"/>
        <v>0</v>
      </c>
      <c r="AB191" s="474">
        <f t="shared" si="33"/>
        <v>0</v>
      </c>
      <c r="AC191" s="474">
        <f t="shared" si="33"/>
        <v>0</v>
      </c>
      <c r="AD191" s="474">
        <f t="shared" si="33"/>
        <v>0</v>
      </c>
      <c r="AE191" s="474">
        <f t="shared" si="33"/>
        <v>0</v>
      </c>
      <c r="AF191" s="474">
        <f t="shared" si="33"/>
        <v>0</v>
      </c>
      <c r="AG191" s="474">
        <f t="shared" si="33"/>
        <v>0</v>
      </c>
      <c r="AH191" s="474">
        <f t="shared" si="33"/>
        <v>0</v>
      </c>
      <c r="AI191" s="474">
        <f t="shared" si="33"/>
        <v>0</v>
      </c>
      <c r="AJ191" s="474">
        <f t="shared" si="33"/>
        <v>0</v>
      </c>
      <c r="AK191" s="474">
        <f t="shared" si="33"/>
        <v>0</v>
      </c>
      <c r="AL191" s="474">
        <f t="shared" si="33"/>
        <v>0</v>
      </c>
      <c r="AM191" s="183"/>
    </row>
    <row r="192" spans="1:39" s="86" customFormat="1" outlineLevel="1">
      <c r="A192" s="173" t="str">
        <f t="shared" si="31"/>
        <v>1</v>
      </c>
      <c r="C192" s="86" t="s">
        <v>1502</v>
      </c>
      <c r="L192" s="451" t="s">
        <v>122</v>
      </c>
      <c r="M192" s="464" t="s">
        <v>349</v>
      </c>
      <c r="N192" s="136" t="s">
        <v>310</v>
      </c>
      <c r="O192" s="332"/>
      <c r="P192" s="332"/>
      <c r="Q192" s="332"/>
      <c r="R192" s="332"/>
      <c r="S192" s="332"/>
      <c r="T192" s="332"/>
      <c r="U192" s="332"/>
      <c r="V192" s="332"/>
      <c r="W192" s="332"/>
      <c r="X192" s="332"/>
      <c r="Y192" s="332"/>
      <c r="Z192" s="332"/>
      <c r="AA192" s="332"/>
      <c r="AB192" s="332"/>
      <c r="AC192" s="332"/>
      <c r="AD192" s="332"/>
      <c r="AE192" s="332"/>
      <c r="AF192" s="332"/>
      <c r="AG192" s="332"/>
      <c r="AH192" s="332"/>
      <c r="AI192" s="332"/>
      <c r="AJ192" s="332"/>
      <c r="AK192" s="332"/>
      <c r="AL192" s="332"/>
      <c r="AM192" s="183"/>
    </row>
    <row r="193" spans="1:39" s="86" customFormat="1" outlineLevel="1">
      <c r="A193" s="173" t="str">
        <f t="shared" si="31"/>
        <v>1</v>
      </c>
      <c r="C193" s="86" t="s">
        <v>1503</v>
      </c>
      <c r="L193" s="451" t="s">
        <v>123</v>
      </c>
      <c r="M193" s="465" t="s">
        <v>350</v>
      </c>
      <c r="N193" s="136" t="s">
        <v>310</v>
      </c>
      <c r="O193" s="474">
        <f t="shared" ref="O193:AL193" si="34">O194+O195</f>
        <v>0</v>
      </c>
      <c r="P193" s="474">
        <f t="shared" si="34"/>
        <v>0</v>
      </c>
      <c r="Q193" s="474">
        <f t="shared" si="34"/>
        <v>0</v>
      </c>
      <c r="R193" s="474">
        <f t="shared" si="34"/>
        <v>0</v>
      </c>
      <c r="S193" s="474">
        <f t="shared" si="34"/>
        <v>0</v>
      </c>
      <c r="T193" s="474">
        <f t="shared" si="34"/>
        <v>0</v>
      </c>
      <c r="U193" s="474">
        <f t="shared" si="34"/>
        <v>0</v>
      </c>
      <c r="V193" s="474">
        <f t="shared" si="34"/>
        <v>0</v>
      </c>
      <c r="W193" s="474">
        <f t="shared" si="34"/>
        <v>0</v>
      </c>
      <c r="X193" s="474">
        <f t="shared" si="34"/>
        <v>0</v>
      </c>
      <c r="Y193" s="474">
        <f t="shared" si="34"/>
        <v>0</v>
      </c>
      <c r="Z193" s="474">
        <f t="shared" si="34"/>
        <v>0</v>
      </c>
      <c r="AA193" s="474">
        <f t="shared" si="34"/>
        <v>0</v>
      </c>
      <c r="AB193" s="474">
        <f t="shared" si="34"/>
        <v>0</v>
      </c>
      <c r="AC193" s="474">
        <f t="shared" si="34"/>
        <v>0</v>
      </c>
      <c r="AD193" s="474">
        <f t="shared" si="34"/>
        <v>0</v>
      </c>
      <c r="AE193" s="474">
        <f t="shared" si="34"/>
        <v>0</v>
      </c>
      <c r="AF193" s="474">
        <f t="shared" si="34"/>
        <v>0</v>
      </c>
      <c r="AG193" s="474">
        <f t="shared" si="34"/>
        <v>0</v>
      </c>
      <c r="AH193" s="474">
        <f t="shared" si="34"/>
        <v>0</v>
      </c>
      <c r="AI193" s="474">
        <f t="shared" si="34"/>
        <v>0</v>
      </c>
      <c r="AJ193" s="474">
        <f t="shared" si="34"/>
        <v>0</v>
      </c>
      <c r="AK193" s="474">
        <f t="shared" si="34"/>
        <v>0</v>
      </c>
      <c r="AL193" s="474">
        <f t="shared" si="34"/>
        <v>0</v>
      </c>
      <c r="AM193" s="183"/>
    </row>
    <row r="194" spans="1:39" s="86" customFormat="1" outlineLevel="1">
      <c r="A194" s="173" t="str">
        <f t="shared" si="31"/>
        <v>1</v>
      </c>
      <c r="C194" s="86" t="s">
        <v>1541</v>
      </c>
      <c r="L194" s="451" t="s">
        <v>1274</v>
      </c>
      <c r="M194" s="466" t="s">
        <v>328</v>
      </c>
      <c r="N194" s="136" t="s">
        <v>310</v>
      </c>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183"/>
    </row>
    <row r="195" spans="1:39" s="86" customFormat="1" outlineLevel="1">
      <c r="A195" s="173" t="str">
        <f t="shared" si="31"/>
        <v>1</v>
      </c>
      <c r="C195" s="86" t="s">
        <v>1542</v>
      </c>
      <c r="L195" s="451" t="s">
        <v>1275</v>
      </c>
      <c r="M195" s="466" t="s">
        <v>329</v>
      </c>
      <c r="N195" s="136" t="s">
        <v>310</v>
      </c>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183"/>
    </row>
    <row r="196" spans="1:39" s="86" customFormat="1" ht="22.5" outlineLevel="1">
      <c r="A196" s="173" t="str">
        <f>A194</f>
        <v>1</v>
      </c>
      <c r="C196" s="86" t="s">
        <v>1543</v>
      </c>
      <c r="L196" s="451" t="s">
        <v>377</v>
      </c>
      <c r="M196" s="467" t="s">
        <v>1131</v>
      </c>
      <c r="N196" s="413" t="s">
        <v>310</v>
      </c>
      <c r="O196" s="468"/>
      <c r="P196" s="468"/>
      <c r="Q196" s="468"/>
      <c r="R196" s="468"/>
      <c r="S196" s="468"/>
      <c r="T196" s="468"/>
      <c r="U196" s="468"/>
      <c r="V196" s="468"/>
      <c r="W196" s="468"/>
      <c r="X196" s="468"/>
      <c r="Y196" s="468"/>
      <c r="Z196" s="468"/>
      <c r="AA196" s="468"/>
      <c r="AB196" s="468"/>
      <c r="AC196" s="468"/>
      <c r="AD196" s="468"/>
      <c r="AE196" s="468"/>
      <c r="AF196" s="468"/>
      <c r="AG196" s="468"/>
      <c r="AH196" s="468"/>
      <c r="AI196" s="468"/>
      <c r="AJ196" s="468"/>
      <c r="AK196" s="468"/>
      <c r="AL196" s="468"/>
      <c r="AM196" s="183"/>
    </row>
    <row r="197" spans="1:39">
      <c r="O197" s="1"/>
      <c r="P197" s="1"/>
      <c r="T197" s="5"/>
      <c r="AA197" s="1"/>
    </row>
    <row r="198" spans="1:39" s="131" customFormat="1" ht="30" customHeight="1">
      <c r="A198" s="130" t="s">
        <v>1024</v>
      </c>
      <c r="M198" s="132"/>
      <c r="N198" s="132"/>
      <c r="O198" s="132"/>
      <c r="P198" s="132"/>
      <c r="AA198" s="133"/>
    </row>
    <row r="199" spans="1:39">
      <c r="A199" s="134" t="s">
        <v>1025</v>
      </c>
    </row>
    <row r="200" spans="1:39" s="88" customFormat="1" ht="15" customHeight="1">
      <c r="A200" s="172" t="s">
        <v>18</v>
      </c>
      <c r="B200" s="90"/>
      <c r="C200" s="90"/>
      <c r="L200" s="149" t="str">
        <f>INDEX('Общие сведения'!$J$114:$J$127,MATCH($A200,'Общие сведения'!$D$114:$D$127,0))</f>
        <v>Тариф 1 (Водоснабжение) - тариф на питьевую воду</v>
      </c>
      <c r="M200" s="145"/>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52" t="str">
        <f>A200</f>
        <v>1</v>
      </c>
      <c r="B201" s="90" t="s">
        <v>1480</v>
      </c>
      <c r="C201" s="90" t="s">
        <v>1481</v>
      </c>
      <c r="L201" s="89"/>
      <c r="M201" s="179" t="s">
        <v>1023</v>
      </c>
      <c r="N201" s="161" t="s">
        <v>351</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83"/>
    </row>
    <row r="202" spans="1:39" s="90" customFormat="1" ht="0.2" customHeight="1" outlineLevel="1">
      <c r="A202" s="252" t="str">
        <f>A201</f>
        <v>1</v>
      </c>
      <c r="L202" s="89" t="s">
        <v>1022</v>
      </c>
      <c r="M202" s="179"/>
      <c r="N202" s="16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2"/>
    </row>
    <row r="203" spans="1:39" s="87" customFormat="1" ht="15" customHeight="1" outlineLevel="1">
      <c r="A203" s="252" t="str">
        <f>A202</f>
        <v>1</v>
      </c>
      <c r="B203" s="87" t="str">
        <f>A203&amp;"pIns"</f>
        <v>1pIns</v>
      </c>
      <c r="L203" s="140"/>
      <c r="M203" s="143" t="s">
        <v>352</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3"/>
    </row>
    <row r="204" spans="1:39">
      <c r="A204" s="134" t="s">
        <v>1026</v>
      </c>
    </row>
    <row r="205" spans="1:39" s="90" customFormat="1" ht="14.25" outlineLevel="1">
      <c r="A205" s="146" t="str">
        <f ca="1">OFFSET(A205,-1,0)</f>
        <v>et_List05_reagent</v>
      </c>
      <c r="B205" s="90" t="s">
        <v>1480</v>
      </c>
      <c r="C205" s="90" t="s">
        <v>1481</v>
      </c>
      <c r="K205" s="135" t="s">
        <v>264</v>
      </c>
      <c r="L205" s="89">
        <v>1</v>
      </c>
      <c r="M205" s="180"/>
      <c r="N205" s="161" t="s">
        <v>351</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83"/>
    </row>
    <row r="207" spans="1:39" s="131" customFormat="1" ht="30" customHeight="1">
      <c r="A207" s="130" t="s">
        <v>1152</v>
      </c>
      <c r="M207" s="132"/>
      <c r="N207" s="132"/>
      <c r="O207" s="132"/>
      <c r="P207" s="132"/>
      <c r="AA207" s="133"/>
    </row>
    <row r="208" spans="1:39">
      <c r="A208" s="134" t="s">
        <v>1035</v>
      </c>
    </row>
    <row r="209" spans="1:39" s="88" customFormat="1" ht="15" customHeight="1">
      <c r="A209" s="172" t="s">
        <v>18</v>
      </c>
      <c r="B209" s="86"/>
      <c r="C209" s="86"/>
      <c r="L209" s="149" t="str">
        <f>INDEX('Общие сведения'!$J$114:$J$127,MATCH($A209,'Общие сведения'!$D$114:$D$127,0))</f>
        <v>Тариф 1 (Водоснабжение) - тариф на питьевую воду</v>
      </c>
      <c r="M209" s="145"/>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200"/>
    </row>
    <row r="210" spans="1:39" s="90" customFormat="1" ht="11.25" customHeight="1" outlineLevel="1">
      <c r="A210" s="578" t="str">
        <f t="shared" ref="A210:A221" si="36">A209</f>
        <v>1</v>
      </c>
      <c r="B210" s="600" t="s">
        <v>1480</v>
      </c>
      <c r="C210" s="600"/>
      <c r="L210" s="89" t="s">
        <v>18</v>
      </c>
      <c r="M210" s="179" t="s">
        <v>1023</v>
      </c>
      <c r="N210" s="137" t="s">
        <v>351</v>
      </c>
      <c r="O210" s="163">
        <f>SUMIF(N215:N221,N210,O215:O221)</f>
        <v>0</v>
      </c>
      <c r="P210" s="163">
        <f>SUMIF(N215:N221,N210,P215:P221)</f>
        <v>0</v>
      </c>
      <c r="Q210" s="163">
        <f>SUMIF(N215:N221,N210,Q215:Q221)</f>
        <v>0</v>
      </c>
      <c r="R210" s="163">
        <f>SUMIF(N215:N221,N210,R215:R221)</f>
        <v>0</v>
      </c>
      <c r="S210" s="163">
        <f>SUMIF(N215:N221,N210,S215:S221)</f>
        <v>0</v>
      </c>
      <c r="T210" s="163">
        <f>SUMIF(N215:N221,N210,T215:T221)</f>
        <v>0</v>
      </c>
      <c r="U210" s="163">
        <f>SUMIF(N215:N221,N210,U215:U221)</f>
        <v>0</v>
      </c>
      <c r="V210" s="163">
        <f>SUMIF(N215:N221,N210,V215:V221)</f>
        <v>0</v>
      </c>
      <c r="W210" s="163">
        <f>SUMIF(N215:N221,N210,W215:W221)</f>
        <v>0</v>
      </c>
      <c r="X210" s="163">
        <f>SUMIF(N215:N221,N210,X215:X221)</f>
        <v>0</v>
      </c>
      <c r="Y210" s="163">
        <f>SUMIF(N215:N221,N210,Y215:Y221)</f>
        <v>0</v>
      </c>
      <c r="Z210" s="163">
        <f>SUMIF(N215:N221,N210,Z215:Z221)</f>
        <v>0</v>
      </c>
      <c r="AA210" s="163">
        <f>SUMIF(N215:N221,N210,AA215:AA221)</f>
        <v>0</v>
      </c>
      <c r="AB210" s="163">
        <f>SUMIF(N215:N221,N210,AB215:AB221)</f>
        <v>0</v>
      </c>
      <c r="AC210" s="163">
        <f>SUMIF(N215:N221,N210,AC215:AC221)</f>
        <v>0</v>
      </c>
      <c r="AD210" s="163">
        <f>SUMIF(N215:N221,N210,AD215:AD221)</f>
        <v>0</v>
      </c>
      <c r="AE210" s="163">
        <f>SUMIF(N215:N221,N210,AE215:AE221)</f>
        <v>0</v>
      </c>
      <c r="AF210" s="163">
        <f>SUMIF(N215:N221,N210,AF215:AF221)</f>
        <v>0</v>
      </c>
      <c r="AG210" s="163">
        <f>SUMIF(N215:N221,N210,AG215:AG221)</f>
        <v>0</v>
      </c>
      <c r="AH210" s="163">
        <f>SUMIF(N215:N221,N210,AH215:AH221)</f>
        <v>0</v>
      </c>
      <c r="AI210" s="163">
        <f>SUMIF(N215:N221,N210,AI215:AI221)</f>
        <v>0</v>
      </c>
      <c r="AJ210" s="163">
        <f>SUMIF(N215:N221,N210,AJ215:AJ221)</f>
        <v>0</v>
      </c>
      <c r="AK210" s="163">
        <f>SUMIF(N215:N221,N210,AK215:AK221)</f>
        <v>0</v>
      </c>
      <c r="AL210" s="163">
        <f>SUMIF(N215:N221,N210,AL215:AL221)</f>
        <v>0</v>
      </c>
      <c r="AM210" s="183"/>
    </row>
    <row r="211" spans="1:39" s="90" customFormat="1" ht="11.25" customHeight="1" outlineLevel="1">
      <c r="A211" s="578" t="str">
        <f t="shared" si="36"/>
        <v>1</v>
      </c>
      <c r="B211" s="600" t="s">
        <v>1481</v>
      </c>
      <c r="C211" s="600"/>
      <c r="L211" s="89" t="s">
        <v>102</v>
      </c>
      <c r="M211" s="179" t="s">
        <v>1135</v>
      </c>
      <c r="N211" s="138" t="s">
        <v>1201</v>
      </c>
      <c r="O211" s="163">
        <f>SUMIF(N215:N221,N211,O215:O221)</f>
        <v>0</v>
      </c>
      <c r="P211" s="163">
        <f>SUMIF(N215:N221,N211,P215:P221)</f>
        <v>0</v>
      </c>
      <c r="Q211" s="163">
        <f>SUMIF(N215:N221,N211,Q215:Q221)</f>
        <v>0</v>
      </c>
      <c r="R211" s="163">
        <f>SUMIF(N215:N221,N211,R215:R221)</f>
        <v>0</v>
      </c>
      <c r="S211" s="163">
        <f>SUMIF(N215:N221,N211,S215:S221)</f>
        <v>0</v>
      </c>
      <c r="T211" s="163">
        <f>SUMIF(N215:N221,N211,T215:T221)</f>
        <v>0</v>
      </c>
      <c r="U211" s="163">
        <f>SUMIF(N215:N221,N211,U215:U221)</f>
        <v>0</v>
      </c>
      <c r="V211" s="163">
        <f>SUMIF(N215:N221,N211,V215:V221)</f>
        <v>0</v>
      </c>
      <c r="W211" s="163">
        <f>SUMIF(N215:N221,N211,W215:W221)</f>
        <v>0</v>
      </c>
      <c r="X211" s="163">
        <f>SUMIF(N215:N221,N211,X215:X221)</f>
        <v>0</v>
      </c>
      <c r="Y211" s="163">
        <f>SUMIF(N215:N221,N211,Y215:Y221)</f>
        <v>0</v>
      </c>
      <c r="Z211" s="163">
        <f>SUMIF(N215:N221,N211,Z215:Z221)</f>
        <v>0</v>
      </c>
      <c r="AA211" s="163">
        <f>SUMIF(N215:N221,N211,AA215:AA221)</f>
        <v>0</v>
      </c>
      <c r="AB211" s="163">
        <f>SUMIF(N215:N221,N211,AB215:AB221)</f>
        <v>0</v>
      </c>
      <c r="AC211" s="163">
        <f>SUMIF(N215:N221,N211,AC215:AC221)</f>
        <v>0</v>
      </c>
      <c r="AD211" s="163">
        <f>SUMIF(N215:N221,N211,AD215:AD221)</f>
        <v>0</v>
      </c>
      <c r="AE211" s="163">
        <f>SUMIF(N215:N221,N211,AE215:AE221)</f>
        <v>0</v>
      </c>
      <c r="AF211" s="163">
        <f>SUMIF(N215:N221,N211,AF215:AF221)</f>
        <v>0</v>
      </c>
      <c r="AG211" s="163">
        <f>SUMIF(N215:N221,N211,AG215:AG221)</f>
        <v>0</v>
      </c>
      <c r="AH211" s="163">
        <f>SUMIF(N215:N221,N211,AH215:AH221)</f>
        <v>0</v>
      </c>
      <c r="AI211" s="163">
        <f>SUMIF(N215:N221,N211,AI215:AI221)</f>
        <v>0</v>
      </c>
      <c r="AJ211" s="163">
        <f>SUMIF(N215:N221,N211,AJ215:AJ221)</f>
        <v>0</v>
      </c>
      <c r="AK211" s="163">
        <f>SUMIF(N215:N221,N211,AK215:AK221)</f>
        <v>0</v>
      </c>
      <c r="AL211" s="163">
        <f>SUMIF(N215:N221,N211,AL215:AL221)</f>
        <v>0</v>
      </c>
      <c r="AM211" s="183"/>
    </row>
    <row r="212" spans="1:39" s="90" customFormat="1" ht="11.25" customHeight="1" outlineLevel="1">
      <c r="A212" s="578" t="str">
        <f t="shared" si="36"/>
        <v>1</v>
      </c>
      <c r="B212" s="600" t="s">
        <v>1483</v>
      </c>
      <c r="C212" s="600"/>
      <c r="L212" s="89" t="s">
        <v>103</v>
      </c>
      <c r="M212" s="179" t="s">
        <v>1136</v>
      </c>
      <c r="N212" s="138" t="s">
        <v>484</v>
      </c>
      <c r="O212" s="378"/>
      <c r="P212" s="378"/>
      <c r="Q212" s="378"/>
      <c r="R212" s="378"/>
      <c r="S212" s="378"/>
      <c r="T212" s="378"/>
      <c r="U212" s="378"/>
      <c r="V212" s="378"/>
      <c r="W212" s="378"/>
      <c r="X212" s="378"/>
      <c r="Y212" s="378"/>
      <c r="Z212" s="378"/>
      <c r="AA212" s="378"/>
      <c r="AB212" s="378"/>
      <c r="AC212" s="378"/>
      <c r="AD212" s="378"/>
      <c r="AE212" s="378"/>
      <c r="AF212" s="378"/>
      <c r="AG212" s="378"/>
      <c r="AH212" s="378"/>
      <c r="AI212" s="378"/>
      <c r="AJ212" s="378"/>
      <c r="AK212" s="378"/>
      <c r="AL212" s="378"/>
      <c r="AM212" s="183"/>
    </row>
    <row r="213" spans="1:39" s="90" customFormat="1" ht="11.25" customHeight="1" outlineLevel="1">
      <c r="A213" s="578" t="str">
        <f t="shared" si="36"/>
        <v>1</v>
      </c>
      <c r="B213" s="600" t="s">
        <v>1484</v>
      </c>
      <c r="C213" s="600"/>
      <c r="L213" s="89" t="s">
        <v>104</v>
      </c>
      <c r="M213" s="179" t="s">
        <v>353</v>
      </c>
      <c r="N213" s="138" t="s">
        <v>486</v>
      </c>
      <c r="O213" s="163">
        <f>IF(O211=0,0,O210/O211)</f>
        <v>0</v>
      </c>
      <c r="P213" s="163">
        <f t="shared" ref="P213:AL214" si="37">IF(P211=0,0,P210/P211)</f>
        <v>0</v>
      </c>
      <c r="Q213" s="163">
        <f t="shared" si="37"/>
        <v>0</v>
      </c>
      <c r="R213" s="163">
        <f t="shared" si="37"/>
        <v>0</v>
      </c>
      <c r="S213" s="163">
        <f t="shared" si="37"/>
        <v>0</v>
      </c>
      <c r="T213" s="163">
        <f t="shared" si="37"/>
        <v>0</v>
      </c>
      <c r="U213" s="163">
        <f t="shared" si="37"/>
        <v>0</v>
      </c>
      <c r="V213" s="163">
        <f t="shared" si="37"/>
        <v>0</v>
      </c>
      <c r="W213" s="163">
        <f t="shared" si="37"/>
        <v>0</v>
      </c>
      <c r="X213" s="163">
        <f t="shared" si="37"/>
        <v>0</v>
      </c>
      <c r="Y213" s="163">
        <f t="shared" si="37"/>
        <v>0</v>
      </c>
      <c r="Z213" s="163">
        <f t="shared" si="37"/>
        <v>0</v>
      </c>
      <c r="AA213" s="163">
        <f t="shared" si="37"/>
        <v>0</v>
      </c>
      <c r="AB213" s="163">
        <f t="shared" si="37"/>
        <v>0</v>
      </c>
      <c r="AC213" s="163">
        <f t="shared" si="37"/>
        <v>0</v>
      </c>
      <c r="AD213" s="163">
        <f t="shared" si="37"/>
        <v>0</v>
      </c>
      <c r="AE213" s="163">
        <f t="shared" si="37"/>
        <v>0</v>
      </c>
      <c r="AF213" s="163">
        <f t="shared" si="37"/>
        <v>0</v>
      </c>
      <c r="AG213" s="163">
        <f t="shared" si="37"/>
        <v>0</v>
      </c>
      <c r="AH213" s="163">
        <f t="shared" si="37"/>
        <v>0</v>
      </c>
      <c r="AI213" s="163">
        <f t="shared" si="37"/>
        <v>0</v>
      </c>
      <c r="AJ213" s="163">
        <f t="shared" si="37"/>
        <v>0</v>
      </c>
      <c r="AK213" s="163">
        <f t="shared" si="37"/>
        <v>0</v>
      </c>
      <c r="AL213" s="163">
        <f t="shared" si="37"/>
        <v>0</v>
      </c>
      <c r="AM213" s="183"/>
    </row>
    <row r="214" spans="1:39" s="90" customFormat="1" ht="11.25" customHeight="1" outlineLevel="1">
      <c r="A214" s="578" t="str">
        <f t="shared" si="36"/>
        <v>1</v>
      </c>
      <c r="B214" s="600" t="s">
        <v>1485</v>
      </c>
      <c r="C214" s="600"/>
      <c r="L214" s="89" t="s">
        <v>120</v>
      </c>
      <c r="M214" s="179" t="s">
        <v>354</v>
      </c>
      <c r="N214" s="138" t="s">
        <v>482</v>
      </c>
      <c r="O214" s="427">
        <f>IF(O212=0,0,O211/O212)</f>
        <v>0</v>
      </c>
      <c r="P214" s="427">
        <f t="shared" si="37"/>
        <v>0</v>
      </c>
      <c r="Q214" s="427">
        <f t="shared" si="37"/>
        <v>0</v>
      </c>
      <c r="R214" s="427">
        <f t="shared" si="37"/>
        <v>0</v>
      </c>
      <c r="S214" s="427">
        <f t="shared" si="37"/>
        <v>0</v>
      </c>
      <c r="T214" s="427">
        <f t="shared" si="37"/>
        <v>0</v>
      </c>
      <c r="U214" s="427">
        <f t="shared" si="37"/>
        <v>0</v>
      </c>
      <c r="V214" s="427">
        <f t="shared" si="37"/>
        <v>0</v>
      </c>
      <c r="W214" s="427">
        <f t="shared" si="37"/>
        <v>0</v>
      </c>
      <c r="X214" s="427">
        <f t="shared" si="37"/>
        <v>0</v>
      </c>
      <c r="Y214" s="427">
        <f t="shared" si="37"/>
        <v>0</v>
      </c>
      <c r="Z214" s="427">
        <f t="shared" si="37"/>
        <v>0</v>
      </c>
      <c r="AA214" s="427">
        <f t="shared" si="37"/>
        <v>0</v>
      </c>
      <c r="AB214" s="427">
        <f t="shared" si="37"/>
        <v>0</v>
      </c>
      <c r="AC214" s="427">
        <f t="shared" si="37"/>
        <v>0</v>
      </c>
      <c r="AD214" s="427">
        <f t="shared" si="37"/>
        <v>0</v>
      </c>
      <c r="AE214" s="427">
        <f t="shared" si="37"/>
        <v>0</v>
      </c>
      <c r="AF214" s="427">
        <f t="shared" si="37"/>
        <v>0</v>
      </c>
      <c r="AG214" s="427">
        <f t="shared" si="37"/>
        <v>0</v>
      </c>
      <c r="AH214" s="427">
        <f t="shared" si="37"/>
        <v>0</v>
      </c>
      <c r="AI214" s="427">
        <f t="shared" si="37"/>
        <v>0</v>
      </c>
      <c r="AJ214" s="427">
        <f t="shared" si="37"/>
        <v>0</v>
      </c>
      <c r="AK214" s="427">
        <f t="shared" si="37"/>
        <v>0</v>
      </c>
      <c r="AL214" s="427">
        <f t="shared" si="37"/>
        <v>0</v>
      </c>
      <c r="AM214" s="183"/>
    </row>
    <row r="215" spans="1:39" s="90" customFormat="1" ht="12.95" customHeight="1" outlineLevel="1">
      <c r="A215" s="578" t="str">
        <f t="shared" si="36"/>
        <v>1</v>
      </c>
      <c r="B215" s="600"/>
      <c r="C215" s="600"/>
      <c r="J215" s="307" t="s">
        <v>1027</v>
      </c>
      <c r="L215" s="316"/>
      <c r="M215" s="313" t="s">
        <v>1123</v>
      </c>
      <c r="N215" s="314"/>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7"/>
    </row>
    <row r="216" spans="1:39" s="90" customFormat="1" ht="11.25" customHeight="1" outlineLevel="1">
      <c r="A216" s="146" t="str">
        <f ca="1">OFFSET(A216,-1,0)</f>
        <v>1</v>
      </c>
      <c r="B216" s="600" t="s">
        <v>1486</v>
      </c>
      <c r="C216" s="600" t="str">
        <f>M216</f>
        <v>Без разбивки</v>
      </c>
      <c r="J216" s="708" t="s">
        <v>179</v>
      </c>
      <c r="K216" s="135" t="s">
        <v>264</v>
      </c>
      <c r="L216" s="89" t="str">
        <f>J216</f>
        <v>6.1</v>
      </c>
      <c r="M216" s="199" t="str">
        <f>"Без разбивки"</f>
        <v>Без разбивки</v>
      </c>
      <c r="N216" s="414" t="s">
        <v>351</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83"/>
    </row>
    <row r="217" spans="1:39" s="90" customFormat="1" ht="11.25" customHeight="1" outlineLevel="1">
      <c r="A217" s="146" t="str">
        <f ca="1">A216</f>
        <v>1</v>
      </c>
      <c r="B217" s="600" t="s">
        <v>1526</v>
      </c>
      <c r="C217" s="600" t="str">
        <f>C216</f>
        <v>Без разбивки</v>
      </c>
      <c r="J217" s="708"/>
      <c r="L217" s="197" t="str">
        <f>L216&amp;".1"</f>
        <v>6.1.1</v>
      </c>
      <c r="M217" s="198" t="s">
        <v>1028</v>
      </c>
      <c r="N217" s="415" t="s">
        <v>486</v>
      </c>
      <c r="O217" s="554">
        <f t="shared" ref="O217:AL217" si="38">IF(OR(AND(O216&lt;&gt;0,O218=0),AND(O216=0,O218&lt;&gt;0)),"Ошибка",IF(O218=0,0,O216/O218))</f>
        <v>0</v>
      </c>
      <c r="P217" s="554">
        <f t="shared" si="38"/>
        <v>0</v>
      </c>
      <c r="Q217" s="554">
        <f t="shared" si="38"/>
        <v>0</v>
      </c>
      <c r="R217" s="554">
        <f t="shared" si="38"/>
        <v>0</v>
      </c>
      <c r="S217" s="554">
        <f t="shared" si="38"/>
        <v>0</v>
      </c>
      <c r="T217" s="554">
        <f t="shared" si="38"/>
        <v>0</v>
      </c>
      <c r="U217" s="554">
        <f t="shared" si="38"/>
        <v>0</v>
      </c>
      <c r="V217" s="554">
        <f t="shared" si="38"/>
        <v>0</v>
      </c>
      <c r="W217" s="554">
        <f t="shared" si="38"/>
        <v>0</v>
      </c>
      <c r="X217" s="554">
        <f t="shared" si="38"/>
        <v>0</v>
      </c>
      <c r="Y217" s="554">
        <f t="shared" si="38"/>
        <v>0</v>
      </c>
      <c r="Z217" s="554">
        <f t="shared" si="38"/>
        <v>0</v>
      </c>
      <c r="AA217" s="554">
        <f t="shared" si="38"/>
        <v>0</v>
      </c>
      <c r="AB217" s="554">
        <f t="shared" si="38"/>
        <v>0</v>
      </c>
      <c r="AC217" s="554">
        <f t="shared" si="38"/>
        <v>0</v>
      </c>
      <c r="AD217" s="554">
        <f t="shared" si="38"/>
        <v>0</v>
      </c>
      <c r="AE217" s="554">
        <f t="shared" si="38"/>
        <v>0</v>
      </c>
      <c r="AF217" s="554">
        <f t="shared" si="38"/>
        <v>0</v>
      </c>
      <c r="AG217" s="554">
        <f t="shared" si="38"/>
        <v>0</v>
      </c>
      <c r="AH217" s="554">
        <f t="shared" si="38"/>
        <v>0</v>
      </c>
      <c r="AI217" s="554">
        <f t="shared" si="38"/>
        <v>0</v>
      </c>
      <c r="AJ217" s="554">
        <f t="shared" si="38"/>
        <v>0</v>
      </c>
      <c r="AK217" s="554">
        <f t="shared" si="38"/>
        <v>0</v>
      </c>
      <c r="AL217" s="554">
        <f t="shared" si="38"/>
        <v>0</v>
      </c>
      <c r="AM217" s="183"/>
    </row>
    <row r="218" spans="1:39" s="90" customFormat="1" ht="11.25" customHeight="1" outlineLevel="1">
      <c r="A218" s="146" t="str">
        <f ca="1">A217</f>
        <v>1</v>
      </c>
      <c r="B218" s="600" t="s">
        <v>1527</v>
      </c>
      <c r="C218" s="600" t="str">
        <f>C217</f>
        <v>Без разбивки</v>
      </c>
      <c r="J218" s="708"/>
      <c r="L218" s="197" t="str">
        <f>L216&amp;".2"</f>
        <v>6.1.2</v>
      </c>
      <c r="M218" s="198" t="s">
        <v>1137</v>
      </c>
      <c r="N218" s="415" t="s">
        <v>1201</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83"/>
    </row>
    <row r="219" spans="1:39" s="87" customFormat="1" ht="15" customHeight="1" outlineLevel="1">
      <c r="A219" s="578" t="str">
        <f>A215</f>
        <v>1</v>
      </c>
      <c r="B219" s="87" t="str">
        <f>A219&amp;"pIns1"</f>
        <v>1pIns1</v>
      </c>
      <c r="L219" s="140"/>
      <c r="M219" s="143" t="s">
        <v>352</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3"/>
    </row>
    <row r="220" spans="1:39" s="90" customFormat="1" ht="12.95" customHeight="1" outlineLevel="1">
      <c r="A220" s="578" t="str">
        <f t="shared" si="36"/>
        <v>1</v>
      </c>
      <c r="B220" s="600"/>
      <c r="C220" s="600"/>
      <c r="J220" s="307" t="s">
        <v>1107</v>
      </c>
      <c r="L220" s="316"/>
      <c r="M220" s="313" t="s">
        <v>1124</v>
      </c>
      <c r="N220" s="314"/>
      <c r="O220" s="315"/>
      <c r="P220" s="315"/>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7"/>
    </row>
    <row r="221" spans="1:39" s="87" customFormat="1" ht="15" customHeight="1" outlineLevel="1">
      <c r="A221" s="578" t="str">
        <f t="shared" si="36"/>
        <v>1</v>
      </c>
      <c r="B221" s="87" t="str">
        <f>A221&amp;"pIns2"</f>
        <v>1pIns2</v>
      </c>
      <c r="L221" s="140"/>
      <c r="M221" s="143" t="s">
        <v>1108</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3"/>
    </row>
    <row r="222" spans="1:39">
      <c r="A222" s="134" t="s">
        <v>1036</v>
      </c>
    </row>
    <row r="223" spans="1:39" s="90" customFormat="1" ht="11.25" customHeight="1" outlineLevel="1">
      <c r="A223" s="146" t="str">
        <f ca="1">OFFSET(A223,-1,0)</f>
        <v>et_List06_voltage</v>
      </c>
      <c r="B223" s="600" t="s">
        <v>1486</v>
      </c>
      <c r="C223" s="600">
        <f>M223</f>
        <v>0</v>
      </c>
      <c r="J223" s="708"/>
      <c r="K223" s="135" t="s">
        <v>264</v>
      </c>
      <c r="L223" s="89">
        <f>J223</f>
        <v>0</v>
      </c>
      <c r="M223" s="199"/>
      <c r="N223" s="137" t="s">
        <v>351</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83"/>
    </row>
    <row r="224" spans="1:39" s="90" customFormat="1" ht="11.25" customHeight="1" outlineLevel="1">
      <c r="A224" s="146" t="str">
        <f ca="1">A223</f>
        <v>et_List06_voltage</v>
      </c>
      <c r="B224" s="600" t="s">
        <v>1526</v>
      </c>
      <c r="C224" s="600">
        <f>C223</f>
        <v>0</v>
      </c>
      <c r="J224" s="708"/>
      <c r="L224" s="197" t="str">
        <f>L223&amp;".1"</f>
        <v>0.1</v>
      </c>
      <c r="M224" s="198" t="s">
        <v>1028</v>
      </c>
      <c r="N224" s="138" t="s">
        <v>486</v>
      </c>
      <c r="O224" s="554">
        <f t="shared" ref="O224:AL224" si="39">IF(OR(AND(O223&lt;&gt;0,O225=0),AND(O223=0,O225&lt;&gt;0)),"Ошибка",IF(O225=0,0,O223/O225))</f>
        <v>0</v>
      </c>
      <c r="P224" s="554">
        <f t="shared" si="39"/>
        <v>0</v>
      </c>
      <c r="Q224" s="554">
        <f t="shared" si="39"/>
        <v>0</v>
      </c>
      <c r="R224" s="554">
        <f t="shared" si="39"/>
        <v>0</v>
      </c>
      <c r="S224" s="554">
        <f t="shared" si="39"/>
        <v>0</v>
      </c>
      <c r="T224" s="554">
        <f t="shared" si="39"/>
        <v>0</v>
      </c>
      <c r="U224" s="554">
        <f t="shared" si="39"/>
        <v>0</v>
      </c>
      <c r="V224" s="554">
        <f t="shared" si="39"/>
        <v>0</v>
      </c>
      <c r="W224" s="554">
        <f t="shared" si="39"/>
        <v>0</v>
      </c>
      <c r="X224" s="554">
        <f t="shared" si="39"/>
        <v>0</v>
      </c>
      <c r="Y224" s="554">
        <f t="shared" si="39"/>
        <v>0</v>
      </c>
      <c r="Z224" s="554">
        <f t="shared" si="39"/>
        <v>0</v>
      </c>
      <c r="AA224" s="554">
        <f t="shared" si="39"/>
        <v>0</v>
      </c>
      <c r="AB224" s="554">
        <f t="shared" si="39"/>
        <v>0</v>
      </c>
      <c r="AC224" s="554">
        <f t="shared" si="39"/>
        <v>0</v>
      </c>
      <c r="AD224" s="554">
        <f t="shared" si="39"/>
        <v>0</v>
      </c>
      <c r="AE224" s="554">
        <f t="shared" si="39"/>
        <v>0</v>
      </c>
      <c r="AF224" s="554">
        <f t="shared" si="39"/>
        <v>0</v>
      </c>
      <c r="AG224" s="554">
        <f t="shared" si="39"/>
        <v>0</v>
      </c>
      <c r="AH224" s="554">
        <f t="shared" si="39"/>
        <v>0</v>
      </c>
      <c r="AI224" s="554">
        <f t="shared" si="39"/>
        <v>0</v>
      </c>
      <c r="AJ224" s="554">
        <f t="shared" si="39"/>
        <v>0</v>
      </c>
      <c r="AK224" s="554">
        <f t="shared" si="39"/>
        <v>0</v>
      </c>
      <c r="AL224" s="554">
        <f t="shared" si="39"/>
        <v>0</v>
      </c>
      <c r="AM224" s="183"/>
    </row>
    <row r="225" spans="1:39" s="90" customFormat="1" ht="11.25" customHeight="1" outlineLevel="1">
      <c r="A225" s="146" t="str">
        <f ca="1">A224</f>
        <v>et_List06_voltage</v>
      </c>
      <c r="B225" s="600" t="s">
        <v>1527</v>
      </c>
      <c r="C225" s="600">
        <f>C224</f>
        <v>0</v>
      </c>
      <c r="J225" s="708"/>
      <c r="L225" s="197" t="str">
        <f>L223&amp;".2"</f>
        <v>0.2</v>
      </c>
      <c r="M225" s="198" t="s">
        <v>1137</v>
      </c>
      <c r="N225" s="138" t="s">
        <v>1201</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83"/>
    </row>
    <row r="226" spans="1:39">
      <c r="A226" s="134" t="s">
        <v>1112</v>
      </c>
    </row>
    <row r="227" spans="1:39" s="90" customFormat="1" ht="11.25" customHeight="1" outlineLevel="1">
      <c r="A227" s="504" t="str">
        <f ca="1">OFFSET(A227,-1,0)</f>
        <v>et_List06_voltage2</v>
      </c>
      <c r="B227" s="600" t="s">
        <v>1487</v>
      </c>
      <c r="C227" s="600">
        <f>M227</f>
        <v>0</v>
      </c>
      <c r="J227" s="717"/>
      <c r="K227" s="135" t="s">
        <v>264</v>
      </c>
      <c r="L227" s="89">
        <f>J227</f>
        <v>0</v>
      </c>
      <c r="M227" s="180"/>
      <c r="N227" s="584" t="s">
        <v>351</v>
      </c>
      <c r="O227" s="554">
        <f>O228+O231</f>
        <v>0</v>
      </c>
      <c r="P227" s="554">
        <f>P228+P231</f>
        <v>0</v>
      </c>
      <c r="Q227" s="554">
        <f>Q228+Q231</f>
        <v>0</v>
      </c>
      <c r="R227" s="554">
        <f>R228+R231</f>
        <v>0</v>
      </c>
      <c r="S227" s="554">
        <f>S228+S231</f>
        <v>0</v>
      </c>
      <c r="T227" s="554">
        <f>T229*T230+T232*T233/1000*12</f>
        <v>0</v>
      </c>
      <c r="U227" s="554">
        <f t="shared" ref="U227:AL227" si="40">U229*U230+U232*U233/1000*12</f>
        <v>0</v>
      </c>
      <c r="V227" s="554">
        <f t="shared" si="40"/>
        <v>0</v>
      </c>
      <c r="W227" s="554">
        <f t="shared" si="40"/>
        <v>0</v>
      </c>
      <c r="X227" s="554">
        <f t="shared" si="40"/>
        <v>0</v>
      </c>
      <c r="Y227" s="554">
        <f t="shared" si="40"/>
        <v>0</v>
      </c>
      <c r="Z227" s="554">
        <f t="shared" si="40"/>
        <v>0</v>
      </c>
      <c r="AA227" s="554">
        <f t="shared" si="40"/>
        <v>0</v>
      </c>
      <c r="AB227" s="554">
        <f t="shared" si="40"/>
        <v>0</v>
      </c>
      <c r="AC227" s="554">
        <f t="shared" si="40"/>
        <v>0</v>
      </c>
      <c r="AD227" s="554">
        <f t="shared" si="40"/>
        <v>0</v>
      </c>
      <c r="AE227" s="554">
        <f t="shared" si="40"/>
        <v>0</v>
      </c>
      <c r="AF227" s="554">
        <f t="shared" si="40"/>
        <v>0</v>
      </c>
      <c r="AG227" s="554">
        <f t="shared" si="40"/>
        <v>0</v>
      </c>
      <c r="AH227" s="554">
        <f t="shared" si="40"/>
        <v>0</v>
      </c>
      <c r="AI227" s="554">
        <f t="shared" si="40"/>
        <v>0</v>
      </c>
      <c r="AJ227" s="554">
        <f t="shared" si="40"/>
        <v>0</v>
      </c>
      <c r="AK227" s="554">
        <f t="shared" si="40"/>
        <v>0</v>
      </c>
      <c r="AL227" s="554">
        <f t="shared" si="40"/>
        <v>0</v>
      </c>
      <c r="AM227" s="183"/>
    </row>
    <row r="228" spans="1:39" s="90" customFormat="1" ht="11.25" customHeight="1" outlineLevel="1">
      <c r="A228" s="504" t="str">
        <f t="shared" ref="A228:A233" ca="1" si="41">OFFSET(A228,-1,0)</f>
        <v>et_List06_voltage2</v>
      </c>
      <c r="B228" s="600" t="s">
        <v>1528</v>
      </c>
      <c r="C228" s="600">
        <f t="shared" ref="C228:C233" si="42">C227</f>
        <v>0</v>
      </c>
      <c r="J228" s="717"/>
      <c r="L228" s="584" t="str">
        <f>L227&amp;".1"</f>
        <v>0.1</v>
      </c>
      <c r="M228" s="585" t="s">
        <v>1420</v>
      </c>
      <c r="N228" s="584" t="s">
        <v>1456</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83"/>
    </row>
    <row r="229" spans="1:39" s="90" customFormat="1" ht="11.25" customHeight="1" outlineLevel="1">
      <c r="A229" s="504" t="str">
        <f t="shared" ca="1" si="41"/>
        <v>et_List06_voltage2</v>
      </c>
      <c r="B229" s="600" t="s">
        <v>1544</v>
      </c>
      <c r="C229" s="600">
        <f t="shared" si="42"/>
        <v>0</v>
      </c>
      <c r="J229" s="717"/>
      <c r="L229" s="584" t="str">
        <f>L227&amp;".1.1"</f>
        <v>0.1.1</v>
      </c>
      <c r="M229" s="586" t="s">
        <v>1028</v>
      </c>
      <c r="N229" s="583" t="s">
        <v>486</v>
      </c>
      <c r="O229" s="554">
        <f t="shared" ref="O229:T229" si="43">IF(OR(AND(O228&lt;&gt;0,O230=0),AND(O228=0,O230&lt;&gt;0)),"Ошибка",IF(O230=0,0,O228/O230))</f>
        <v>0</v>
      </c>
      <c r="P229" s="554">
        <f t="shared" si="43"/>
        <v>0</v>
      </c>
      <c r="Q229" s="554">
        <f t="shared" si="43"/>
        <v>0</v>
      </c>
      <c r="R229" s="554">
        <f t="shared" si="43"/>
        <v>0</v>
      </c>
      <c r="S229" s="554">
        <f t="shared" si="43"/>
        <v>0</v>
      </c>
      <c r="T229" s="554">
        <f t="shared" si="43"/>
        <v>0</v>
      </c>
      <c r="U229" s="554">
        <f t="shared" ref="U229:AL229" si="44">IF(OR(AND(U228&lt;&gt;0,U230=0),AND(U228=0,U230&lt;&gt;0)),"Ошибка",IF(U230=0,0,U228/U230))</f>
        <v>0</v>
      </c>
      <c r="V229" s="554">
        <f t="shared" si="44"/>
        <v>0</v>
      </c>
      <c r="W229" s="554">
        <f t="shared" si="44"/>
        <v>0</v>
      </c>
      <c r="X229" s="554">
        <f t="shared" si="44"/>
        <v>0</v>
      </c>
      <c r="Y229" s="554">
        <f t="shared" si="44"/>
        <v>0</v>
      </c>
      <c r="Z229" s="554">
        <f t="shared" si="44"/>
        <v>0</v>
      </c>
      <c r="AA229" s="554">
        <f t="shared" si="44"/>
        <v>0</v>
      </c>
      <c r="AB229" s="554">
        <f t="shared" si="44"/>
        <v>0</v>
      </c>
      <c r="AC229" s="554">
        <f t="shared" si="44"/>
        <v>0</v>
      </c>
      <c r="AD229" s="554">
        <f t="shared" si="44"/>
        <v>0</v>
      </c>
      <c r="AE229" s="554">
        <f t="shared" si="44"/>
        <v>0</v>
      </c>
      <c r="AF229" s="554">
        <f t="shared" si="44"/>
        <v>0</v>
      </c>
      <c r="AG229" s="554">
        <f t="shared" si="44"/>
        <v>0</v>
      </c>
      <c r="AH229" s="554">
        <f t="shared" si="44"/>
        <v>0</v>
      </c>
      <c r="AI229" s="554">
        <f t="shared" si="44"/>
        <v>0</v>
      </c>
      <c r="AJ229" s="554">
        <f t="shared" si="44"/>
        <v>0</v>
      </c>
      <c r="AK229" s="554">
        <f t="shared" si="44"/>
        <v>0</v>
      </c>
      <c r="AL229" s="554">
        <f t="shared" si="44"/>
        <v>0</v>
      </c>
      <c r="AM229" s="183"/>
    </row>
    <row r="230" spans="1:39" s="90" customFormat="1" ht="11.25" customHeight="1" outlineLevel="1">
      <c r="A230" s="504" t="str">
        <f t="shared" ca="1" si="41"/>
        <v>et_List06_voltage2</v>
      </c>
      <c r="B230" s="600" t="s">
        <v>1545</v>
      </c>
      <c r="C230" s="600">
        <f t="shared" si="42"/>
        <v>0</v>
      </c>
      <c r="J230" s="717"/>
      <c r="L230" s="584" t="str">
        <f>L227&amp;".1.2"</f>
        <v>0.1.2</v>
      </c>
      <c r="M230" s="586" t="s">
        <v>1137</v>
      </c>
      <c r="N230" s="583" t="s">
        <v>1201</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83"/>
    </row>
    <row r="231" spans="1:39" s="90" customFormat="1" ht="11.25" customHeight="1" outlineLevel="1">
      <c r="A231" s="504" t="str">
        <f t="shared" ca="1" si="41"/>
        <v>et_List06_voltage2</v>
      </c>
      <c r="B231" s="600" t="s">
        <v>1529</v>
      </c>
      <c r="C231" s="600">
        <f t="shared" si="42"/>
        <v>0</v>
      </c>
      <c r="J231" s="717"/>
      <c r="L231" s="584" t="str">
        <f>L227&amp;".2"</f>
        <v>0.2</v>
      </c>
      <c r="M231" s="585" t="s">
        <v>1421</v>
      </c>
      <c r="N231" s="584" t="s">
        <v>1456</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83"/>
    </row>
    <row r="232" spans="1:39" s="90" customFormat="1" ht="11.25" customHeight="1" outlineLevel="1">
      <c r="A232" s="504" t="str">
        <f t="shared" ca="1" si="41"/>
        <v>et_List06_voltage2</v>
      </c>
      <c r="B232" s="600" t="s">
        <v>1546</v>
      </c>
      <c r="C232" s="600">
        <f t="shared" si="42"/>
        <v>0</v>
      </c>
      <c r="J232" s="717"/>
      <c r="L232" s="584" t="str">
        <f>L227&amp;".2.1"</f>
        <v>0.2.1</v>
      </c>
      <c r="M232" s="586" t="s">
        <v>1109</v>
      </c>
      <c r="N232" s="583" t="s">
        <v>1111</v>
      </c>
      <c r="O232" s="554">
        <f t="shared" ref="O232:T232" si="45">IF(OR(AND(O231&lt;&gt;0,O233=0),AND(O231=0,O233&lt;&gt;0)),"Ошибка",IF(O233=0,0,O231/O233*1000/12))</f>
        <v>0</v>
      </c>
      <c r="P232" s="554">
        <f t="shared" si="45"/>
        <v>0</v>
      </c>
      <c r="Q232" s="554">
        <f t="shared" si="45"/>
        <v>0</v>
      </c>
      <c r="R232" s="554">
        <f t="shared" si="45"/>
        <v>0</v>
      </c>
      <c r="S232" s="554">
        <f t="shared" si="45"/>
        <v>0</v>
      </c>
      <c r="T232" s="554">
        <f t="shared" si="45"/>
        <v>0</v>
      </c>
      <c r="U232" s="554">
        <f t="shared" ref="U232:AL232" si="46">IF(OR(AND(U231&lt;&gt;0,U233=0),AND(U231=0,U233&lt;&gt;0)),"Ошибка",IF(U233=0,0,U231/U233*1000/12))</f>
        <v>0</v>
      </c>
      <c r="V232" s="554">
        <f t="shared" si="46"/>
        <v>0</v>
      </c>
      <c r="W232" s="554">
        <f t="shared" si="46"/>
        <v>0</v>
      </c>
      <c r="X232" s="554">
        <f t="shared" si="46"/>
        <v>0</v>
      </c>
      <c r="Y232" s="554">
        <f t="shared" si="46"/>
        <v>0</v>
      </c>
      <c r="Z232" s="554">
        <f t="shared" si="46"/>
        <v>0</v>
      </c>
      <c r="AA232" s="554">
        <f t="shared" si="46"/>
        <v>0</v>
      </c>
      <c r="AB232" s="554">
        <f t="shared" si="46"/>
        <v>0</v>
      </c>
      <c r="AC232" s="554">
        <f t="shared" si="46"/>
        <v>0</v>
      </c>
      <c r="AD232" s="554">
        <f t="shared" si="46"/>
        <v>0</v>
      </c>
      <c r="AE232" s="554">
        <f t="shared" si="46"/>
        <v>0</v>
      </c>
      <c r="AF232" s="554">
        <f t="shared" si="46"/>
        <v>0</v>
      </c>
      <c r="AG232" s="554">
        <f t="shared" si="46"/>
        <v>0</v>
      </c>
      <c r="AH232" s="554">
        <f t="shared" si="46"/>
        <v>0</v>
      </c>
      <c r="AI232" s="554">
        <f t="shared" si="46"/>
        <v>0</v>
      </c>
      <c r="AJ232" s="554">
        <f t="shared" si="46"/>
        <v>0</v>
      </c>
      <c r="AK232" s="554">
        <f t="shared" si="46"/>
        <v>0</v>
      </c>
      <c r="AL232" s="554">
        <f t="shared" si="46"/>
        <v>0</v>
      </c>
      <c r="AM232" s="183"/>
    </row>
    <row r="233" spans="1:39" s="90" customFormat="1" ht="11.25" customHeight="1" outlineLevel="1">
      <c r="A233" s="504" t="str">
        <f t="shared" ca="1" si="41"/>
        <v>et_List06_voltage2</v>
      </c>
      <c r="B233" s="600" t="s">
        <v>1547</v>
      </c>
      <c r="C233" s="600">
        <f t="shared" si="42"/>
        <v>0</v>
      </c>
      <c r="J233" s="717"/>
      <c r="L233" s="584" t="str">
        <f>L227&amp;".2.2"</f>
        <v>0.2.2</v>
      </c>
      <c r="M233" s="586" t="s">
        <v>1138</v>
      </c>
      <c r="N233" s="583" t="s">
        <v>1110</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83"/>
    </row>
    <row r="235" spans="1:39" s="131" customFormat="1" ht="30" customHeight="1">
      <c r="A235" s="130" t="s">
        <v>1037</v>
      </c>
      <c r="M235" s="132"/>
      <c r="N235" s="132"/>
      <c r="O235" s="132"/>
      <c r="P235" s="132"/>
      <c r="AA235" s="133"/>
    </row>
    <row r="236" spans="1:39">
      <c r="A236" s="134" t="s">
        <v>1038</v>
      </c>
    </row>
    <row r="237" spans="1:39" s="91" customFormat="1" ht="15" customHeight="1">
      <c r="A237" s="172" t="s">
        <v>18</v>
      </c>
      <c r="L237" s="226" t="str">
        <f>INDEX('Общие сведения'!$J$114:$J$127,MATCH($A237,'Общие сведения'!$D$114:$D$127,0))</f>
        <v>Тариф 1 (Водоснабжение) - тариф на питьевую воду</v>
      </c>
      <c r="M237" s="145"/>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5"/>
    </row>
    <row r="238" spans="1:39" s="93" customFormat="1" ht="22.5" outlineLevel="1">
      <c r="A238" s="578" t="str">
        <f>A237</f>
        <v>1</v>
      </c>
      <c r="B238" s="91" t="s">
        <v>1480</v>
      </c>
      <c r="L238" s="206">
        <v>1</v>
      </c>
      <c r="M238" s="207" t="s">
        <v>356</v>
      </c>
      <c r="N238" s="137" t="s">
        <v>351</v>
      </c>
      <c r="O238" s="209">
        <f>SUM(O239:O243)</f>
        <v>0</v>
      </c>
      <c r="P238" s="209">
        <f>SUM(P239:P243)</f>
        <v>0</v>
      </c>
      <c r="Q238" s="209">
        <f>SUM(Q239:Q243)</f>
        <v>0</v>
      </c>
      <c r="R238" s="209">
        <f>SUM(R239:R243)</f>
        <v>0</v>
      </c>
      <c r="S238" s="209">
        <f t="shared" ref="S238:AL238" si="47">SUM(S239:S243)</f>
        <v>0</v>
      </c>
      <c r="T238" s="209">
        <f t="shared" si="47"/>
        <v>0</v>
      </c>
      <c r="U238" s="209">
        <f t="shared" si="47"/>
        <v>0</v>
      </c>
      <c r="V238" s="209">
        <f t="shared" si="47"/>
        <v>0</v>
      </c>
      <c r="W238" s="209">
        <f t="shared" si="47"/>
        <v>0</v>
      </c>
      <c r="X238" s="209">
        <f t="shared" si="47"/>
        <v>0</v>
      </c>
      <c r="Y238" s="209">
        <f t="shared" si="47"/>
        <v>0</v>
      </c>
      <c r="Z238" s="209">
        <f t="shared" si="47"/>
        <v>0</v>
      </c>
      <c r="AA238" s="209">
        <f>SUM(AA239:AA243)</f>
        <v>0</v>
      </c>
      <c r="AB238" s="209">
        <f>SUM(AB239:AB243)</f>
        <v>0</v>
      </c>
      <c r="AC238" s="209">
        <f t="shared" si="47"/>
        <v>0</v>
      </c>
      <c r="AD238" s="209">
        <f t="shared" si="47"/>
        <v>0</v>
      </c>
      <c r="AE238" s="209">
        <f t="shared" si="47"/>
        <v>0</v>
      </c>
      <c r="AF238" s="209">
        <f t="shared" si="47"/>
        <v>0</v>
      </c>
      <c r="AG238" s="209">
        <f t="shared" si="47"/>
        <v>0</v>
      </c>
      <c r="AH238" s="209">
        <f t="shared" si="47"/>
        <v>0</v>
      </c>
      <c r="AI238" s="209">
        <f t="shared" si="47"/>
        <v>0</v>
      </c>
      <c r="AJ238" s="209">
        <f t="shared" si="47"/>
        <v>0</v>
      </c>
      <c r="AK238" s="209">
        <f t="shared" si="47"/>
        <v>0</v>
      </c>
      <c r="AL238" s="209">
        <f t="shared" si="47"/>
        <v>0</v>
      </c>
      <c r="AM238" s="183"/>
    </row>
    <row r="239" spans="1:39" s="91" customFormat="1" outlineLevel="1">
      <c r="A239" s="578" t="str">
        <f t="shared" ref="A239:A285" si="48">A238</f>
        <v>1</v>
      </c>
      <c r="B239" s="91" t="s">
        <v>1491</v>
      </c>
      <c r="L239" s="210" t="s">
        <v>149</v>
      </c>
      <c r="M239" s="211" t="s">
        <v>357</v>
      </c>
      <c r="N239" s="137" t="s">
        <v>351</v>
      </c>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183"/>
    </row>
    <row r="240" spans="1:39" s="91" customFormat="1" outlineLevel="1">
      <c r="A240" s="578" t="str">
        <f t="shared" si="48"/>
        <v>1</v>
      </c>
      <c r="B240" s="91" t="s">
        <v>1489</v>
      </c>
      <c r="L240" s="210" t="s">
        <v>150</v>
      </c>
      <c r="M240" s="211" t="s">
        <v>358</v>
      </c>
      <c r="N240" s="137" t="s">
        <v>351</v>
      </c>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183"/>
    </row>
    <row r="241" spans="1:39" s="91" customFormat="1" outlineLevel="1">
      <c r="A241" s="578" t="str">
        <f t="shared" si="48"/>
        <v>1</v>
      </c>
      <c r="B241" s="91" t="s">
        <v>1490</v>
      </c>
      <c r="L241" s="210" t="s">
        <v>359</v>
      </c>
      <c r="M241" s="211" t="s">
        <v>360</v>
      </c>
      <c r="N241" s="137" t="s">
        <v>351</v>
      </c>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183"/>
    </row>
    <row r="242" spans="1:39" s="91" customFormat="1" outlineLevel="1">
      <c r="A242" s="578" t="str">
        <f t="shared" si="48"/>
        <v>1</v>
      </c>
      <c r="B242" s="91" t="s">
        <v>1488</v>
      </c>
      <c r="L242" s="210" t="s">
        <v>361</v>
      </c>
      <c r="M242" s="211" t="s">
        <v>362</v>
      </c>
      <c r="N242" s="137" t="s">
        <v>351</v>
      </c>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183"/>
    </row>
    <row r="243" spans="1:39" s="91" customFormat="1" outlineLevel="1">
      <c r="A243" s="578" t="str">
        <f t="shared" si="48"/>
        <v>1</v>
      </c>
      <c r="B243" s="91" t="s">
        <v>1551</v>
      </c>
      <c r="L243" s="210" t="s">
        <v>363</v>
      </c>
      <c r="M243" s="211" t="s">
        <v>364</v>
      </c>
      <c r="N243" s="137" t="s">
        <v>351</v>
      </c>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183"/>
    </row>
    <row r="244" spans="1:39" s="93" customFormat="1" outlineLevel="1">
      <c r="A244" s="578" t="str">
        <f t="shared" si="48"/>
        <v>1</v>
      </c>
      <c r="B244" s="91" t="s">
        <v>1481</v>
      </c>
      <c r="L244" s="206">
        <v>2</v>
      </c>
      <c r="M244" s="207" t="s">
        <v>365</v>
      </c>
      <c r="N244" s="137" t="s">
        <v>351</v>
      </c>
      <c r="O244" s="209">
        <f t="shared" ref="O244:AL244" si="49">SUM(O245:O249)</f>
        <v>0</v>
      </c>
      <c r="P244" s="209">
        <f t="shared" si="49"/>
        <v>0</v>
      </c>
      <c r="Q244" s="209">
        <f t="shared" si="49"/>
        <v>0</v>
      </c>
      <c r="R244" s="209">
        <f t="shared" si="49"/>
        <v>0</v>
      </c>
      <c r="S244" s="209">
        <f t="shared" si="49"/>
        <v>0</v>
      </c>
      <c r="T244" s="209">
        <f t="shared" si="49"/>
        <v>0</v>
      </c>
      <c r="U244" s="209">
        <f t="shared" si="49"/>
        <v>0</v>
      </c>
      <c r="V244" s="209">
        <f t="shared" si="49"/>
        <v>0</v>
      </c>
      <c r="W244" s="209">
        <f t="shared" si="49"/>
        <v>0</v>
      </c>
      <c r="X244" s="209">
        <f t="shared" si="49"/>
        <v>0</v>
      </c>
      <c r="Y244" s="209">
        <f t="shared" si="49"/>
        <v>0</v>
      </c>
      <c r="Z244" s="209">
        <f t="shared" si="49"/>
        <v>0</v>
      </c>
      <c r="AA244" s="209">
        <f>SUM(AA245:AA249)</f>
        <v>0</v>
      </c>
      <c r="AB244" s="209">
        <f>SUM(AB245:AB249)</f>
        <v>0</v>
      </c>
      <c r="AC244" s="209">
        <f t="shared" si="49"/>
        <v>0</v>
      </c>
      <c r="AD244" s="209">
        <f t="shared" si="49"/>
        <v>0</v>
      </c>
      <c r="AE244" s="209">
        <f t="shared" si="49"/>
        <v>0</v>
      </c>
      <c r="AF244" s="209">
        <f t="shared" si="49"/>
        <v>0</v>
      </c>
      <c r="AG244" s="209">
        <f t="shared" si="49"/>
        <v>0</v>
      </c>
      <c r="AH244" s="209">
        <f t="shared" si="49"/>
        <v>0</v>
      </c>
      <c r="AI244" s="209">
        <f t="shared" si="49"/>
        <v>0</v>
      </c>
      <c r="AJ244" s="209">
        <f t="shared" si="49"/>
        <v>0</v>
      </c>
      <c r="AK244" s="209">
        <f t="shared" si="49"/>
        <v>0</v>
      </c>
      <c r="AL244" s="209">
        <f t="shared" si="49"/>
        <v>0</v>
      </c>
      <c r="AM244" s="183"/>
    </row>
    <row r="245" spans="1:39" s="91" customFormat="1" outlineLevel="1">
      <c r="A245" s="578" t="str">
        <f t="shared" si="48"/>
        <v>1</v>
      </c>
      <c r="B245" s="91" t="s">
        <v>1492</v>
      </c>
      <c r="L245" s="210" t="s">
        <v>17</v>
      </c>
      <c r="M245" s="211" t="s">
        <v>357</v>
      </c>
      <c r="N245" s="137" t="s">
        <v>351</v>
      </c>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183"/>
    </row>
    <row r="246" spans="1:39" s="91" customFormat="1" outlineLevel="1">
      <c r="A246" s="578" t="str">
        <f t="shared" si="48"/>
        <v>1</v>
      </c>
      <c r="B246" s="91" t="s">
        <v>1493</v>
      </c>
      <c r="L246" s="210" t="s">
        <v>138</v>
      </c>
      <c r="M246" s="211" t="s">
        <v>358</v>
      </c>
      <c r="N246" s="137" t="s">
        <v>351</v>
      </c>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183"/>
    </row>
    <row r="247" spans="1:39" s="91" customFormat="1" outlineLevel="1">
      <c r="A247" s="578" t="str">
        <f t="shared" si="48"/>
        <v>1</v>
      </c>
      <c r="B247" s="91" t="s">
        <v>1552</v>
      </c>
      <c r="L247" s="210" t="s">
        <v>151</v>
      </c>
      <c r="M247" s="211" t="s">
        <v>360</v>
      </c>
      <c r="N247" s="137" t="s">
        <v>351</v>
      </c>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183"/>
    </row>
    <row r="248" spans="1:39" s="91" customFormat="1" outlineLevel="1">
      <c r="A248" s="578" t="str">
        <f t="shared" si="48"/>
        <v>1</v>
      </c>
      <c r="B248" s="91" t="s">
        <v>1553</v>
      </c>
      <c r="L248" s="210" t="s">
        <v>153</v>
      </c>
      <c r="M248" s="211" t="s">
        <v>362</v>
      </c>
      <c r="N248" s="137" t="s">
        <v>351</v>
      </c>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183"/>
    </row>
    <row r="249" spans="1:39" s="91" customFormat="1" outlineLevel="1">
      <c r="A249" s="578" t="str">
        <f t="shared" si="48"/>
        <v>1</v>
      </c>
      <c r="B249" s="91" t="s">
        <v>1554</v>
      </c>
      <c r="L249" s="210" t="s">
        <v>366</v>
      </c>
      <c r="M249" s="211" t="s">
        <v>364</v>
      </c>
      <c r="N249" s="137" t="s">
        <v>351</v>
      </c>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183"/>
    </row>
    <row r="250" spans="1:39" s="93" customFormat="1" outlineLevel="1">
      <c r="A250" s="578" t="str">
        <f t="shared" si="48"/>
        <v>1</v>
      </c>
      <c r="B250" s="91" t="s">
        <v>1483</v>
      </c>
      <c r="L250" s="206">
        <v>3</v>
      </c>
      <c r="M250" s="207" t="s">
        <v>367</v>
      </c>
      <c r="N250" s="137" t="s">
        <v>351</v>
      </c>
      <c r="O250" s="209">
        <f t="shared" ref="O250:AK250" si="50">SUM(O251:O255)</f>
        <v>0</v>
      </c>
      <c r="P250" s="209">
        <f t="shared" si="50"/>
        <v>0</v>
      </c>
      <c r="Q250" s="209">
        <f t="shared" si="50"/>
        <v>0</v>
      </c>
      <c r="R250" s="209">
        <f t="shared" si="50"/>
        <v>0</v>
      </c>
      <c r="S250" s="209">
        <f t="shared" si="50"/>
        <v>0</v>
      </c>
      <c r="T250" s="209">
        <f t="shared" si="50"/>
        <v>0</v>
      </c>
      <c r="U250" s="209">
        <f t="shared" si="50"/>
        <v>0</v>
      </c>
      <c r="V250" s="209">
        <f t="shared" si="50"/>
        <v>0</v>
      </c>
      <c r="W250" s="209">
        <f t="shared" si="50"/>
        <v>0</v>
      </c>
      <c r="X250" s="209">
        <f t="shared" si="50"/>
        <v>0</v>
      </c>
      <c r="Y250" s="209">
        <f t="shared" si="50"/>
        <v>0</v>
      </c>
      <c r="Z250" s="209">
        <f t="shared" si="50"/>
        <v>0</v>
      </c>
      <c r="AA250" s="209">
        <f>SUM(AA251:AA255)</f>
        <v>0</v>
      </c>
      <c r="AB250" s="209">
        <f>SUM(AB251:AB255)</f>
        <v>0</v>
      </c>
      <c r="AC250" s="209">
        <f t="shared" si="50"/>
        <v>0</v>
      </c>
      <c r="AD250" s="209">
        <f t="shared" si="50"/>
        <v>0</v>
      </c>
      <c r="AE250" s="209">
        <f t="shared" si="50"/>
        <v>0</v>
      </c>
      <c r="AF250" s="209">
        <f t="shared" si="50"/>
        <v>0</v>
      </c>
      <c r="AG250" s="209">
        <f t="shared" si="50"/>
        <v>0</v>
      </c>
      <c r="AH250" s="209">
        <f t="shared" si="50"/>
        <v>0</v>
      </c>
      <c r="AI250" s="209">
        <f t="shared" si="50"/>
        <v>0</v>
      </c>
      <c r="AJ250" s="209">
        <f t="shared" si="50"/>
        <v>0</v>
      </c>
      <c r="AK250" s="209">
        <f t="shared" si="50"/>
        <v>0</v>
      </c>
      <c r="AL250" s="209">
        <f>SUM(AL251:AL255)</f>
        <v>0</v>
      </c>
      <c r="AM250" s="183"/>
    </row>
    <row r="251" spans="1:39" s="91" customFormat="1" outlineLevel="1">
      <c r="A251" s="578" t="str">
        <f t="shared" si="48"/>
        <v>1</v>
      </c>
      <c r="B251" s="91" t="s">
        <v>1548</v>
      </c>
      <c r="L251" s="210" t="s">
        <v>154</v>
      </c>
      <c r="M251" s="211" t="s">
        <v>357</v>
      </c>
      <c r="N251" s="137" t="s">
        <v>351</v>
      </c>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183"/>
    </row>
    <row r="252" spans="1:39" s="91" customFormat="1" outlineLevel="1">
      <c r="A252" s="578" t="str">
        <f t="shared" si="48"/>
        <v>1</v>
      </c>
      <c r="B252" s="91" t="s">
        <v>1550</v>
      </c>
      <c r="L252" s="210" t="s">
        <v>155</v>
      </c>
      <c r="M252" s="211" t="s">
        <v>358</v>
      </c>
      <c r="N252" s="137" t="s">
        <v>351</v>
      </c>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183"/>
    </row>
    <row r="253" spans="1:39" s="91" customFormat="1" outlineLevel="1">
      <c r="A253" s="578" t="str">
        <f t="shared" si="48"/>
        <v>1</v>
      </c>
      <c r="B253" s="91" t="s">
        <v>1555</v>
      </c>
      <c r="L253" s="210" t="s">
        <v>368</v>
      </c>
      <c r="M253" s="211" t="s">
        <v>360</v>
      </c>
      <c r="N253" s="137" t="s">
        <v>351</v>
      </c>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183"/>
    </row>
    <row r="254" spans="1:39" s="91" customFormat="1" outlineLevel="1">
      <c r="A254" s="578" t="str">
        <f t="shared" si="48"/>
        <v>1</v>
      </c>
      <c r="B254" s="91" t="s">
        <v>1556</v>
      </c>
      <c r="L254" s="210" t="s">
        <v>369</v>
      </c>
      <c r="M254" s="211" t="s">
        <v>362</v>
      </c>
      <c r="N254" s="137" t="s">
        <v>351</v>
      </c>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183"/>
    </row>
    <row r="255" spans="1:39" s="91" customFormat="1" outlineLevel="1">
      <c r="A255" s="578" t="str">
        <f t="shared" si="48"/>
        <v>1</v>
      </c>
      <c r="B255" s="91" t="s">
        <v>1557</v>
      </c>
      <c r="L255" s="210" t="s">
        <v>370</v>
      </c>
      <c r="M255" s="211" t="s">
        <v>364</v>
      </c>
      <c r="N255" s="137" t="s">
        <v>351</v>
      </c>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183"/>
    </row>
    <row r="256" spans="1:39" s="93" customFormat="1" ht="22.5" outlineLevel="1">
      <c r="A256" s="578" t="str">
        <f t="shared" si="48"/>
        <v>1</v>
      </c>
      <c r="B256" s="91" t="s">
        <v>1484</v>
      </c>
      <c r="L256" s="206">
        <v>4</v>
      </c>
      <c r="M256" s="207" t="s">
        <v>371</v>
      </c>
      <c r="N256" s="137" t="s">
        <v>351</v>
      </c>
      <c r="O256" s="209">
        <f t="shared" ref="O256:AL256" si="51">SUM(O257:O261)</f>
        <v>0</v>
      </c>
      <c r="P256" s="209">
        <f t="shared" si="51"/>
        <v>0</v>
      </c>
      <c r="Q256" s="209">
        <f>SUM(Q257:Q261)</f>
        <v>0</v>
      </c>
      <c r="R256" s="209">
        <f t="shared" si="51"/>
        <v>0</v>
      </c>
      <c r="S256" s="209">
        <f t="shared" si="51"/>
        <v>0</v>
      </c>
      <c r="T256" s="209">
        <f t="shared" si="51"/>
        <v>0</v>
      </c>
      <c r="U256" s="209">
        <f t="shared" si="51"/>
        <v>0</v>
      </c>
      <c r="V256" s="209">
        <f t="shared" si="51"/>
        <v>0</v>
      </c>
      <c r="W256" s="209">
        <f t="shared" si="51"/>
        <v>0</v>
      </c>
      <c r="X256" s="209">
        <f t="shared" si="51"/>
        <v>0</v>
      </c>
      <c r="Y256" s="209">
        <f t="shared" si="51"/>
        <v>0</v>
      </c>
      <c r="Z256" s="209">
        <f t="shared" si="51"/>
        <v>0</v>
      </c>
      <c r="AA256" s="209">
        <f>SUM(AA257:AA261)</f>
        <v>0</v>
      </c>
      <c r="AB256" s="209">
        <f>SUM(AB257:AB261)</f>
        <v>0</v>
      </c>
      <c r="AC256" s="209">
        <f t="shared" si="51"/>
        <v>0</v>
      </c>
      <c r="AD256" s="209">
        <f t="shared" si="51"/>
        <v>0</v>
      </c>
      <c r="AE256" s="209">
        <f t="shared" si="51"/>
        <v>0</v>
      </c>
      <c r="AF256" s="209">
        <f t="shared" si="51"/>
        <v>0</v>
      </c>
      <c r="AG256" s="209">
        <f t="shared" si="51"/>
        <v>0</v>
      </c>
      <c r="AH256" s="209">
        <f t="shared" si="51"/>
        <v>0</v>
      </c>
      <c r="AI256" s="209">
        <f t="shared" si="51"/>
        <v>0</v>
      </c>
      <c r="AJ256" s="209">
        <f t="shared" si="51"/>
        <v>0</v>
      </c>
      <c r="AK256" s="209">
        <f t="shared" si="51"/>
        <v>0</v>
      </c>
      <c r="AL256" s="209">
        <f t="shared" si="51"/>
        <v>0</v>
      </c>
      <c r="AM256" s="183"/>
    </row>
    <row r="257" spans="1:39" s="91" customFormat="1" outlineLevel="1">
      <c r="A257" s="578" t="str">
        <f t="shared" si="48"/>
        <v>1</v>
      </c>
      <c r="B257" s="91" t="s">
        <v>1499</v>
      </c>
      <c r="L257" s="210" t="s">
        <v>140</v>
      </c>
      <c r="M257" s="211" t="s">
        <v>357</v>
      </c>
      <c r="N257" s="137" t="s">
        <v>351</v>
      </c>
      <c r="O257" s="212">
        <f>O239+O245-O251</f>
        <v>0</v>
      </c>
      <c r="P257" s="212">
        <f t="shared" ref="P257:AL261" si="52">P239+P245-P251</f>
        <v>0</v>
      </c>
      <c r="Q257" s="212">
        <f>Q239+Q245-Q251</f>
        <v>0</v>
      </c>
      <c r="R257" s="212">
        <f t="shared" si="52"/>
        <v>0</v>
      </c>
      <c r="S257" s="212">
        <f t="shared" si="52"/>
        <v>0</v>
      </c>
      <c r="T257" s="212">
        <f t="shared" si="52"/>
        <v>0</v>
      </c>
      <c r="U257" s="212">
        <f t="shared" si="52"/>
        <v>0</v>
      </c>
      <c r="V257" s="212">
        <f t="shared" si="52"/>
        <v>0</v>
      </c>
      <c r="W257" s="212">
        <f t="shared" si="52"/>
        <v>0</v>
      </c>
      <c r="X257" s="212">
        <f t="shared" si="52"/>
        <v>0</v>
      </c>
      <c r="Y257" s="212">
        <f t="shared" si="52"/>
        <v>0</v>
      </c>
      <c r="Z257" s="212">
        <f t="shared" si="52"/>
        <v>0</v>
      </c>
      <c r="AA257" s="212">
        <f t="shared" si="52"/>
        <v>0</v>
      </c>
      <c r="AB257" s="212">
        <f t="shared" si="52"/>
        <v>0</v>
      </c>
      <c r="AC257" s="212">
        <f t="shared" si="52"/>
        <v>0</v>
      </c>
      <c r="AD257" s="212">
        <f t="shared" si="52"/>
        <v>0</v>
      </c>
      <c r="AE257" s="212">
        <f t="shared" si="52"/>
        <v>0</v>
      </c>
      <c r="AF257" s="212">
        <f t="shared" si="52"/>
        <v>0</v>
      </c>
      <c r="AG257" s="212">
        <f t="shared" si="52"/>
        <v>0</v>
      </c>
      <c r="AH257" s="212">
        <f t="shared" si="52"/>
        <v>0</v>
      </c>
      <c r="AI257" s="212">
        <f t="shared" si="52"/>
        <v>0</v>
      </c>
      <c r="AJ257" s="212">
        <f t="shared" si="52"/>
        <v>0</v>
      </c>
      <c r="AK257" s="212">
        <f t="shared" si="52"/>
        <v>0</v>
      </c>
      <c r="AL257" s="212">
        <f t="shared" si="52"/>
        <v>0</v>
      </c>
      <c r="AM257" s="183"/>
    </row>
    <row r="258" spans="1:39" s="91" customFormat="1" outlineLevel="1">
      <c r="A258" s="578" t="str">
        <f t="shared" si="48"/>
        <v>1</v>
      </c>
      <c r="B258" s="91" t="s">
        <v>1500</v>
      </c>
      <c r="L258" s="210" t="s">
        <v>372</v>
      </c>
      <c r="M258" s="211" t="s">
        <v>358</v>
      </c>
      <c r="N258" s="137" t="s">
        <v>351</v>
      </c>
      <c r="O258" s="212">
        <f>O240+O246-O252</f>
        <v>0</v>
      </c>
      <c r="P258" s="212">
        <f>P240+P246-P252</f>
        <v>0</v>
      </c>
      <c r="Q258" s="212">
        <f>Q240+Q246-Q252</f>
        <v>0</v>
      </c>
      <c r="R258" s="212">
        <f>R240+R246-R252</f>
        <v>0</v>
      </c>
      <c r="S258" s="212">
        <f t="shared" si="52"/>
        <v>0</v>
      </c>
      <c r="T258" s="212">
        <f t="shared" si="52"/>
        <v>0</v>
      </c>
      <c r="U258" s="212">
        <f t="shared" si="52"/>
        <v>0</v>
      </c>
      <c r="V258" s="212">
        <f t="shared" si="52"/>
        <v>0</v>
      </c>
      <c r="W258" s="212">
        <f t="shared" si="52"/>
        <v>0</v>
      </c>
      <c r="X258" s="212">
        <f t="shared" si="52"/>
        <v>0</v>
      </c>
      <c r="Y258" s="212">
        <f t="shared" si="52"/>
        <v>0</v>
      </c>
      <c r="Z258" s="212">
        <f t="shared" si="52"/>
        <v>0</v>
      </c>
      <c r="AA258" s="212">
        <f t="shared" si="52"/>
        <v>0</v>
      </c>
      <c r="AB258" s="212">
        <f t="shared" si="52"/>
        <v>0</v>
      </c>
      <c r="AC258" s="212">
        <f t="shared" si="52"/>
        <v>0</v>
      </c>
      <c r="AD258" s="212">
        <f t="shared" si="52"/>
        <v>0</v>
      </c>
      <c r="AE258" s="212">
        <f t="shared" si="52"/>
        <v>0</v>
      </c>
      <c r="AF258" s="212">
        <f t="shared" si="52"/>
        <v>0</v>
      </c>
      <c r="AG258" s="212">
        <f t="shared" si="52"/>
        <v>0</v>
      </c>
      <c r="AH258" s="212">
        <f t="shared" si="52"/>
        <v>0</v>
      </c>
      <c r="AI258" s="212">
        <f t="shared" si="52"/>
        <v>0</v>
      </c>
      <c r="AJ258" s="212">
        <f t="shared" si="52"/>
        <v>0</v>
      </c>
      <c r="AK258" s="212">
        <f t="shared" si="52"/>
        <v>0</v>
      </c>
      <c r="AL258" s="212">
        <f t="shared" si="52"/>
        <v>0</v>
      </c>
      <c r="AM258" s="183"/>
    </row>
    <row r="259" spans="1:39" s="91" customFormat="1" outlineLevel="1">
      <c r="A259" s="578" t="str">
        <f t="shared" si="48"/>
        <v>1</v>
      </c>
      <c r="B259" s="91" t="s">
        <v>1501</v>
      </c>
      <c r="L259" s="210" t="s">
        <v>373</v>
      </c>
      <c r="M259" s="211" t="s">
        <v>360</v>
      </c>
      <c r="N259" s="137" t="s">
        <v>351</v>
      </c>
      <c r="O259" s="212">
        <f>O241+O247-O253</f>
        <v>0</v>
      </c>
      <c r="P259" s="212">
        <f>P241+P247-P253</f>
        <v>0</v>
      </c>
      <c r="Q259" s="212">
        <f>Q241+Q247-Q253</f>
        <v>0</v>
      </c>
      <c r="R259" s="212">
        <f>R241+R247-R253</f>
        <v>0</v>
      </c>
      <c r="S259" s="212">
        <f>S241+S247-S253</f>
        <v>0</v>
      </c>
      <c r="T259" s="212">
        <f t="shared" si="52"/>
        <v>0</v>
      </c>
      <c r="U259" s="212">
        <f t="shared" si="52"/>
        <v>0</v>
      </c>
      <c r="V259" s="212">
        <f t="shared" si="52"/>
        <v>0</v>
      </c>
      <c r="W259" s="212">
        <f t="shared" si="52"/>
        <v>0</v>
      </c>
      <c r="X259" s="212">
        <f t="shared" si="52"/>
        <v>0</v>
      </c>
      <c r="Y259" s="212">
        <f t="shared" si="52"/>
        <v>0</v>
      </c>
      <c r="Z259" s="212">
        <f t="shared" si="52"/>
        <v>0</v>
      </c>
      <c r="AA259" s="212">
        <f t="shared" ref="AA259:AD261" si="53">AA241+AA247-AA253</f>
        <v>0</v>
      </c>
      <c r="AB259" s="212">
        <f t="shared" si="53"/>
        <v>0</v>
      </c>
      <c r="AC259" s="212">
        <f t="shared" si="53"/>
        <v>0</v>
      </c>
      <c r="AD259" s="212">
        <f t="shared" si="53"/>
        <v>0</v>
      </c>
      <c r="AE259" s="212">
        <f t="shared" si="52"/>
        <v>0</v>
      </c>
      <c r="AF259" s="212">
        <f t="shared" si="52"/>
        <v>0</v>
      </c>
      <c r="AG259" s="212">
        <f t="shared" si="52"/>
        <v>0</v>
      </c>
      <c r="AH259" s="212">
        <f t="shared" si="52"/>
        <v>0</v>
      </c>
      <c r="AI259" s="212">
        <f t="shared" si="52"/>
        <v>0</v>
      </c>
      <c r="AJ259" s="212">
        <f t="shared" si="52"/>
        <v>0</v>
      </c>
      <c r="AK259" s="212">
        <f t="shared" si="52"/>
        <v>0</v>
      </c>
      <c r="AL259" s="212">
        <f>AL241+AL247-AL253</f>
        <v>0</v>
      </c>
      <c r="AM259" s="183"/>
    </row>
    <row r="260" spans="1:39" s="91" customFormat="1" outlineLevel="1">
      <c r="A260" s="578" t="str">
        <f t="shared" si="48"/>
        <v>1</v>
      </c>
      <c r="B260" s="91" t="s">
        <v>1558</v>
      </c>
      <c r="L260" s="210" t="s">
        <v>374</v>
      </c>
      <c r="M260" s="211" t="s">
        <v>362</v>
      </c>
      <c r="N260" s="137" t="s">
        <v>351</v>
      </c>
      <c r="O260" s="212">
        <f>O242+O248-O254</f>
        <v>0</v>
      </c>
      <c r="P260" s="212">
        <f>P242+P248-P254</f>
        <v>0</v>
      </c>
      <c r="Q260" s="212">
        <f>Q242+Q248-Q254</f>
        <v>0</v>
      </c>
      <c r="R260" s="212">
        <f>R242+R248-R254</f>
        <v>0</v>
      </c>
      <c r="S260" s="212">
        <f>S242+S248-S254</f>
        <v>0</v>
      </c>
      <c r="T260" s="212">
        <f t="shared" si="52"/>
        <v>0</v>
      </c>
      <c r="U260" s="212">
        <f t="shared" si="52"/>
        <v>0</v>
      </c>
      <c r="V260" s="212">
        <f t="shared" si="52"/>
        <v>0</v>
      </c>
      <c r="W260" s="212">
        <f t="shared" si="52"/>
        <v>0</v>
      </c>
      <c r="X260" s="212">
        <f t="shared" si="52"/>
        <v>0</v>
      </c>
      <c r="Y260" s="212">
        <f t="shared" si="52"/>
        <v>0</v>
      </c>
      <c r="Z260" s="212">
        <f t="shared" si="52"/>
        <v>0</v>
      </c>
      <c r="AA260" s="212">
        <f t="shared" si="53"/>
        <v>0</v>
      </c>
      <c r="AB260" s="212">
        <f t="shared" si="53"/>
        <v>0</v>
      </c>
      <c r="AC260" s="212">
        <f t="shared" si="53"/>
        <v>0</v>
      </c>
      <c r="AD260" s="212">
        <f t="shared" si="53"/>
        <v>0</v>
      </c>
      <c r="AE260" s="212">
        <f t="shared" si="52"/>
        <v>0</v>
      </c>
      <c r="AF260" s="212">
        <f t="shared" si="52"/>
        <v>0</v>
      </c>
      <c r="AG260" s="212">
        <f t="shared" si="52"/>
        <v>0</v>
      </c>
      <c r="AH260" s="212">
        <f t="shared" si="52"/>
        <v>0</v>
      </c>
      <c r="AI260" s="212">
        <f t="shared" si="52"/>
        <v>0</v>
      </c>
      <c r="AJ260" s="212">
        <f t="shared" si="52"/>
        <v>0</v>
      </c>
      <c r="AK260" s="212">
        <f t="shared" si="52"/>
        <v>0</v>
      </c>
      <c r="AL260" s="212">
        <f>AL242+AL248-AL254</f>
        <v>0</v>
      </c>
      <c r="AM260" s="183"/>
    </row>
    <row r="261" spans="1:39" s="91" customFormat="1" outlineLevel="1">
      <c r="A261" s="578" t="str">
        <f t="shared" si="48"/>
        <v>1</v>
      </c>
      <c r="B261" s="91" t="s">
        <v>1559</v>
      </c>
      <c r="L261" s="210" t="s">
        <v>375</v>
      </c>
      <c r="M261" s="211" t="s">
        <v>364</v>
      </c>
      <c r="N261" s="137" t="s">
        <v>351</v>
      </c>
      <c r="O261" s="212">
        <f>O243+O249-O255</f>
        <v>0</v>
      </c>
      <c r="P261" s="212">
        <f>P243+P249-P255</f>
        <v>0</v>
      </c>
      <c r="Q261" s="212">
        <f>Q243+Q249-Q255</f>
        <v>0</v>
      </c>
      <c r="R261" s="212">
        <f>R243+R249-R255</f>
        <v>0</v>
      </c>
      <c r="S261" s="212">
        <f>S243+S249-S255</f>
        <v>0</v>
      </c>
      <c r="T261" s="212">
        <f t="shared" si="52"/>
        <v>0</v>
      </c>
      <c r="U261" s="212">
        <f t="shared" si="52"/>
        <v>0</v>
      </c>
      <c r="V261" s="212">
        <f t="shared" si="52"/>
        <v>0</v>
      </c>
      <c r="W261" s="212">
        <f t="shared" si="52"/>
        <v>0</v>
      </c>
      <c r="X261" s="212">
        <f t="shared" si="52"/>
        <v>0</v>
      </c>
      <c r="Y261" s="212">
        <f t="shared" si="52"/>
        <v>0</v>
      </c>
      <c r="Z261" s="212">
        <f t="shared" si="52"/>
        <v>0</v>
      </c>
      <c r="AA261" s="212">
        <f t="shared" si="53"/>
        <v>0</v>
      </c>
      <c r="AB261" s="212">
        <f t="shared" si="53"/>
        <v>0</v>
      </c>
      <c r="AC261" s="212">
        <f t="shared" si="53"/>
        <v>0</v>
      </c>
      <c r="AD261" s="212">
        <f t="shared" si="53"/>
        <v>0</v>
      </c>
      <c r="AE261" s="212">
        <f t="shared" si="52"/>
        <v>0</v>
      </c>
      <c r="AF261" s="212">
        <f t="shared" si="52"/>
        <v>0</v>
      </c>
      <c r="AG261" s="212">
        <f t="shared" si="52"/>
        <v>0</v>
      </c>
      <c r="AH261" s="212">
        <f t="shared" si="52"/>
        <v>0</v>
      </c>
      <c r="AI261" s="212">
        <f t="shared" si="52"/>
        <v>0</v>
      </c>
      <c r="AJ261" s="212">
        <f t="shared" si="52"/>
        <v>0</v>
      </c>
      <c r="AK261" s="212">
        <f t="shared" si="52"/>
        <v>0</v>
      </c>
      <c r="AL261" s="212">
        <f>AL243+AL249-AL255</f>
        <v>0</v>
      </c>
      <c r="AM261" s="183"/>
    </row>
    <row r="262" spans="1:39" s="93" customFormat="1" outlineLevel="1">
      <c r="A262" s="578" t="str">
        <f t="shared" si="48"/>
        <v>1</v>
      </c>
      <c r="B262" s="91" t="s">
        <v>1485</v>
      </c>
      <c r="L262" s="206">
        <v>5</v>
      </c>
      <c r="M262" s="207" t="s">
        <v>376</v>
      </c>
      <c r="N262" s="137" t="s">
        <v>351</v>
      </c>
      <c r="O262" s="209">
        <f>SUM(O263:O267)</f>
        <v>0</v>
      </c>
      <c r="P262" s="209">
        <f t="shared" ref="P262:AL262" si="54">SUM(P263:P267)</f>
        <v>0</v>
      </c>
      <c r="Q262" s="209">
        <f>SUM(Q263:Q267)</f>
        <v>0</v>
      </c>
      <c r="R262" s="209">
        <f t="shared" si="54"/>
        <v>0</v>
      </c>
      <c r="S262" s="209">
        <f t="shared" si="54"/>
        <v>0</v>
      </c>
      <c r="T262" s="209">
        <f t="shared" si="54"/>
        <v>0</v>
      </c>
      <c r="U262" s="209">
        <f t="shared" si="54"/>
        <v>0</v>
      </c>
      <c r="V262" s="209">
        <f t="shared" si="54"/>
        <v>0</v>
      </c>
      <c r="W262" s="209">
        <f t="shared" si="54"/>
        <v>0</v>
      </c>
      <c r="X262" s="209">
        <f t="shared" si="54"/>
        <v>0</v>
      </c>
      <c r="Y262" s="209">
        <f t="shared" si="54"/>
        <v>0</v>
      </c>
      <c r="Z262" s="209">
        <f t="shared" si="54"/>
        <v>0</v>
      </c>
      <c r="AA262" s="209">
        <f>SUM(AA263:AA267)</f>
        <v>0</v>
      </c>
      <c r="AB262" s="209">
        <f>SUM(AB263:AB267)</f>
        <v>0</v>
      </c>
      <c r="AC262" s="209">
        <f t="shared" si="54"/>
        <v>0</v>
      </c>
      <c r="AD262" s="209">
        <f t="shared" si="54"/>
        <v>0</v>
      </c>
      <c r="AE262" s="209">
        <f t="shared" si="54"/>
        <v>0</v>
      </c>
      <c r="AF262" s="209">
        <f t="shared" si="54"/>
        <v>0</v>
      </c>
      <c r="AG262" s="209">
        <f t="shared" si="54"/>
        <v>0</v>
      </c>
      <c r="AH262" s="209">
        <f t="shared" si="54"/>
        <v>0</v>
      </c>
      <c r="AI262" s="209">
        <f t="shared" si="54"/>
        <v>0</v>
      </c>
      <c r="AJ262" s="209">
        <f t="shared" si="54"/>
        <v>0</v>
      </c>
      <c r="AK262" s="209">
        <f t="shared" si="54"/>
        <v>0</v>
      </c>
      <c r="AL262" s="209">
        <f t="shared" si="54"/>
        <v>0</v>
      </c>
      <c r="AM262" s="183"/>
    </row>
    <row r="263" spans="1:39" s="91" customFormat="1" outlineLevel="1">
      <c r="A263" s="578" t="str">
        <f t="shared" si="48"/>
        <v>1</v>
      </c>
      <c r="B263" s="91" t="s">
        <v>1502</v>
      </c>
      <c r="L263" s="210" t="s">
        <v>122</v>
      </c>
      <c r="M263" s="211" t="s">
        <v>357</v>
      </c>
      <c r="N263" s="137" t="s">
        <v>351</v>
      </c>
      <c r="O263" s="212">
        <f>(O257+O239)/2</f>
        <v>0</v>
      </c>
      <c r="P263" s="212">
        <f t="shared" ref="P263:AL267" si="55">(P257+P239)/2</f>
        <v>0</v>
      </c>
      <c r="Q263" s="212">
        <f>(Q257+Q239)/2</f>
        <v>0</v>
      </c>
      <c r="R263" s="212">
        <f t="shared" si="55"/>
        <v>0</v>
      </c>
      <c r="S263" s="212">
        <f t="shared" si="55"/>
        <v>0</v>
      </c>
      <c r="T263" s="212">
        <f t="shared" si="55"/>
        <v>0</v>
      </c>
      <c r="U263" s="212">
        <f t="shared" si="55"/>
        <v>0</v>
      </c>
      <c r="V263" s="212">
        <f t="shared" si="55"/>
        <v>0</v>
      </c>
      <c r="W263" s="212">
        <f t="shared" si="55"/>
        <v>0</v>
      </c>
      <c r="X263" s="212">
        <f t="shared" si="55"/>
        <v>0</v>
      </c>
      <c r="Y263" s="212">
        <f t="shared" si="55"/>
        <v>0</v>
      </c>
      <c r="Z263" s="212">
        <f t="shared" si="55"/>
        <v>0</v>
      </c>
      <c r="AA263" s="212">
        <f t="shared" si="55"/>
        <v>0</v>
      </c>
      <c r="AB263" s="212">
        <f t="shared" si="55"/>
        <v>0</v>
      </c>
      <c r="AC263" s="212">
        <f t="shared" si="55"/>
        <v>0</v>
      </c>
      <c r="AD263" s="212">
        <f t="shared" si="55"/>
        <v>0</v>
      </c>
      <c r="AE263" s="212">
        <f t="shared" si="55"/>
        <v>0</v>
      </c>
      <c r="AF263" s="212">
        <f t="shared" si="55"/>
        <v>0</v>
      </c>
      <c r="AG263" s="212">
        <f t="shared" si="55"/>
        <v>0</v>
      </c>
      <c r="AH263" s="212">
        <f t="shared" si="55"/>
        <v>0</v>
      </c>
      <c r="AI263" s="212">
        <f t="shared" si="55"/>
        <v>0</v>
      </c>
      <c r="AJ263" s="212">
        <f t="shared" si="55"/>
        <v>0</v>
      </c>
      <c r="AK263" s="212">
        <f t="shared" si="55"/>
        <v>0</v>
      </c>
      <c r="AL263" s="212">
        <f t="shared" si="55"/>
        <v>0</v>
      </c>
      <c r="AM263" s="183"/>
    </row>
    <row r="264" spans="1:39" s="91" customFormat="1" outlineLevel="1">
      <c r="A264" s="578" t="str">
        <f t="shared" si="48"/>
        <v>1</v>
      </c>
      <c r="B264" s="91" t="s">
        <v>1503</v>
      </c>
      <c r="L264" s="210" t="s">
        <v>123</v>
      </c>
      <c r="M264" s="211" t="s">
        <v>358</v>
      </c>
      <c r="N264" s="137" t="s">
        <v>351</v>
      </c>
      <c r="O264" s="212">
        <f>(O258+O240)/2</f>
        <v>0</v>
      </c>
      <c r="P264" s="212">
        <f t="shared" si="55"/>
        <v>0</v>
      </c>
      <c r="Q264" s="212">
        <f>(Q258+Q240)/2</f>
        <v>0</v>
      </c>
      <c r="R264" s="212">
        <f t="shared" si="55"/>
        <v>0</v>
      </c>
      <c r="S264" s="212">
        <f t="shared" si="55"/>
        <v>0</v>
      </c>
      <c r="T264" s="212">
        <f t="shared" si="55"/>
        <v>0</v>
      </c>
      <c r="U264" s="212">
        <f t="shared" si="55"/>
        <v>0</v>
      </c>
      <c r="V264" s="212">
        <f t="shared" si="55"/>
        <v>0</v>
      </c>
      <c r="W264" s="212">
        <f t="shared" si="55"/>
        <v>0</v>
      </c>
      <c r="X264" s="212">
        <f t="shared" si="55"/>
        <v>0</v>
      </c>
      <c r="Y264" s="212">
        <f t="shared" si="55"/>
        <v>0</v>
      </c>
      <c r="Z264" s="212">
        <f t="shared" si="55"/>
        <v>0</v>
      </c>
      <c r="AA264" s="212">
        <f t="shared" si="55"/>
        <v>0</v>
      </c>
      <c r="AB264" s="212">
        <f t="shared" si="55"/>
        <v>0</v>
      </c>
      <c r="AC264" s="212">
        <f t="shared" si="55"/>
        <v>0</v>
      </c>
      <c r="AD264" s="212">
        <f t="shared" si="55"/>
        <v>0</v>
      </c>
      <c r="AE264" s="212">
        <f t="shared" si="55"/>
        <v>0</v>
      </c>
      <c r="AF264" s="212">
        <f t="shared" si="55"/>
        <v>0</v>
      </c>
      <c r="AG264" s="212">
        <f t="shared" si="55"/>
        <v>0</v>
      </c>
      <c r="AH264" s="212">
        <f t="shared" si="55"/>
        <v>0</v>
      </c>
      <c r="AI264" s="212">
        <f t="shared" si="55"/>
        <v>0</v>
      </c>
      <c r="AJ264" s="212">
        <f t="shared" si="55"/>
        <v>0</v>
      </c>
      <c r="AK264" s="212">
        <f t="shared" si="55"/>
        <v>0</v>
      </c>
      <c r="AL264" s="212">
        <f t="shared" si="55"/>
        <v>0</v>
      </c>
      <c r="AM264" s="183"/>
    </row>
    <row r="265" spans="1:39" s="91" customFormat="1" outlineLevel="1">
      <c r="A265" s="578" t="str">
        <f t="shared" si="48"/>
        <v>1</v>
      </c>
      <c r="B265" s="91" t="s">
        <v>1543</v>
      </c>
      <c r="L265" s="210" t="s">
        <v>377</v>
      </c>
      <c r="M265" s="211" t="s">
        <v>360</v>
      </c>
      <c r="N265" s="137" t="s">
        <v>351</v>
      </c>
      <c r="O265" s="212">
        <f>(O259+O241)/2</f>
        <v>0</v>
      </c>
      <c r="P265" s="212">
        <f t="shared" si="55"/>
        <v>0</v>
      </c>
      <c r="Q265" s="212">
        <f>(Q259+Q241)/2</f>
        <v>0</v>
      </c>
      <c r="R265" s="212">
        <f t="shared" si="55"/>
        <v>0</v>
      </c>
      <c r="S265" s="212">
        <f t="shared" si="55"/>
        <v>0</v>
      </c>
      <c r="T265" s="212">
        <f t="shared" si="55"/>
        <v>0</v>
      </c>
      <c r="U265" s="212">
        <f t="shared" si="55"/>
        <v>0</v>
      </c>
      <c r="V265" s="212">
        <f t="shared" si="55"/>
        <v>0</v>
      </c>
      <c r="W265" s="212">
        <f t="shared" si="55"/>
        <v>0</v>
      </c>
      <c r="X265" s="212">
        <f t="shared" si="55"/>
        <v>0</v>
      </c>
      <c r="Y265" s="212">
        <f t="shared" si="55"/>
        <v>0</v>
      </c>
      <c r="Z265" s="212">
        <f t="shared" si="55"/>
        <v>0</v>
      </c>
      <c r="AA265" s="212">
        <f t="shared" si="55"/>
        <v>0</v>
      </c>
      <c r="AB265" s="212">
        <f t="shared" si="55"/>
        <v>0</v>
      </c>
      <c r="AC265" s="212">
        <f t="shared" si="55"/>
        <v>0</v>
      </c>
      <c r="AD265" s="212">
        <f t="shared" si="55"/>
        <v>0</v>
      </c>
      <c r="AE265" s="212">
        <f t="shared" si="55"/>
        <v>0</v>
      </c>
      <c r="AF265" s="212">
        <f t="shared" si="55"/>
        <v>0</v>
      </c>
      <c r="AG265" s="212">
        <f t="shared" si="55"/>
        <v>0</v>
      </c>
      <c r="AH265" s="212">
        <f t="shared" si="55"/>
        <v>0</v>
      </c>
      <c r="AI265" s="212">
        <f t="shared" si="55"/>
        <v>0</v>
      </c>
      <c r="AJ265" s="212">
        <f t="shared" si="55"/>
        <v>0</v>
      </c>
      <c r="AK265" s="212">
        <f t="shared" si="55"/>
        <v>0</v>
      </c>
      <c r="AL265" s="212">
        <f t="shared" si="55"/>
        <v>0</v>
      </c>
      <c r="AM265" s="183"/>
    </row>
    <row r="266" spans="1:39" s="91" customFormat="1" outlineLevel="1">
      <c r="A266" s="578" t="str">
        <f t="shared" si="48"/>
        <v>1</v>
      </c>
      <c r="B266" s="91" t="s">
        <v>1560</v>
      </c>
      <c r="L266" s="210" t="s">
        <v>378</v>
      </c>
      <c r="M266" s="211" t="s">
        <v>362</v>
      </c>
      <c r="N266" s="137" t="s">
        <v>351</v>
      </c>
      <c r="O266" s="212">
        <f>(O260+O242)/2</f>
        <v>0</v>
      </c>
      <c r="P266" s="212">
        <f t="shared" si="55"/>
        <v>0</v>
      </c>
      <c r="Q266" s="212">
        <f>(Q260+Q242)/2</f>
        <v>0</v>
      </c>
      <c r="R266" s="212">
        <f t="shared" si="55"/>
        <v>0</v>
      </c>
      <c r="S266" s="212">
        <f t="shared" si="55"/>
        <v>0</v>
      </c>
      <c r="T266" s="212">
        <f t="shared" si="55"/>
        <v>0</v>
      </c>
      <c r="U266" s="212">
        <f t="shared" si="55"/>
        <v>0</v>
      </c>
      <c r="V266" s="212">
        <f t="shared" si="55"/>
        <v>0</v>
      </c>
      <c r="W266" s="212">
        <f t="shared" si="55"/>
        <v>0</v>
      </c>
      <c r="X266" s="212">
        <f t="shared" si="55"/>
        <v>0</v>
      </c>
      <c r="Y266" s="212">
        <f t="shared" si="55"/>
        <v>0</v>
      </c>
      <c r="Z266" s="212">
        <f t="shared" si="55"/>
        <v>0</v>
      </c>
      <c r="AA266" s="212">
        <f t="shared" si="55"/>
        <v>0</v>
      </c>
      <c r="AB266" s="212">
        <f t="shared" si="55"/>
        <v>0</v>
      </c>
      <c r="AC266" s="212">
        <f t="shared" si="55"/>
        <v>0</v>
      </c>
      <c r="AD266" s="212">
        <f t="shared" si="55"/>
        <v>0</v>
      </c>
      <c r="AE266" s="212">
        <f t="shared" si="55"/>
        <v>0</v>
      </c>
      <c r="AF266" s="212">
        <f t="shared" si="55"/>
        <v>0</v>
      </c>
      <c r="AG266" s="212">
        <f t="shared" si="55"/>
        <v>0</v>
      </c>
      <c r="AH266" s="212">
        <f t="shared" si="55"/>
        <v>0</v>
      </c>
      <c r="AI266" s="212">
        <f t="shared" si="55"/>
        <v>0</v>
      </c>
      <c r="AJ266" s="212">
        <f t="shared" si="55"/>
        <v>0</v>
      </c>
      <c r="AK266" s="212">
        <f t="shared" si="55"/>
        <v>0</v>
      </c>
      <c r="AL266" s="212">
        <f t="shared" si="55"/>
        <v>0</v>
      </c>
      <c r="AM266" s="183"/>
    </row>
    <row r="267" spans="1:39" s="91" customFormat="1" outlineLevel="1">
      <c r="A267" s="578" t="str">
        <f t="shared" si="48"/>
        <v>1</v>
      </c>
      <c r="B267" s="91" t="s">
        <v>1561</v>
      </c>
      <c r="L267" s="210" t="s">
        <v>379</v>
      </c>
      <c r="M267" s="211" t="s">
        <v>364</v>
      </c>
      <c r="N267" s="137" t="s">
        <v>351</v>
      </c>
      <c r="O267" s="212">
        <f>(O261+O243)/2</f>
        <v>0</v>
      </c>
      <c r="P267" s="212">
        <f t="shared" si="55"/>
        <v>0</v>
      </c>
      <c r="Q267" s="212">
        <f>(Q261+Q243)/2</f>
        <v>0</v>
      </c>
      <c r="R267" s="212">
        <f t="shared" si="55"/>
        <v>0</v>
      </c>
      <c r="S267" s="212">
        <f t="shared" si="55"/>
        <v>0</v>
      </c>
      <c r="T267" s="212">
        <f t="shared" si="55"/>
        <v>0</v>
      </c>
      <c r="U267" s="212">
        <f t="shared" si="55"/>
        <v>0</v>
      </c>
      <c r="V267" s="212">
        <f t="shared" si="55"/>
        <v>0</v>
      </c>
      <c r="W267" s="212">
        <f t="shared" si="55"/>
        <v>0</v>
      </c>
      <c r="X267" s="212">
        <f t="shared" si="55"/>
        <v>0</v>
      </c>
      <c r="Y267" s="212">
        <f t="shared" si="55"/>
        <v>0</v>
      </c>
      <c r="Z267" s="212">
        <f t="shared" si="55"/>
        <v>0</v>
      </c>
      <c r="AA267" s="212">
        <f t="shared" si="55"/>
        <v>0</v>
      </c>
      <c r="AB267" s="212">
        <f t="shared" si="55"/>
        <v>0</v>
      </c>
      <c r="AC267" s="212">
        <f t="shared" si="55"/>
        <v>0</v>
      </c>
      <c r="AD267" s="212">
        <f t="shared" si="55"/>
        <v>0</v>
      </c>
      <c r="AE267" s="212">
        <f t="shared" si="55"/>
        <v>0</v>
      </c>
      <c r="AF267" s="212">
        <f t="shared" si="55"/>
        <v>0</v>
      </c>
      <c r="AG267" s="212">
        <f t="shared" si="55"/>
        <v>0</v>
      </c>
      <c r="AH267" s="212">
        <f t="shared" si="55"/>
        <v>0</v>
      </c>
      <c r="AI267" s="212">
        <f t="shared" si="55"/>
        <v>0</v>
      </c>
      <c r="AJ267" s="212">
        <f t="shared" si="55"/>
        <v>0</v>
      </c>
      <c r="AK267" s="212">
        <f t="shared" si="55"/>
        <v>0</v>
      </c>
      <c r="AL267" s="212">
        <f t="shared" si="55"/>
        <v>0</v>
      </c>
      <c r="AM267" s="183"/>
    </row>
    <row r="268" spans="1:39" s="93" customFormat="1" outlineLevel="1">
      <c r="A268" s="578" t="str">
        <f t="shared" si="48"/>
        <v>1</v>
      </c>
      <c r="B268" s="91" t="s">
        <v>1486</v>
      </c>
      <c r="L268" s="206">
        <v>6</v>
      </c>
      <c r="M268" s="207" t="s">
        <v>380</v>
      </c>
      <c r="N268" s="213"/>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183"/>
    </row>
    <row r="269" spans="1:39" s="91" customFormat="1" outlineLevel="1">
      <c r="A269" s="578" t="str">
        <f t="shared" si="48"/>
        <v>1</v>
      </c>
      <c r="B269" s="91" t="s">
        <v>1526</v>
      </c>
      <c r="L269" s="210" t="s">
        <v>179</v>
      </c>
      <c r="M269" s="211" t="s">
        <v>357</v>
      </c>
      <c r="N269" s="208" t="s">
        <v>137</v>
      </c>
      <c r="O269" s="212">
        <f t="shared" ref="O269:AD269" si="56">IF(O263=0,0,O275/O263*100)</f>
        <v>0</v>
      </c>
      <c r="P269" s="212">
        <f t="shared" si="56"/>
        <v>0</v>
      </c>
      <c r="Q269" s="212">
        <f t="shared" si="56"/>
        <v>0</v>
      </c>
      <c r="R269" s="212">
        <f t="shared" si="56"/>
        <v>0</v>
      </c>
      <c r="S269" s="212">
        <f t="shared" si="56"/>
        <v>0</v>
      </c>
      <c r="T269" s="212">
        <f t="shared" si="56"/>
        <v>0</v>
      </c>
      <c r="U269" s="212">
        <f t="shared" si="56"/>
        <v>0</v>
      </c>
      <c r="V269" s="212">
        <f t="shared" si="56"/>
        <v>0</v>
      </c>
      <c r="W269" s="212">
        <f t="shared" si="56"/>
        <v>0</v>
      </c>
      <c r="X269" s="212">
        <f t="shared" si="56"/>
        <v>0</v>
      </c>
      <c r="Y269" s="212">
        <f t="shared" si="56"/>
        <v>0</v>
      </c>
      <c r="Z269" s="212">
        <f t="shared" si="56"/>
        <v>0</v>
      </c>
      <c r="AA269" s="212">
        <f t="shared" si="56"/>
        <v>0</v>
      </c>
      <c r="AB269" s="212">
        <f t="shared" si="56"/>
        <v>0</v>
      </c>
      <c r="AC269" s="212">
        <f t="shared" si="56"/>
        <v>0</v>
      </c>
      <c r="AD269" s="212">
        <f t="shared" si="56"/>
        <v>0</v>
      </c>
      <c r="AE269" s="212">
        <f t="shared" ref="P269:AL273" si="57">IF(AE263=0,0,AE275/AE263*100)</f>
        <v>0</v>
      </c>
      <c r="AF269" s="212">
        <f t="shared" si="57"/>
        <v>0</v>
      </c>
      <c r="AG269" s="212">
        <f t="shared" si="57"/>
        <v>0</v>
      </c>
      <c r="AH269" s="212">
        <f t="shared" si="57"/>
        <v>0</v>
      </c>
      <c r="AI269" s="212">
        <f t="shared" si="57"/>
        <v>0</v>
      </c>
      <c r="AJ269" s="212">
        <f t="shared" si="57"/>
        <v>0</v>
      </c>
      <c r="AK269" s="212">
        <f t="shared" si="57"/>
        <v>0</v>
      </c>
      <c r="AL269" s="212">
        <f t="shared" si="57"/>
        <v>0</v>
      </c>
      <c r="AM269" s="183"/>
    </row>
    <row r="270" spans="1:39" s="91" customFormat="1" outlineLevel="1">
      <c r="A270" s="578" t="str">
        <f t="shared" si="48"/>
        <v>1</v>
      </c>
      <c r="B270" s="91" t="s">
        <v>1527</v>
      </c>
      <c r="L270" s="210" t="s">
        <v>180</v>
      </c>
      <c r="M270" s="211" t="s">
        <v>358</v>
      </c>
      <c r="N270" s="208" t="s">
        <v>137</v>
      </c>
      <c r="O270" s="212">
        <f>IF(O264=0,0,O276/O264*100)</f>
        <v>0</v>
      </c>
      <c r="P270" s="212">
        <f t="shared" si="57"/>
        <v>0</v>
      </c>
      <c r="Q270" s="212">
        <f t="shared" si="57"/>
        <v>0</v>
      </c>
      <c r="R270" s="212">
        <f t="shared" si="57"/>
        <v>0</v>
      </c>
      <c r="S270" s="212">
        <f t="shared" si="57"/>
        <v>0</v>
      </c>
      <c r="T270" s="212">
        <f t="shared" si="57"/>
        <v>0</v>
      </c>
      <c r="U270" s="212">
        <f t="shared" si="57"/>
        <v>0</v>
      </c>
      <c r="V270" s="212">
        <f t="shared" si="57"/>
        <v>0</v>
      </c>
      <c r="W270" s="212">
        <f t="shared" si="57"/>
        <v>0</v>
      </c>
      <c r="X270" s="212">
        <f t="shared" si="57"/>
        <v>0</v>
      </c>
      <c r="Y270" s="212">
        <f t="shared" si="57"/>
        <v>0</v>
      </c>
      <c r="Z270" s="212">
        <f t="shared" si="57"/>
        <v>0</v>
      </c>
      <c r="AA270" s="212">
        <f t="shared" si="57"/>
        <v>0</v>
      </c>
      <c r="AB270" s="212">
        <f t="shared" si="57"/>
        <v>0</v>
      </c>
      <c r="AC270" s="212">
        <f t="shared" si="57"/>
        <v>0</v>
      </c>
      <c r="AD270" s="212">
        <f t="shared" si="57"/>
        <v>0</v>
      </c>
      <c r="AE270" s="212">
        <f t="shared" si="57"/>
        <v>0</v>
      </c>
      <c r="AF270" s="212">
        <f t="shared" si="57"/>
        <v>0</v>
      </c>
      <c r="AG270" s="212">
        <f t="shared" si="57"/>
        <v>0</v>
      </c>
      <c r="AH270" s="212">
        <f t="shared" si="57"/>
        <v>0</v>
      </c>
      <c r="AI270" s="212">
        <f t="shared" si="57"/>
        <v>0</v>
      </c>
      <c r="AJ270" s="212">
        <f t="shared" si="57"/>
        <v>0</v>
      </c>
      <c r="AK270" s="212">
        <f t="shared" si="57"/>
        <v>0</v>
      </c>
      <c r="AL270" s="212">
        <f t="shared" si="57"/>
        <v>0</v>
      </c>
      <c r="AM270" s="183"/>
    </row>
    <row r="271" spans="1:39" s="91" customFormat="1" outlineLevel="1">
      <c r="A271" s="578" t="str">
        <f t="shared" si="48"/>
        <v>1</v>
      </c>
      <c r="B271" s="91" t="s">
        <v>1534</v>
      </c>
      <c r="L271" s="210" t="s">
        <v>381</v>
      </c>
      <c r="M271" s="211" t="s">
        <v>360</v>
      </c>
      <c r="N271" s="208" t="s">
        <v>137</v>
      </c>
      <c r="O271" s="212">
        <f>IF(O265=0,0,O277/O265*100)</f>
        <v>0</v>
      </c>
      <c r="P271" s="212">
        <f t="shared" si="57"/>
        <v>0</v>
      </c>
      <c r="Q271" s="212">
        <f t="shared" si="57"/>
        <v>0</v>
      </c>
      <c r="R271" s="212">
        <f t="shared" si="57"/>
        <v>0</v>
      </c>
      <c r="S271" s="212">
        <f t="shared" si="57"/>
        <v>0</v>
      </c>
      <c r="T271" s="212">
        <f t="shared" si="57"/>
        <v>0</v>
      </c>
      <c r="U271" s="212">
        <f t="shared" si="57"/>
        <v>0</v>
      </c>
      <c r="V271" s="212">
        <f t="shared" si="57"/>
        <v>0</v>
      </c>
      <c r="W271" s="212">
        <f t="shared" si="57"/>
        <v>0</v>
      </c>
      <c r="X271" s="212">
        <f t="shared" si="57"/>
        <v>0</v>
      </c>
      <c r="Y271" s="212">
        <f t="shared" si="57"/>
        <v>0</v>
      </c>
      <c r="Z271" s="212">
        <f t="shared" si="57"/>
        <v>0</v>
      </c>
      <c r="AA271" s="212">
        <f t="shared" si="57"/>
        <v>0</v>
      </c>
      <c r="AB271" s="212">
        <f t="shared" si="57"/>
        <v>0</v>
      </c>
      <c r="AC271" s="212">
        <f t="shared" si="57"/>
        <v>0</v>
      </c>
      <c r="AD271" s="212">
        <f t="shared" si="57"/>
        <v>0</v>
      </c>
      <c r="AE271" s="212">
        <f t="shared" si="57"/>
        <v>0</v>
      </c>
      <c r="AF271" s="212">
        <f t="shared" si="57"/>
        <v>0</v>
      </c>
      <c r="AG271" s="212">
        <f t="shared" si="57"/>
        <v>0</v>
      </c>
      <c r="AH271" s="212">
        <f t="shared" si="57"/>
        <v>0</v>
      </c>
      <c r="AI271" s="212">
        <f t="shared" si="57"/>
        <v>0</v>
      </c>
      <c r="AJ271" s="212">
        <f t="shared" si="57"/>
        <v>0</v>
      </c>
      <c r="AK271" s="212">
        <f t="shared" si="57"/>
        <v>0</v>
      </c>
      <c r="AL271" s="212">
        <f t="shared" si="57"/>
        <v>0</v>
      </c>
      <c r="AM271" s="183"/>
    </row>
    <row r="272" spans="1:39" s="91" customFormat="1" outlineLevel="1">
      <c r="A272" s="578" t="str">
        <f t="shared" si="48"/>
        <v>1</v>
      </c>
      <c r="B272" s="91" t="s">
        <v>1537</v>
      </c>
      <c r="L272" s="210" t="s">
        <v>382</v>
      </c>
      <c r="M272" s="211" t="s">
        <v>362</v>
      </c>
      <c r="N272" s="208" t="s">
        <v>137</v>
      </c>
      <c r="O272" s="212">
        <f>IF(O266=0,0,O278/O266*100)</f>
        <v>0</v>
      </c>
      <c r="P272" s="212">
        <f t="shared" si="57"/>
        <v>0</v>
      </c>
      <c r="Q272" s="212">
        <f t="shared" si="57"/>
        <v>0</v>
      </c>
      <c r="R272" s="212">
        <f t="shared" si="57"/>
        <v>0</v>
      </c>
      <c r="S272" s="212">
        <f t="shared" si="57"/>
        <v>0</v>
      </c>
      <c r="T272" s="212">
        <f t="shared" si="57"/>
        <v>0</v>
      </c>
      <c r="U272" s="212">
        <f t="shared" si="57"/>
        <v>0</v>
      </c>
      <c r="V272" s="212">
        <f t="shared" si="57"/>
        <v>0</v>
      </c>
      <c r="W272" s="212">
        <f t="shared" si="57"/>
        <v>0</v>
      </c>
      <c r="X272" s="212">
        <f t="shared" si="57"/>
        <v>0</v>
      </c>
      <c r="Y272" s="212">
        <f t="shared" si="57"/>
        <v>0</v>
      </c>
      <c r="Z272" s="212">
        <f t="shared" si="57"/>
        <v>0</v>
      </c>
      <c r="AA272" s="212">
        <f t="shared" si="57"/>
        <v>0</v>
      </c>
      <c r="AB272" s="212">
        <f t="shared" si="57"/>
        <v>0</v>
      </c>
      <c r="AC272" s="212">
        <f t="shared" si="57"/>
        <v>0</v>
      </c>
      <c r="AD272" s="212">
        <f t="shared" si="57"/>
        <v>0</v>
      </c>
      <c r="AE272" s="212">
        <f t="shared" si="57"/>
        <v>0</v>
      </c>
      <c r="AF272" s="212">
        <f t="shared" si="57"/>
        <v>0</v>
      </c>
      <c r="AG272" s="212">
        <f t="shared" si="57"/>
        <v>0</v>
      </c>
      <c r="AH272" s="212">
        <f t="shared" si="57"/>
        <v>0</v>
      </c>
      <c r="AI272" s="212">
        <f t="shared" si="57"/>
        <v>0</v>
      </c>
      <c r="AJ272" s="212">
        <f t="shared" si="57"/>
        <v>0</v>
      </c>
      <c r="AK272" s="212">
        <f t="shared" si="57"/>
        <v>0</v>
      </c>
      <c r="AL272" s="212">
        <f t="shared" si="57"/>
        <v>0</v>
      </c>
      <c r="AM272" s="183"/>
    </row>
    <row r="273" spans="1:39" s="91" customFormat="1" outlineLevel="1">
      <c r="A273" s="578" t="str">
        <f t="shared" si="48"/>
        <v>1</v>
      </c>
      <c r="B273" s="91" t="s">
        <v>1540</v>
      </c>
      <c r="L273" s="210" t="s">
        <v>383</v>
      </c>
      <c r="M273" s="211" t="s">
        <v>364</v>
      </c>
      <c r="N273" s="208" t="s">
        <v>137</v>
      </c>
      <c r="O273" s="212">
        <f>IF(O267=0,0,O279/O267*100)</f>
        <v>0</v>
      </c>
      <c r="P273" s="212">
        <f t="shared" si="57"/>
        <v>0</v>
      </c>
      <c r="Q273" s="212">
        <f t="shared" si="57"/>
        <v>0</v>
      </c>
      <c r="R273" s="212">
        <f t="shared" si="57"/>
        <v>0</v>
      </c>
      <c r="S273" s="212">
        <f t="shared" si="57"/>
        <v>0</v>
      </c>
      <c r="T273" s="212">
        <f t="shared" si="57"/>
        <v>0</v>
      </c>
      <c r="U273" s="212">
        <f t="shared" si="57"/>
        <v>0</v>
      </c>
      <c r="V273" s="212">
        <f t="shared" si="57"/>
        <v>0</v>
      </c>
      <c r="W273" s="212">
        <f t="shared" si="57"/>
        <v>0</v>
      </c>
      <c r="X273" s="212">
        <f t="shared" si="57"/>
        <v>0</v>
      </c>
      <c r="Y273" s="212">
        <f t="shared" si="57"/>
        <v>0</v>
      </c>
      <c r="Z273" s="212">
        <f t="shared" si="57"/>
        <v>0</v>
      </c>
      <c r="AA273" s="212">
        <f t="shared" si="57"/>
        <v>0</v>
      </c>
      <c r="AB273" s="212">
        <f t="shared" si="57"/>
        <v>0</v>
      </c>
      <c r="AC273" s="212">
        <f t="shared" si="57"/>
        <v>0</v>
      </c>
      <c r="AD273" s="212">
        <f t="shared" si="57"/>
        <v>0</v>
      </c>
      <c r="AE273" s="212">
        <f t="shared" si="57"/>
        <v>0</v>
      </c>
      <c r="AF273" s="212">
        <f t="shared" si="57"/>
        <v>0</v>
      </c>
      <c r="AG273" s="212">
        <f t="shared" si="57"/>
        <v>0</v>
      </c>
      <c r="AH273" s="212">
        <f t="shared" si="57"/>
        <v>0</v>
      </c>
      <c r="AI273" s="212">
        <f t="shared" si="57"/>
        <v>0</v>
      </c>
      <c r="AJ273" s="212">
        <f t="shared" si="57"/>
        <v>0</v>
      </c>
      <c r="AK273" s="212">
        <f t="shared" si="57"/>
        <v>0</v>
      </c>
      <c r="AL273" s="212">
        <f t="shared" si="57"/>
        <v>0</v>
      </c>
      <c r="AM273" s="183"/>
    </row>
    <row r="274" spans="1:39" s="93" customFormat="1" outlineLevel="1">
      <c r="A274" s="578" t="str">
        <f t="shared" si="48"/>
        <v>1</v>
      </c>
      <c r="B274" s="91" t="s">
        <v>1487</v>
      </c>
      <c r="L274" s="206">
        <v>7</v>
      </c>
      <c r="M274" s="207" t="s">
        <v>384</v>
      </c>
      <c r="N274" s="137" t="s">
        <v>351</v>
      </c>
      <c r="O274" s="209">
        <f t="shared" ref="O274:AL274" si="58">SUM(O275:O279)</f>
        <v>0</v>
      </c>
      <c r="P274" s="209">
        <f t="shared" si="58"/>
        <v>0</v>
      </c>
      <c r="Q274" s="209">
        <f>SUM(Q275:Q279)</f>
        <v>0</v>
      </c>
      <c r="R274" s="209">
        <f t="shared" si="58"/>
        <v>0</v>
      </c>
      <c r="S274" s="209">
        <f t="shared" si="58"/>
        <v>0</v>
      </c>
      <c r="T274" s="209">
        <f t="shared" si="58"/>
        <v>0</v>
      </c>
      <c r="U274" s="209">
        <f t="shared" si="58"/>
        <v>0</v>
      </c>
      <c r="V274" s="209">
        <f t="shared" si="58"/>
        <v>0</v>
      </c>
      <c r="W274" s="209">
        <f t="shared" si="58"/>
        <v>0</v>
      </c>
      <c r="X274" s="209">
        <f t="shared" si="58"/>
        <v>0</v>
      </c>
      <c r="Y274" s="209">
        <f t="shared" si="58"/>
        <v>0</v>
      </c>
      <c r="Z274" s="209">
        <f t="shared" si="58"/>
        <v>0</v>
      </c>
      <c r="AA274" s="209">
        <f>SUM(AA275:AA279)</f>
        <v>0</v>
      </c>
      <c r="AB274" s="209">
        <f>SUM(AB275:AB279)</f>
        <v>0</v>
      </c>
      <c r="AC274" s="209">
        <f t="shared" si="58"/>
        <v>0</v>
      </c>
      <c r="AD274" s="209">
        <f t="shared" si="58"/>
        <v>0</v>
      </c>
      <c r="AE274" s="209">
        <f t="shared" si="58"/>
        <v>0</v>
      </c>
      <c r="AF274" s="209">
        <f t="shared" si="58"/>
        <v>0</v>
      </c>
      <c r="AG274" s="209">
        <f t="shared" si="58"/>
        <v>0</v>
      </c>
      <c r="AH274" s="209">
        <f t="shared" si="58"/>
        <v>0</v>
      </c>
      <c r="AI274" s="209">
        <f t="shared" si="58"/>
        <v>0</v>
      </c>
      <c r="AJ274" s="209">
        <f t="shared" si="58"/>
        <v>0</v>
      </c>
      <c r="AK274" s="209">
        <f t="shared" si="58"/>
        <v>0</v>
      </c>
      <c r="AL274" s="209">
        <f t="shared" si="58"/>
        <v>0</v>
      </c>
      <c r="AM274" s="183"/>
    </row>
    <row r="275" spans="1:39" s="91" customFormat="1" outlineLevel="1">
      <c r="A275" s="578" t="str">
        <f t="shared" si="48"/>
        <v>1</v>
      </c>
      <c r="B275" s="91" t="s">
        <v>1528</v>
      </c>
      <c r="L275" s="210" t="s">
        <v>181</v>
      </c>
      <c r="M275" s="211" t="s">
        <v>357</v>
      </c>
      <c r="N275" s="137" t="s">
        <v>351</v>
      </c>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183"/>
    </row>
    <row r="276" spans="1:39" s="91" customFormat="1" outlineLevel="1">
      <c r="A276" s="578" t="str">
        <f t="shared" si="48"/>
        <v>1</v>
      </c>
      <c r="B276" s="91" t="s">
        <v>1529</v>
      </c>
      <c r="L276" s="210" t="s">
        <v>182</v>
      </c>
      <c r="M276" s="211" t="s">
        <v>358</v>
      </c>
      <c r="N276" s="137" t="s">
        <v>351</v>
      </c>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183"/>
    </row>
    <row r="277" spans="1:39" s="91" customFormat="1" outlineLevel="1">
      <c r="A277" s="578" t="str">
        <f t="shared" si="48"/>
        <v>1</v>
      </c>
      <c r="B277" s="91" t="s">
        <v>1562</v>
      </c>
      <c r="L277" s="210" t="s">
        <v>385</v>
      </c>
      <c r="M277" s="211" t="s">
        <v>360</v>
      </c>
      <c r="N277" s="137" t="s">
        <v>351</v>
      </c>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183"/>
    </row>
    <row r="278" spans="1:39" s="91" customFormat="1" outlineLevel="1">
      <c r="A278" s="578" t="str">
        <f t="shared" si="48"/>
        <v>1</v>
      </c>
      <c r="B278" s="91" t="s">
        <v>1563</v>
      </c>
      <c r="L278" s="210" t="s">
        <v>386</v>
      </c>
      <c r="M278" s="211" t="s">
        <v>362</v>
      </c>
      <c r="N278" s="137" t="s">
        <v>351</v>
      </c>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183"/>
    </row>
    <row r="279" spans="1:39" s="91" customFormat="1" outlineLevel="1">
      <c r="A279" s="578" t="str">
        <f t="shared" si="48"/>
        <v>1</v>
      </c>
      <c r="B279" s="91" t="s">
        <v>1564</v>
      </c>
      <c r="L279" s="210" t="s">
        <v>387</v>
      </c>
      <c r="M279" s="211" t="s">
        <v>364</v>
      </c>
      <c r="N279" s="137" t="s">
        <v>351</v>
      </c>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183"/>
    </row>
    <row r="280" spans="1:39" s="93" customFormat="1" outlineLevel="1">
      <c r="A280" s="578" t="str">
        <f t="shared" si="48"/>
        <v>1</v>
      </c>
      <c r="B280" s="91" t="s">
        <v>1494</v>
      </c>
      <c r="L280" s="206">
        <v>8</v>
      </c>
      <c r="M280" s="207" t="s">
        <v>388</v>
      </c>
      <c r="N280" s="137" t="s">
        <v>351</v>
      </c>
      <c r="O280" s="209">
        <f t="shared" ref="O280:AL280" si="59">SUM(O281:O285)</f>
        <v>0</v>
      </c>
      <c r="P280" s="209">
        <f t="shared" si="59"/>
        <v>0</v>
      </c>
      <c r="Q280" s="209">
        <f>SUM(Q281:Q285)</f>
        <v>0</v>
      </c>
      <c r="R280" s="209">
        <f t="shared" si="59"/>
        <v>0</v>
      </c>
      <c r="S280" s="209">
        <f t="shared" si="59"/>
        <v>0</v>
      </c>
      <c r="T280" s="209">
        <f t="shared" si="59"/>
        <v>0</v>
      </c>
      <c r="U280" s="209">
        <f t="shared" si="59"/>
        <v>0</v>
      </c>
      <c r="V280" s="209">
        <f t="shared" si="59"/>
        <v>0</v>
      </c>
      <c r="W280" s="209">
        <f t="shared" si="59"/>
        <v>0</v>
      </c>
      <c r="X280" s="209">
        <f t="shared" si="59"/>
        <v>0</v>
      </c>
      <c r="Y280" s="209">
        <f t="shared" si="59"/>
        <v>0</v>
      </c>
      <c r="Z280" s="209">
        <f t="shared" si="59"/>
        <v>0</v>
      </c>
      <c r="AA280" s="209">
        <f>SUM(AA281:AA285)</f>
        <v>0</v>
      </c>
      <c r="AB280" s="209">
        <f>SUM(AB281:AB285)</f>
        <v>0</v>
      </c>
      <c r="AC280" s="209">
        <f t="shared" si="59"/>
        <v>0</v>
      </c>
      <c r="AD280" s="209">
        <f t="shared" si="59"/>
        <v>0</v>
      </c>
      <c r="AE280" s="209">
        <f t="shared" si="59"/>
        <v>0</v>
      </c>
      <c r="AF280" s="209">
        <f t="shared" si="59"/>
        <v>0</v>
      </c>
      <c r="AG280" s="209">
        <f t="shared" si="59"/>
        <v>0</v>
      </c>
      <c r="AH280" s="209">
        <f t="shared" si="59"/>
        <v>0</v>
      </c>
      <c r="AI280" s="209">
        <f t="shared" si="59"/>
        <v>0</v>
      </c>
      <c r="AJ280" s="209">
        <f t="shared" si="59"/>
        <v>0</v>
      </c>
      <c r="AK280" s="209">
        <f t="shared" si="59"/>
        <v>0</v>
      </c>
      <c r="AL280" s="209">
        <f t="shared" si="59"/>
        <v>0</v>
      </c>
      <c r="AM280" s="183"/>
    </row>
    <row r="281" spans="1:39" s="91" customFormat="1" outlineLevel="1">
      <c r="A281" s="578" t="str">
        <f t="shared" si="48"/>
        <v>1</v>
      </c>
      <c r="B281" s="91" t="s">
        <v>1504</v>
      </c>
      <c r="L281" s="210" t="s">
        <v>141</v>
      </c>
      <c r="M281" s="211" t="s">
        <v>357</v>
      </c>
      <c r="N281" s="137" t="s">
        <v>351</v>
      </c>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183"/>
    </row>
    <row r="282" spans="1:39" s="91" customFormat="1" outlineLevel="1">
      <c r="A282" s="578" t="str">
        <f t="shared" si="48"/>
        <v>1</v>
      </c>
      <c r="B282" s="91" t="s">
        <v>1505</v>
      </c>
      <c r="L282" s="210" t="s">
        <v>183</v>
      </c>
      <c r="M282" s="211" t="s">
        <v>358</v>
      </c>
      <c r="N282" s="137" t="s">
        <v>351</v>
      </c>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183"/>
    </row>
    <row r="283" spans="1:39" s="91" customFormat="1" outlineLevel="1">
      <c r="A283" s="578" t="str">
        <f t="shared" si="48"/>
        <v>1</v>
      </c>
      <c r="B283" s="91" t="s">
        <v>1506</v>
      </c>
      <c r="L283" s="210" t="s">
        <v>389</v>
      </c>
      <c r="M283" s="211" t="s">
        <v>360</v>
      </c>
      <c r="N283" s="137" t="s">
        <v>351</v>
      </c>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183"/>
    </row>
    <row r="284" spans="1:39" s="91" customFormat="1" outlineLevel="1">
      <c r="A284" s="578" t="str">
        <f t="shared" si="48"/>
        <v>1</v>
      </c>
      <c r="B284" s="91" t="s">
        <v>1565</v>
      </c>
      <c r="L284" s="210" t="s">
        <v>390</v>
      </c>
      <c r="M284" s="211" t="s">
        <v>362</v>
      </c>
      <c r="N284" s="137" t="s">
        <v>351</v>
      </c>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183"/>
    </row>
    <row r="285" spans="1:39" s="91" customFormat="1" outlineLevel="1">
      <c r="A285" s="578" t="str">
        <f t="shared" si="48"/>
        <v>1</v>
      </c>
      <c r="B285" s="91" t="s">
        <v>1566</v>
      </c>
      <c r="L285" s="210" t="s">
        <v>391</v>
      </c>
      <c r="M285" s="211" t="s">
        <v>364</v>
      </c>
      <c r="N285" s="137" t="s">
        <v>351</v>
      </c>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183"/>
    </row>
    <row r="287" spans="1:39" s="131" customFormat="1" ht="30" customHeight="1">
      <c r="A287" s="130" t="s">
        <v>1039</v>
      </c>
      <c r="M287" s="132"/>
      <c r="N287" s="132"/>
      <c r="O287" s="132"/>
      <c r="P287" s="132"/>
      <c r="AA287" s="133"/>
    </row>
    <row r="288" spans="1:39">
      <c r="A288" s="134" t="s">
        <v>1040</v>
      </c>
    </row>
    <row r="289" spans="1:39" s="80" customFormat="1" ht="15" customHeight="1">
      <c r="A289" s="172" t="s">
        <v>18</v>
      </c>
      <c r="L289" s="226" t="str">
        <f>INDEX('Общие сведения'!$J$114:$J$127,MATCH($A289,'Общие сведения'!$D$114:$D$127,0))</f>
        <v>Тариф 1 (Водоснабжение) - тариф на питьевую воду</v>
      </c>
      <c r="M289" s="145"/>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5"/>
    </row>
    <row r="290" spans="1:39" s="80" customFormat="1" ht="24" customHeight="1" outlineLevel="1">
      <c r="A290" s="578" t="str">
        <f t="shared" ref="A290:A296" si="60">A289</f>
        <v>1</v>
      </c>
      <c r="B290" s="80" t="s">
        <v>1480</v>
      </c>
      <c r="L290" s="216" t="s">
        <v>18</v>
      </c>
      <c r="M290" s="217" t="s">
        <v>392</v>
      </c>
      <c r="N290" s="195" t="s">
        <v>351</v>
      </c>
      <c r="O290" s="304">
        <f>O291+O294+O295+O296</f>
        <v>0</v>
      </c>
      <c r="P290" s="304">
        <f t="shared" ref="P290:AL290" si="61">P291+P294+P295+P296</f>
        <v>0</v>
      </c>
      <c r="Q290" s="304">
        <f t="shared" si="61"/>
        <v>0</v>
      </c>
      <c r="R290" s="304">
        <f t="shared" si="61"/>
        <v>0</v>
      </c>
      <c r="S290" s="304">
        <f t="shared" si="61"/>
        <v>0</v>
      </c>
      <c r="T290" s="304">
        <f t="shared" si="61"/>
        <v>0</v>
      </c>
      <c r="U290" s="304">
        <f t="shared" si="61"/>
        <v>0</v>
      </c>
      <c r="V290" s="304">
        <f t="shared" si="61"/>
        <v>0</v>
      </c>
      <c r="W290" s="304">
        <f t="shared" si="61"/>
        <v>0</v>
      </c>
      <c r="X290" s="304">
        <f t="shared" si="61"/>
        <v>0</v>
      </c>
      <c r="Y290" s="304">
        <f t="shared" si="61"/>
        <v>0</v>
      </c>
      <c r="Z290" s="304">
        <f t="shared" si="61"/>
        <v>0</v>
      </c>
      <c r="AA290" s="304">
        <f t="shared" si="61"/>
        <v>0</v>
      </c>
      <c r="AB290" s="304">
        <f t="shared" si="61"/>
        <v>0</v>
      </c>
      <c r="AC290" s="304">
        <f t="shared" si="61"/>
        <v>0</v>
      </c>
      <c r="AD290" s="304">
        <f t="shared" si="61"/>
        <v>0</v>
      </c>
      <c r="AE290" s="304">
        <f t="shared" si="61"/>
        <v>0</v>
      </c>
      <c r="AF290" s="304">
        <f t="shared" si="61"/>
        <v>0</v>
      </c>
      <c r="AG290" s="304">
        <f t="shared" si="61"/>
        <v>0</v>
      </c>
      <c r="AH290" s="304">
        <f t="shared" si="61"/>
        <v>0</v>
      </c>
      <c r="AI290" s="304">
        <f t="shared" si="61"/>
        <v>0</v>
      </c>
      <c r="AJ290" s="304">
        <f t="shared" si="61"/>
        <v>0</v>
      </c>
      <c r="AK290" s="304">
        <f t="shared" si="61"/>
        <v>0</v>
      </c>
      <c r="AL290" s="304">
        <f t="shared" si="61"/>
        <v>0</v>
      </c>
      <c r="AM290" s="183"/>
    </row>
    <row r="291" spans="1:39" s="80" customFormat="1" ht="11.25" customHeight="1" outlineLevel="1">
      <c r="A291" s="578" t="str">
        <f t="shared" si="60"/>
        <v>1</v>
      </c>
      <c r="B291" s="80" t="s">
        <v>1491</v>
      </c>
      <c r="L291" s="219" t="s">
        <v>149</v>
      </c>
      <c r="M291" s="220" t="s">
        <v>12</v>
      </c>
      <c r="N291" s="137" t="s">
        <v>351</v>
      </c>
      <c r="O291" s="223">
        <f t="shared" ref="O291:AL291" si="62">SUM(O292:O293)</f>
        <v>0</v>
      </c>
      <c r="P291" s="223">
        <f t="shared" si="62"/>
        <v>0</v>
      </c>
      <c r="Q291" s="223">
        <f t="shared" si="62"/>
        <v>0</v>
      </c>
      <c r="R291" s="223">
        <f t="shared" si="62"/>
        <v>0</v>
      </c>
      <c r="S291" s="223">
        <f t="shared" si="62"/>
        <v>0</v>
      </c>
      <c r="T291" s="223">
        <f t="shared" si="62"/>
        <v>0</v>
      </c>
      <c r="U291" s="223">
        <f t="shared" si="62"/>
        <v>0</v>
      </c>
      <c r="V291" s="223">
        <f t="shared" si="62"/>
        <v>0</v>
      </c>
      <c r="W291" s="223">
        <f t="shared" si="62"/>
        <v>0</v>
      </c>
      <c r="X291" s="223">
        <f t="shared" si="62"/>
        <v>0</v>
      </c>
      <c r="Y291" s="223">
        <f t="shared" si="62"/>
        <v>0</v>
      </c>
      <c r="Z291" s="223">
        <f t="shared" si="62"/>
        <v>0</v>
      </c>
      <c r="AA291" s="223">
        <f t="shared" si="62"/>
        <v>0</v>
      </c>
      <c r="AB291" s="223">
        <f t="shared" si="62"/>
        <v>0</v>
      </c>
      <c r="AC291" s="223">
        <f t="shared" si="62"/>
        <v>0</v>
      </c>
      <c r="AD291" s="223">
        <f t="shared" si="62"/>
        <v>0</v>
      </c>
      <c r="AE291" s="223">
        <f t="shared" si="62"/>
        <v>0</v>
      </c>
      <c r="AF291" s="223">
        <f t="shared" si="62"/>
        <v>0</v>
      </c>
      <c r="AG291" s="223">
        <f t="shared" si="62"/>
        <v>0</v>
      </c>
      <c r="AH291" s="223">
        <f t="shared" si="62"/>
        <v>0</v>
      </c>
      <c r="AI291" s="223">
        <f t="shared" si="62"/>
        <v>0</v>
      </c>
      <c r="AJ291" s="223">
        <f t="shared" si="62"/>
        <v>0</v>
      </c>
      <c r="AK291" s="223">
        <f t="shared" si="62"/>
        <v>0</v>
      </c>
      <c r="AL291" s="223">
        <f t="shared" si="62"/>
        <v>0</v>
      </c>
      <c r="AM291" s="183"/>
    </row>
    <row r="292" spans="1:39" s="80" customFormat="1" ht="24" customHeight="1" outlineLevel="1">
      <c r="A292" s="578" t="str">
        <f t="shared" si="60"/>
        <v>1</v>
      </c>
      <c r="B292" s="80" t="s">
        <v>1567</v>
      </c>
      <c r="L292" s="219" t="s">
        <v>393</v>
      </c>
      <c r="M292" s="222" t="s">
        <v>394</v>
      </c>
      <c r="N292" s="137" t="s">
        <v>351</v>
      </c>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183"/>
    </row>
    <row r="293" spans="1:39" s="80" customFormat="1" ht="11.25" customHeight="1" outlineLevel="1">
      <c r="A293" s="578" t="str">
        <f t="shared" si="60"/>
        <v>1</v>
      </c>
      <c r="B293" s="80" t="s">
        <v>1568</v>
      </c>
      <c r="L293" s="219" t="s">
        <v>395</v>
      </c>
      <c r="M293" s="222" t="s">
        <v>396</v>
      </c>
      <c r="N293" s="137" t="s">
        <v>351</v>
      </c>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183"/>
    </row>
    <row r="294" spans="1:39" s="80" customFormat="1" ht="11.25" customHeight="1" outlineLevel="1">
      <c r="A294" s="578" t="str">
        <f t="shared" si="60"/>
        <v>1</v>
      </c>
      <c r="B294" s="80" t="s">
        <v>1489</v>
      </c>
      <c r="L294" s="219" t="s">
        <v>150</v>
      </c>
      <c r="M294" s="224" t="s">
        <v>397</v>
      </c>
      <c r="N294" s="137" t="s">
        <v>351</v>
      </c>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183"/>
    </row>
    <row r="295" spans="1:39" s="80" customFormat="1" ht="11.25" customHeight="1" outlineLevel="1">
      <c r="A295" s="578" t="str">
        <f t="shared" si="60"/>
        <v>1</v>
      </c>
      <c r="B295" s="80" t="s">
        <v>1490</v>
      </c>
      <c r="L295" s="219" t="s">
        <v>359</v>
      </c>
      <c r="M295" s="225" t="s">
        <v>398</v>
      </c>
      <c r="N295" s="137" t="s">
        <v>351</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83"/>
    </row>
    <row r="296" spans="1:39" s="80" customFormat="1" ht="11.25" customHeight="1" outlineLevel="1">
      <c r="A296" s="578" t="str">
        <f t="shared" si="60"/>
        <v>1</v>
      </c>
      <c r="B296" s="80" t="s">
        <v>1488</v>
      </c>
      <c r="L296" s="219" t="s">
        <v>361</v>
      </c>
      <c r="M296" s="225" t="s">
        <v>399</v>
      </c>
      <c r="N296" s="137" t="s">
        <v>351</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83"/>
    </row>
    <row r="298" spans="1:39" s="131" customFormat="1" ht="30" customHeight="1">
      <c r="A298" s="130" t="s">
        <v>1046</v>
      </c>
      <c r="M298" s="132"/>
      <c r="N298" s="132"/>
      <c r="O298" s="132"/>
      <c r="P298" s="132"/>
      <c r="AA298" s="133"/>
    </row>
    <row r="299" spans="1:39">
      <c r="A299" s="134" t="s">
        <v>1047</v>
      </c>
    </row>
    <row r="300" spans="1:39" s="96" customFormat="1">
      <c r="A300" s="172" t="s">
        <v>18</v>
      </c>
      <c r="B300" s="96" t="s">
        <v>1194</v>
      </c>
      <c r="L300" s="226" t="str">
        <f>INDEX('Общие сведения'!$J$114:$J$127,MATCH($A300,'Общие сведения'!$D$114:$D$127,0))</f>
        <v>Тариф 1 (Водоснабжение) - тариф на питьевую воду</v>
      </c>
      <c r="M300" s="145"/>
      <c r="N300" s="145"/>
      <c r="O300" s="420">
        <f>O301+O304+O307+O310+O313+O316+O317+O318</f>
        <v>0</v>
      </c>
      <c r="P300" s="420">
        <f t="shared" ref="P300:AL300" si="63">P301+P304+P307+P310+P313+P316+P317+P318</f>
        <v>0</v>
      </c>
      <c r="Q300" s="420">
        <f t="shared" si="63"/>
        <v>0</v>
      </c>
      <c r="R300" s="420">
        <f t="shared" si="63"/>
        <v>0</v>
      </c>
      <c r="S300" s="420">
        <f t="shared" si="63"/>
        <v>0</v>
      </c>
      <c r="T300" s="420">
        <f t="shared" si="63"/>
        <v>0</v>
      </c>
      <c r="U300" s="420">
        <f t="shared" si="63"/>
        <v>0</v>
      </c>
      <c r="V300" s="420">
        <f t="shared" si="63"/>
        <v>0</v>
      </c>
      <c r="W300" s="420">
        <f t="shared" si="63"/>
        <v>0</v>
      </c>
      <c r="X300" s="420">
        <f t="shared" si="63"/>
        <v>0</v>
      </c>
      <c r="Y300" s="420">
        <f t="shared" si="63"/>
        <v>0</v>
      </c>
      <c r="Z300" s="420">
        <f t="shared" si="63"/>
        <v>0</v>
      </c>
      <c r="AA300" s="420">
        <f t="shared" si="63"/>
        <v>0</v>
      </c>
      <c r="AB300" s="420">
        <f t="shared" si="63"/>
        <v>0</v>
      </c>
      <c r="AC300" s="420">
        <f t="shared" si="63"/>
        <v>0</v>
      </c>
      <c r="AD300" s="420">
        <f t="shared" si="63"/>
        <v>0</v>
      </c>
      <c r="AE300" s="420">
        <f t="shared" si="63"/>
        <v>0</v>
      </c>
      <c r="AF300" s="420">
        <f t="shared" si="63"/>
        <v>0</v>
      </c>
      <c r="AG300" s="420">
        <f t="shared" si="63"/>
        <v>0</v>
      </c>
      <c r="AH300" s="420">
        <f t="shared" si="63"/>
        <v>0</v>
      </c>
      <c r="AI300" s="420">
        <f t="shared" si="63"/>
        <v>0</v>
      </c>
      <c r="AJ300" s="420">
        <f t="shared" si="63"/>
        <v>0</v>
      </c>
      <c r="AK300" s="420">
        <f t="shared" si="63"/>
        <v>0</v>
      </c>
      <c r="AL300" s="420">
        <f t="shared" si="63"/>
        <v>0</v>
      </c>
      <c r="AM300" s="231"/>
    </row>
    <row r="301" spans="1:39" s="96" customFormat="1" outlineLevel="1">
      <c r="A301" s="578" t="str">
        <f t="shared" ref="A301:A318" si="64">A300</f>
        <v>1</v>
      </c>
      <c r="B301" s="96" t="s">
        <v>1480</v>
      </c>
      <c r="L301" s="206">
        <v>1</v>
      </c>
      <c r="M301" s="476" t="s">
        <v>401</v>
      </c>
      <c r="N301" s="213" t="s">
        <v>351</v>
      </c>
      <c r="O301" s="209">
        <f>SUMIF(N302:N303,N301,O302:O303)</f>
        <v>0</v>
      </c>
      <c r="P301" s="209">
        <f>SUMIF(N302:N303,N301,P302:P303)</f>
        <v>0</v>
      </c>
      <c r="Q301" s="209">
        <f>SUMIF(N302:N303,N301,Q302:Q303)</f>
        <v>0</v>
      </c>
      <c r="R301" s="209">
        <f>SUMIF(N302:N303,N301,R302:R303)</f>
        <v>0</v>
      </c>
      <c r="S301" s="209">
        <f>SUMIF(N302:N303,N301,S302:S303)</f>
        <v>0</v>
      </c>
      <c r="T301" s="236">
        <f>SUMIF(N302:N303,N301,T302:T303)</f>
        <v>0</v>
      </c>
      <c r="U301" s="236">
        <f>SUMIF(N302:N303,N301,U302:U303)</f>
        <v>0</v>
      </c>
      <c r="V301" s="236">
        <f>SUMIF(N302:N303,N301,V302:V303)</f>
        <v>0</v>
      </c>
      <c r="W301" s="236">
        <f>SUMIF(N302:N303,N301,W302:W303)</f>
        <v>0</v>
      </c>
      <c r="X301" s="236">
        <f>SUMIF(N302:N303,N301,X302:X303)</f>
        <v>0</v>
      </c>
      <c r="Y301" s="236">
        <f>SUMIF(N302:N303,N301,Y302:Y303)</f>
        <v>0</v>
      </c>
      <c r="Z301" s="236">
        <f>SUMIF(N302:N303,N301,Z302:Z303)</f>
        <v>0</v>
      </c>
      <c r="AA301" s="236">
        <f>SUMIF(N302:N303,N301,AA302:AA303)</f>
        <v>0</v>
      </c>
      <c r="AB301" s="236">
        <f>SUMIF(N302:N303,N301,AB302:AB303)</f>
        <v>0</v>
      </c>
      <c r="AC301" s="209">
        <f>SUMIF(N302:N303,N301,AC302:AC303)</f>
        <v>0</v>
      </c>
      <c r="AD301" s="236">
        <f>SUMIF(N302:N303,N301,AD302:AD303)</f>
        <v>0</v>
      </c>
      <c r="AE301" s="236">
        <f>SUMIF(N302:N303,N301,AE302:AE303)</f>
        <v>0</v>
      </c>
      <c r="AF301" s="236">
        <f>SUMIF(N302:N303,N301,AF302:AF303)</f>
        <v>0</v>
      </c>
      <c r="AG301" s="236">
        <f>SUMIF(N302:N303,N301,AG302:AG303)</f>
        <v>0</v>
      </c>
      <c r="AH301" s="236">
        <f>SUMIF(N302:N303,N301,AH302:AH303)</f>
        <v>0</v>
      </c>
      <c r="AI301" s="236">
        <f>SUMIF(N302:N303,N301,AI302:AI303)</f>
        <v>0</v>
      </c>
      <c r="AJ301" s="236">
        <f>SUMIF(N302:N303,N301,AJ302:AJ303)</f>
        <v>0</v>
      </c>
      <c r="AK301" s="236">
        <f>SUMIF(N302:N303,N301,AK302:AK303)</f>
        <v>0</v>
      </c>
      <c r="AL301" s="236">
        <f>SUMIF(N302:N303,N301,AL302:AL303)</f>
        <v>0</v>
      </c>
      <c r="AM301" s="183"/>
    </row>
    <row r="302" spans="1:39" s="96" customFormat="1" ht="0.2" customHeight="1" outlineLevel="1">
      <c r="A302" s="578" t="str">
        <f t="shared" si="64"/>
        <v>1</v>
      </c>
      <c r="J302" s="229" t="s">
        <v>1041</v>
      </c>
      <c r="L302" s="206"/>
      <c r="M302" s="476"/>
      <c r="N302" s="213"/>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32"/>
    </row>
    <row r="303" spans="1:39" s="96" customFormat="1" ht="15" customHeight="1" outlineLevel="1">
      <c r="A303" s="578" t="str">
        <f t="shared" si="64"/>
        <v>1</v>
      </c>
      <c r="B303" s="96" t="str">
        <f>A303&amp;"pIns1"</f>
        <v>1pIns1</v>
      </c>
      <c r="J303" s="230"/>
      <c r="L303" s="246"/>
      <c r="M303" s="247" t="s">
        <v>1045</v>
      </c>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8"/>
    </row>
    <row r="304" spans="1:39" s="96" customFormat="1" outlineLevel="1">
      <c r="A304" s="578" t="str">
        <f t="shared" si="64"/>
        <v>1</v>
      </c>
      <c r="B304" s="96" t="s">
        <v>1481</v>
      </c>
      <c r="L304" s="206">
        <v>2</v>
      </c>
      <c r="M304" s="476" t="s">
        <v>403</v>
      </c>
      <c r="N304" s="213" t="s">
        <v>351</v>
      </c>
      <c r="O304" s="209">
        <f>SUMIF(N305:N306,N304,O305:O306)</f>
        <v>0</v>
      </c>
      <c r="P304" s="209">
        <f>SUMIF(N305:N306,N304,P305:P306)</f>
        <v>0</v>
      </c>
      <c r="Q304" s="209">
        <f>SUMIF(N305:N306,N304,Q305:Q306)</f>
        <v>0</v>
      </c>
      <c r="R304" s="209">
        <f>SUMIF(N305:N306,N304,R305:R306)</f>
        <v>0</v>
      </c>
      <c r="S304" s="209">
        <f>SUMIF(N305:N306,N304,S305:S306)</f>
        <v>0</v>
      </c>
      <c r="T304" s="236">
        <f>SUMIF(N305:N306,N304,T305:T306)</f>
        <v>0</v>
      </c>
      <c r="U304" s="236">
        <f>SUMIF(N305:N306,N304,U305:U306)</f>
        <v>0</v>
      </c>
      <c r="V304" s="236">
        <f>SUMIF(N305:N306,N304,V305:V306)</f>
        <v>0</v>
      </c>
      <c r="W304" s="236">
        <f>SUMIF(N305:N306,N304,W305:W306)</f>
        <v>0</v>
      </c>
      <c r="X304" s="236">
        <f>SUMIF(N305:N306,N304,X305:X306)</f>
        <v>0</v>
      </c>
      <c r="Y304" s="236">
        <f>SUMIF(N305:N306,N304,Y305:Y306)</f>
        <v>0</v>
      </c>
      <c r="Z304" s="236">
        <f>SUMIF(N305:N306,N304,Z305:Z306)</f>
        <v>0</v>
      </c>
      <c r="AA304" s="236">
        <f>SUMIF(N305:N306,N304,AA305:AA306)</f>
        <v>0</v>
      </c>
      <c r="AB304" s="236">
        <f>SUMIF(N305:N306,N304,AB305:AB306)</f>
        <v>0</v>
      </c>
      <c r="AC304" s="209">
        <f>SUMIF(N305:N306,N304,AC305:AC306)</f>
        <v>0</v>
      </c>
      <c r="AD304" s="236">
        <f>SUMIF(N305:N306,N304,AD305:AD306)</f>
        <v>0</v>
      </c>
      <c r="AE304" s="236">
        <f>SUMIF(N305:N306,N304,AE305:AE306)</f>
        <v>0</v>
      </c>
      <c r="AF304" s="236">
        <f>SUMIF(N305:N306,N304,AF305:AF306)</f>
        <v>0</v>
      </c>
      <c r="AG304" s="236">
        <f>SUMIF(N305:N306,N304,AG305:AG306)</f>
        <v>0</v>
      </c>
      <c r="AH304" s="236">
        <f>SUMIF(N305:N306,N304,AH305:AH306)</f>
        <v>0</v>
      </c>
      <c r="AI304" s="236">
        <f>SUMIF(N305:N306,N304,AI305:AI306)</f>
        <v>0</v>
      </c>
      <c r="AJ304" s="236">
        <f>SUMIF(N305:N306,N304,AJ305:AJ306)</f>
        <v>0</v>
      </c>
      <c r="AK304" s="236">
        <f>SUMIF(N305:N306,N304,AK305:AK306)</f>
        <v>0</v>
      </c>
      <c r="AL304" s="236">
        <f>SUMIF(N305:N306,N304,AL305:AL306)</f>
        <v>0</v>
      </c>
      <c r="AM304" s="183"/>
    </row>
    <row r="305" spans="1:39" s="96" customFormat="1" ht="0.2" customHeight="1" outlineLevel="1">
      <c r="A305" s="578" t="str">
        <f t="shared" si="64"/>
        <v>1</v>
      </c>
      <c r="J305" s="229" t="s">
        <v>1042</v>
      </c>
      <c r="L305" s="206"/>
      <c r="M305" s="476"/>
      <c r="N305" s="213"/>
      <c r="O305" s="214"/>
      <c r="P305" s="214"/>
      <c r="Q305" s="214"/>
      <c r="R305" s="214"/>
      <c r="S305" s="214"/>
      <c r="T305" s="214"/>
      <c r="U305" s="214"/>
      <c r="V305" s="214"/>
      <c r="W305" s="214"/>
      <c r="X305" s="214"/>
      <c r="Y305" s="214"/>
      <c r="Z305" s="214"/>
      <c r="AA305" s="214"/>
      <c r="AB305" s="214"/>
      <c r="AC305" s="214"/>
      <c r="AD305" s="214"/>
      <c r="AE305" s="214"/>
      <c r="AF305" s="214"/>
      <c r="AG305" s="214"/>
      <c r="AH305" s="214"/>
      <c r="AI305" s="214"/>
      <c r="AJ305" s="214"/>
      <c r="AK305" s="214"/>
      <c r="AL305" s="214"/>
      <c r="AM305" s="232"/>
    </row>
    <row r="306" spans="1:39" s="96" customFormat="1" ht="15" customHeight="1" outlineLevel="1">
      <c r="A306" s="578" t="str">
        <f t="shared" si="64"/>
        <v>1</v>
      </c>
      <c r="B306" s="96" t="str">
        <f>A306&amp;"pIns2"</f>
        <v>1pIns2</v>
      </c>
      <c r="J306" s="230"/>
      <c r="L306" s="246"/>
      <c r="M306" s="247" t="s">
        <v>1045</v>
      </c>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8"/>
    </row>
    <row r="307" spans="1:39" s="96" customFormat="1" outlineLevel="1">
      <c r="A307" s="578" t="str">
        <f t="shared" si="64"/>
        <v>1</v>
      </c>
      <c r="B307" s="96" t="s">
        <v>1483</v>
      </c>
      <c r="L307" s="206">
        <v>3</v>
      </c>
      <c r="M307" s="476" t="s">
        <v>405</v>
      </c>
      <c r="N307" s="213" t="s">
        <v>351</v>
      </c>
      <c r="O307" s="209">
        <f>SUMIF(N308:N309,N307,O308:O309)</f>
        <v>0</v>
      </c>
      <c r="P307" s="209">
        <f>SUMIF(N308:N309,N307,P308:P309)</f>
        <v>0</v>
      </c>
      <c r="Q307" s="209">
        <f>SUMIF(N308:N309,N307,Q308:Q309)</f>
        <v>0</v>
      </c>
      <c r="R307" s="209">
        <f>SUMIF(N308:N309,N307,R308:R309)</f>
        <v>0</v>
      </c>
      <c r="S307" s="209">
        <f>SUMIF(N308:N309,N307,S308:S309)</f>
        <v>0</v>
      </c>
      <c r="T307" s="236">
        <f>SUMIF(N308:N309,N307,T308:T309)</f>
        <v>0</v>
      </c>
      <c r="U307" s="236">
        <f>SUMIF(N308:N309,N307,U308:U309)</f>
        <v>0</v>
      </c>
      <c r="V307" s="236">
        <f>SUMIF(N308:N309,N307,V308:V309)</f>
        <v>0</v>
      </c>
      <c r="W307" s="236">
        <f>SUMIF(N308:N309,N307,W308:W309)</f>
        <v>0</v>
      </c>
      <c r="X307" s="236">
        <f>SUMIF(N308:N309,N307,X308:X309)</f>
        <v>0</v>
      </c>
      <c r="Y307" s="236">
        <f>SUMIF(N308:N309,N307,Y308:Y309)</f>
        <v>0</v>
      </c>
      <c r="Z307" s="236">
        <f>SUMIF(N308:N309,N307,Z308:Z309)</f>
        <v>0</v>
      </c>
      <c r="AA307" s="236">
        <f>SUMIF(N308:N309,N307,AA308:AA309)</f>
        <v>0</v>
      </c>
      <c r="AB307" s="236">
        <f>SUMIF(N308:N309,N307,AB308:AB309)</f>
        <v>0</v>
      </c>
      <c r="AC307" s="209">
        <f>SUMIF(N308:N309,N307,AC308:AC309)</f>
        <v>0</v>
      </c>
      <c r="AD307" s="236">
        <f>SUMIF(N308:N309,N307,AD308:AD309)</f>
        <v>0</v>
      </c>
      <c r="AE307" s="236">
        <f>SUMIF(N308:N309,N307,AE308:AE309)</f>
        <v>0</v>
      </c>
      <c r="AF307" s="236">
        <f>SUMIF(N308:N309,N307,AF308:AF309)</f>
        <v>0</v>
      </c>
      <c r="AG307" s="236">
        <f>SUMIF(N308:N309,N307,AG308:AG309)</f>
        <v>0</v>
      </c>
      <c r="AH307" s="236">
        <f>SUMIF(N308:N309,N307,AH308:AH309)</f>
        <v>0</v>
      </c>
      <c r="AI307" s="236">
        <f>SUMIF(N308:N309,N307,AI308:AI309)</f>
        <v>0</v>
      </c>
      <c r="AJ307" s="236">
        <f>SUMIF(N308:N309,N307,AJ308:AJ309)</f>
        <v>0</v>
      </c>
      <c r="AK307" s="236">
        <f>SUMIF(N308:N309,N307,AK308:AK309)</f>
        <v>0</v>
      </c>
      <c r="AL307" s="236">
        <f>SUMIF(N308:N309,N307,AL308:AL309)</f>
        <v>0</v>
      </c>
      <c r="AM307" s="183"/>
    </row>
    <row r="308" spans="1:39" s="96" customFormat="1" ht="0.2" customHeight="1" outlineLevel="1">
      <c r="A308" s="578" t="str">
        <f t="shared" si="64"/>
        <v>1</v>
      </c>
      <c r="J308" s="229" t="s">
        <v>1043</v>
      </c>
      <c r="L308" s="206"/>
      <c r="M308" s="476"/>
      <c r="N308" s="213"/>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32"/>
    </row>
    <row r="309" spans="1:39" s="96" customFormat="1" ht="15" customHeight="1" outlineLevel="1">
      <c r="A309" s="578" t="str">
        <f t="shared" si="64"/>
        <v>1</v>
      </c>
      <c r="B309" s="96" t="str">
        <f>A309&amp;"pIns3"</f>
        <v>1pIns3</v>
      </c>
      <c r="J309" s="230"/>
      <c r="L309" s="246"/>
      <c r="M309" s="247" t="s">
        <v>1045</v>
      </c>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8"/>
    </row>
    <row r="310" spans="1:39" s="96" customFormat="1" outlineLevel="1">
      <c r="A310" s="578" t="str">
        <f t="shared" si="64"/>
        <v>1</v>
      </c>
      <c r="B310" s="96" t="s">
        <v>1484</v>
      </c>
      <c r="L310" s="206">
        <v>4</v>
      </c>
      <c r="M310" s="476" t="s">
        <v>406</v>
      </c>
      <c r="N310" s="213" t="s">
        <v>351</v>
      </c>
      <c r="O310" s="209">
        <f>SUMIF(N311:N312,N310,O311:O312)</f>
        <v>0</v>
      </c>
      <c r="P310" s="209">
        <f>SUMIF(N311:N312,N310,P311:P312)</f>
        <v>0</v>
      </c>
      <c r="Q310" s="209">
        <f>SUMIF(N311:N312,N310,Q311:Q312)</f>
        <v>0</v>
      </c>
      <c r="R310" s="209">
        <f>SUMIF(N311:N312,N310,R311:R312)</f>
        <v>0</v>
      </c>
      <c r="S310" s="209">
        <f>SUMIF(N311:N312,N310,S311:S312)</f>
        <v>0</v>
      </c>
      <c r="T310" s="236">
        <f>SUMIF(N311:N312,N310,T311:T312)</f>
        <v>0</v>
      </c>
      <c r="U310" s="236">
        <f>SUMIF(N311:N312,N310,U311:U312)</f>
        <v>0</v>
      </c>
      <c r="V310" s="236">
        <f>SUMIF(N311:N312,N310,V311:V312)</f>
        <v>0</v>
      </c>
      <c r="W310" s="236">
        <f>SUMIF(N311:N312,N310,W311:W312)</f>
        <v>0</v>
      </c>
      <c r="X310" s="236">
        <f>SUMIF(N311:N312,N310,X311:X312)</f>
        <v>0</v>
      </c>
      <c r="Y310" s="236">
        <f>SUMIF(N311:N312,N310,Y311:Y312)</f>
        <v>0</v>
      </c>
      <c r="Z310" s="236">
        <f>SUMIF(N311:N312,N310,Z311:Z312)</f>
        <v>0</v>
      </c>
      <c r="AA310" s="236">
        <f>SUMIF(N311:N312,N310,AA311:AA312)</f>
        <v>0</v>
      </c>
      <c r="AB310" s="236">
        <f>SUMIF(N311:N312,N310,AB311:AB312)</f>
        <v>0</v>
      </c>
      <c r="AC310" s="209">
        <f>SUMIF(N311:N312,N310,AC311:AC312)</f>
        <v>0</v>
      </c>
      <c r="AD310" s="236">
        <f>SUMIF(N311:N312,N310,AD311:AD312)</f>
        <v>0</v>
      </c>
      <c r="AE310" s="236">
        <f>SUMIF(N311:N312,N310,AE311:AE312)</f>
        <v>0</v>
      </c>
      <c r="AF310" s="236">
        <f>SUMIF(N311:N312,N310,AF311:AF312)</f>
        <v>0</v>
      </c>
      <c r="AG310" s="236">
        <f>SUMIF(N311:N312,N310,AG311:AG312)</f>
        <v>0</v>
      </c>
      <c r="AH310" s="236">
        <f>SUMIF(N311:N312,N310,AH311:AH312)</f>
        <v>0</v>
      </c>
      <c r="AI310" s="236">
        <f>SUMIF(N311:N312,N310,AI311:AI312)</f>
        <v>0</v>
      </c>
      <c r="AJ310" s="236">
        <f>SUMIF(N311:N312,N310,AJ311:AJ312)</f>
        <v>0</v>
      </c>
      <c r="AK310" s="236">
        <f>SUMIF(N311:N312,N310,AK311:AK312)</f>
        <v>0</v>
      </c>
      <c r="AL310" s="236">
        <f>SUMIF(N311:N312,N310,AL311:AL312)</f>
        <v>0</v>
      </c>
      <c r="AM310" s="183"/>
    </row>
    <row r="311" spans="1:39" s="96" customFormat="1" ht="0.2" customHeight="1" outlineLevel="1">
      <c r="A311" s="578" t="str">
        <f t="shared" si="64"/>
        <v>1</v>
      </c>
      <c r="J311" s="229" t="s">
        <v>1044</v>
      </c>
      <c r="L311" s="206"/>
      <c r="M311" s="476"/>
      <c r="N311" s="213"/>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32"/>
    </row>
    <row r="312" spans="1:39" s="96" customFormat="1" ht="15" customHeight="1" outlineLevel="1">
      <c r="A312" s="578" t="str">
        <f t="shared" si="64"/>
        <v>1</v>
      </c>
      <c r="B312" s="96" t="str">
        <f>A312&amp;"pIns5"</f>
        <v>1pIns5</v>
      </c>
      <c r="J312" s="230"/>
      <c r="L312" s="246"/>
      <c r="M312" s="247" t="s">
        <v>1045</v>
      </c>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8"/>
    </row>
    <row r="313" spans="1:39" s="96" customFormat="1" outlineLevel="1">
      <c r="A313" s="578" t="str">
        <f t="shared" si="64"/>
        <v>1</v>
      </c>
      <c r="B313" s="96" t="s">
        <v>1485</v>
      </c>
      <c r="L313" s="206">
        <v>5</v>
      </c>
      <c r="M313" s="476" t="s">
        <v>1276</v>
      </c>
      <c r="N313" s="213" t="s">
        <v>351</v>
      </c>
      <c r="O313" s="209">
        <f>SUMIF(N314:N315,N313,O314:O315)</f>
        <v>0</v>
      </c>
      <c r="P313" s="209">
        <f>SUMIF(N314:N315,N313,P314:P315)</f>
        <v>0</v>
      </c>
      <c r="Q313" s="209">
        <f>SUMIF(N314:N315,N313,Q314:Q315)</f>
        <v>0</v>
      </c>
      <c r="R313" s="209">
        <f>SUMIF(N314:N315,N313,R314:R315)</f>
        <v>0</v>
      </c>
      <c r="S313" s="209">
        <f>SUMIF(N314:N315,N313,S314:S315)</f>
        <v>0</v>
      </c>
      <c r="T313" s="236">
        <f>SUMIF(N314:N315,N313,T314:T315)</f>
        <v>0</v>
      </c>
      <c r="U313" s="236">
        <f>SUMIF(N314:N315,N313,U314:U315)</f>
        <v>0</v>
      </c>
      <c r="V313" s="236">
        <f>SUMIF(N314:N315,N313,V314:V315)</f>
        <v>0</v>
      </c>
      <c r="W313" s="236">
        <f>SUMIF(N314:N315,N313,W314:W315)</f>
        <v>0</v>
      </c>
      <c r="X313" s="236">
        <f>SUMIF(N314:N315,N313,X314:X315)</f>
        <v>0</v>
      </c>
      <c r="Y313" s="236">
        <f>SUMIF(N314:N315,N313,Y314:Y315)</f>
        <v>0</v>
      </c>
      <c r="Z313" s="236">
        <f>SUMIF(N314:N315,N313,Z314:Z315)</f>
        <v>0</v>
      </c>
      <c r="AA313" s="236">
        <f>SUMIF(N314:N315,N313,AA314:AA315)</f>
        <v>0</v>
      </c>
      <c r="AB313" s="236">
        <f>SUMIF(N314:N315,N313,AB314:AB315)</f>
        <v>0</v>
      </c>
      <c r="AC313" s="209">
        <f>SUMIF(N314:N315,N313,AC314:AC315)</f>
        <v>0</v>
      </c>
      <c r="AD313" s="236">
        <f>SUMIF(N314:N315,N313,AD314:AD315)</f>
        <v>0</v>
      </c>
      <c r="AE313" s="236">
        <f>SUMIF(N314:N315,N313,AE314:AE315)</f>
        <v>0</v>
      </c>
      <c r="AF313" s="236">
        <f>SUMIF(N314:N315,N313,AF314:AF315)</f>
        <v>0</v>
      </c>
      <c r="AG313" s="236">
        <f>SUMIF(N314:N315,N313,AG314:AG315)</f>
        <v>0</v>
      </c>
      <c r="AH313" s="236">
        <f>SUMIF(N314:N315,N313,AH314:AH315)</f>
        <v>0</v>
      </c>
      <c r="AI313" s="236">
        <f>SUMIF(N314:N315,N313,AI314:AI315)</f>
        <v>0</v>
      </c>
      <c r="AJ313" s="236">
        <f>SUMIF(N314:N315,N313,AJ314:AJ315)</f>
        <v>0</v>
      </c>
      <c r="AK313" s="236">
        <f>SUMIF(N314:N315,N313,AK314:AK315)</f>
        <v>0</v>
      </c>
      <c r="AL313" s="236">
        <f>SUMIF(N314:N315,N313,AL314:AL315)</f>
        <v>0</v>
      </c>
      <c r="AM313" s="183"/>
    </row>
    <row r="314" spans="1:39" s="96" customFormat="1" ht="0.2" customHeight="1" outlineLevel="1">
      <c r="A314" s="578" t="str">
        <f t="shared" si="64"/>
        <v>1</v>
      </c>
      <c r="J314" s="229" t="s">
        <v>1291</v>
      </c>
      <c r="L314" s="206"/>
      <c r="M314" s="476"/>
      <c r="N314" s="213"/>
      <c r="O314" s="214"/>
      <c r="P314" s="214"/>
      <c r="Q314" s="214"/>
      <c r="R314" s="214"/>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32"/>
    </row>
    <row r="315" spans="1:39" s="96" customFormat="1" ht="15" customHeight="1" outlineLevel="1">
      <c r="A315" s="578" t="str">
        <f t="shared" si="64"/>
        <v>1</v>
      </c>
      <c r="B315" s="96" t="str">
        <f>A315&amp;"pIns5"</f>
        <v>1pIns5</v>
      </c>
      <c r="J315" s="442"/>
      <c r="L315" s="246"/>
      <c r="M315" s="247" t="s">
        <v>1045</v>
      </c>
      <c r="N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c r="AJ315" s="247"/>
      <c r="AK315" s="247"/>
      <c r="AL315" s="247"/>
      <c r="AM315" s="248"/>
    </row>
    <row r="316" spans="1:39" s="97" customFormat="1" outlineLevel="1">
      <c r="A316" s="578" t="str">
        <f>A312</f>
        <v>1</v>
      </c>
      <c r="B316" s="96" t="s">
        <v>1486</v>
      </c>
      <c r="L316" s="206">
        <v>6</v>
      </c>
      <c r="M316" s="476" t="s">
        <v>407</v>
      </c>
      <c r="N316" s="213" t="s">
        <v>351</v>
      </c>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183"/>
    </row>
    <row r="317" spans="1:39" s="97" customFormat="1" outlineLevel="1">
      <c r="A317" s="578" t="str">
        <f t="shared" si="64"/>
        <v>1</v>
      </c>
      <c r="B317" s="96" t="s">
        <v>1487</v>
      </c>
      <c r="L317" s="206">
        <v>7</v>
      </c>
      <c r="M317" s="476" t="s">
        <v>408</v>
      </c>
      <c r="N317" s="213" t="s">
        <v>351</v>
      </c>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6"/>
      <c r="AM317" s="183"/>
    </row>
    <row r="318" spans="1:39" s="97" customFormat="1" outlineLevel="1">
      <c r="A318" s="578" t="str">
        <f t="shared" si="64"/>
        <v>1</v>
      </c>
      <c r="B318" s="96" t="s">
        <v>1494</v>
      </c>
      <c r="L318" s="206">
        <v>8</v>
      </c>
      <c r="M318" s="476" t="s">
        <v>409</v>
      </c>
      <c r="N318" s="213" t="s">
        <v>351</v>
      </c>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183"/>
    </row>
    <row r="319" spans="1:39">
      <c r="A319" s="134" t="s">
        <v>1048</v>
      </c>
    </row>
    <row r="320" spans="1:39" s="96" customFormat="1" ht="11.25" customHeight="1" outlineLevel="1">
      <c r="A320" s="146" t="str">
        <f ca="1">OFFSET(A320,-1,0)</f>
        <v>et_List09_org1</v>
      </c>
      <c r="B320" s="96" t="s">
        <v>1480</v>
      </c>
      <c r="C320" s="98">
        <f>M320</f>
        <v>0</v>
      </c>
      <c r="J320" s="716" t="s">
        <v>149</v>
      </c>
      <c r="K320" s="135" t="s">
        <v>264</v>
      </c>
      <c r="L320" s="233" t="str">
        <f>J320</f>
        <v>1.1</v>
      </c>
      <c r="M320" s="326"/>
      <c r="N320" s="213" t="s">
        <v>351</v>
      </c>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183"/>
    </row>
    <row r="321" spans="1:39" s="96" customFormat="1" ht="11.25" customHeight="1" outlineLevel="1">
      <c r="A321" s="578" t="str">
        <f ca="1">A320</f>
        <v>et_List09_org1</v>
      </c>
      <c r="B321" s="96" t="s">
        <v>1491</v>
      </c>
      <c r="C321" s="98">
        <f>C320</f>
        <v>0</v>
      </c>
      <c r="J321" s="716"/>
      <c r="L321" s="234" t="str">
        <f>L320&amp;".1"</f>
        <v>1.1.1</v>
      </c>
      <c r="M321" s="235" t="s">
        <v>1139</v>
      </c>
      <c r="N321" s="208" t="s">
        <v>310</v>
      </c>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183"/>
    </row>
    <row r="322" spans="1:39" s="96" customFormat="1" ht="11.25" customHeight="1" outlineLevel="1">
      <c r="A322" s="578" t="str">
        <f ca="1">A321</f>
        <v>et_List09_org1</v>
      </c>
      <c r="B322" s="96" t="s">
        <v>1489</v>
      </c>
      <c r="C322" s="98">
        <f>C321</f>
        <v>0</v>
      </c>
      <c r="J322" s="716"/>
      <c r="L322" s="234" t="str">
        <f>L320&amp;".2"</f>
        <v>1.1.2</v>
      </c>
      <c r="M322" s="235" t="s">
        <v>400</v>
      </c>
      <c r="N322" s="208" t="s">
        <v>652</v>
      </c>
      <c r="O322" s="554">
        <f t="shared" ref="O322:AL322" si="65">IF(OR(AND(O320&lt;&gt;0,O321=0),AND(O320=0,O321&lt;&gt;0)),"Ошибка",IF(O321=0,0,O320/O321))</f>
        <v>0</v>
      </c>
      <c r="P322" s="554">
        <f t="shared" si="65"/>
        <v>0</v>
      </c>
      <c r="Q322" s="554">
        <f t="shared" si="65"/>
        <v>0</v>
      </c>
      <c r="R322" s="554">
        <f t="shared" si="65"/>
        <v>0</v>
      </c>
      <c r="S322" s="554">
        <f t="shared" si="65"/>
        <v>0</v>
      </c>
      <c r="T322" s="554">
        <f t="shared" si="65"/>
        <v>0</v>
      </c>
      <c r="U322" s="554">
        <f t="shared" si="65"/>
        <v>0</v>
      </c>
      <c r="V322" s="554">
        <f t="shared" si="65"/>
        <v>0</v>
      </c>
      <c r="W322" s="554">
        <f t="shared" si="65"/>
        <v>0</v>
      </c>
      <c r="X322" s="554">
        <f t="shared" si="65"/>
        <v>0</v>
      </c>
      <c r="Y322" s="554">
        <f t="shared" si="65"/>
        <v>0</v>
      </c>
      <c r="Z322" s="554">
        <f t="shared" si="65"/>
        <v>0</v>
      </c>
      <c r="AA322" s="554">
        <f t="shared" si="65"/>
        <v>0</v>
      </c>
      <c r="AB322" s="554">
        <f t="shared" si="65"/>
        <v>0</v>
      </c>
      <c r="AC322" s="554">
        <f t="shared" si="65"/>
        <v>0</v>
      </c>
      <c r="AD322" s="554">
        <f t="shared" si="65"/>
        <v>0</v>
      </c>
      <c r="AE322" s="554">
        <f t="shared" si="65"/>
        <v>0</v>
      </c>
      <c r="AF322" s="554">
        <f t="shared" si="65"/>
        <v>0</v>
      </c>
      <c r="AG322" s="554">
        <f t="shared" si="65"/>
        <v>0</v>
      </c>
      <c r="AH322" s="554">
        <f t="shared" si="65"/>
        <v>0</v>
      </c>
      <c r="AI322" s="554">
        <f t="shared" si="65"/>
        <v>0</v>
      </c>
      <c r="AJ322" s="554">
        <f t="shared" si="65"/>
        <v>0</v>
      </c>
      <c r="AK322" s="554">
        <f t="shared" si="65"/>
        <v>0</v>
      </c>
      <c r="AL322" s="554">
        <f t="shared" si="65"/>
        <v>0</v>
      </c>
      <c r="AM322" s="183"/>
    </row>
    <row r="323" spans="1:39">
      <c r="A323" s="134" t="s">
        <v>1049</v>
      </c>
      <c r="C323" s="602"/>
    </row>
    <row r="324" spans="1:39" s="96" customFormat="1" ht="11.25" customHeight="1" outlineLevel="1">
      <c r="A324" s="146" t="str">
        <f ca="1">OFFSET(A324,-1,0)</f>
        <v>et_List09_org2</v>
      </c>
      <c r="B324" s="96" t="s">
        <v>1481</v>
      </c>
      <c r="C324" s="98">
        <f>M324</f>
        <v>0</v>
      </c>
      <c r="J324" s="716" t="s">
        <v>17</v>
      </c>
      <c r="K324" s="135" t="s">
        <v>264</v>
      </c>
      <c r="L324" s="233" t="str">
        <f>J324</f>
        <v>2.1</v>
      </c>
      <c r="M324" s="326"/>
      <c r="N324" s="213" t="s">
        <v>351</v>
      </c>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183"/>
    </row>
    <row r="325" spans="1:39" s="96" customFormat="1" ht="11.25" customHeight="1" outlineLevel="1">
      <c r="A325" s="578" t="str">
        <f ca="1">A324</f>
        <v>et_List09_org2</v>
      </c>
      <c r="B325" s="96" t="s">
        <v>1492</v>
      </c>
      <c r="C325" s="98">
        <f>C324</f>
        <v>0</v>
      </c>
      <c r="J325" s="716"/>
      <c r="L325" s="234" t="str">
        <f>L324&amp;".1"</f>
        <v>2.1.1</v>
      </c>
      <c r="M325" s="235" t="s">
        <v>1140</v>
      </c>
      <c r="N325" s="208" t="s">
        <v>310</v>
      </c>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183"/>
    </row>
    <row r="326" spans="1:39" s="96" customFormat="1" ht="11.25" customHeight="1" outlineLevel="1">
      <c r="A326" s="578" t="str">
        <f ca="1">A325</f>
        <v>et_List09_org2</v>
      </c>
      <c r="B326" s="96" t="s">
        <v>1493</v>
      </c>
      <c r="C326" s="98">
        <f>C325</f>
        <v>0</v>
      </c>
      <c r="J326" s="716"/>
      <c r="L326" s="234" t="str">
        <f>L324&amp;".2"</f>
        <v>2.1.2</v>
      </c>
      <c r="M326" s="235" t="s">
        <v>402</v>
      </c>
      <c r="N326" s="208" t="s">
        <v>652</v>
      </c>
      <c r="O326" s="554">
        <f t="shared" ref="O326:AL326" si="66">IF(OR(AND(O324&lt;&gt;0,O325=0),AND(O324=0,O325&lt;&gt;0)),"Ошибка",IF(O325=0,0,O324/O325))</f>
        <v>0</v>
      </c>
      <c r="P326" s="554">
        <f t="shared" si="66"/>
        <v>0</v>
      </c>
      <c r="Q326" s="554">
        <f t="shared" si="66"/>
        <v>0</v>
      </c>
      <c r="R326" s="554">
        <f t="shared" si="66"/>
        <v>0</v>
      </c>
      <c r="S326" s="554">
        <f t="shared" si="66"/>
        <v>0</v>
      </c>
      <c r="T326" s="554">
        <f t="shared" si="66"/>
        <v>0</v>
      </c>
      <c r="U326" s="554">
        <f t="shared" si="66"/>
        <v>0</v>
      </c>
      <c r="V326" s="554">
        <f t="shared" si="66"/>
        <v>0</v>
      </c>
      <c r="W326" s="554">
        <f t="shared" si="66"/>
        <v>0</v>
      </c>
      <c r="X326" s="554">
        <f t="shared" si="66"/>
        <v>0</v>
      </c>
      <c r="Y326" s="554">
        <f t="shared" si="66"/>
        <v>0</v>
      </c>
      <c r="Z326" s="554">
        <f t="shared" si="66"/>
        <v>0</v>
      </c>
      <c r="AA326" s="554">
        <f t="shared" si="66"/>
        <v>0</v>
      </c>
      <c r="AB326" s="554">
        <f t="shared" si="66"/>
        <v>0</v>
      </c>
      <c r="AC326" s="554">
        <f t="shared" si="66"/>
        <v>0</v>
      </c>
      <c r="AD326" s="554">
        <f t="shared" si="66"/>
        <v>0</v>
      </c>
      <c r="AE326" s="554">
        <f t="shared" si="66"/>
        <v>0</v>
      </c>
      <c r="AF326" s="554">
        <f t="shared" si="66"/>
        <v>0</v>
      </c>
      <c r="AG326" s="554">
        <f t="shared" si="66"/>
        <v>0</v>
      </c>
      <c r="AH326" s="554">
        <f t="shared" si="66"/>
        <v>0</v>
      </c>
      <c r="AI326" s="554">
        <f t="shared" si="66"/>
        <v>0</v>
      </c>
      <c r="AJ326" s="554">
        <f t="shared" si="66"/>
        <v>0</v>
      </c>
      <c r="AK326" s="554">
        <f t="shared" si="66"/>
        <v>0</v>
      </c>
      <c r="AL326" s="554">
        <f t="shared" si="66"/>
        <v>0</v>
      </c>
      <c r="AM326" s="183"/>
    </row>
    <row r="327" spans="1:39">
      <c r="A327" s="134" t="s">
        <v>1050</v>
      </c>
      <c r="C327" s="602"/>
    </row>
    <row r="328" spans="1:39" s="96" customFormat="1" ht="11.25" customHeight="1" outlineLevel="1">
      <c r="A328" s="146" t="str">
        <f ca="1">OFFSET(A328,-1,0)</f>
        <v>et_List09_org3</v>
      </c>
      <c r="B328" s="96" t="s">
        <v>1483</v>
      </c>
      <c r="C328" s="98">
        <f>M328</f>
        <v>0</v>
      </c>
      <c r="J328" s="716" t="s">
        <v>154</v>
      </c>
      <c r="K328" s="135" t="s">
        <v>264</v>
      </c>
      <c r="L328" s="233" t="str">
        <f>J328</f>
        <v>3.1</v>
      </c>
      <c r="M328" s="326"/>
      <c r="N328" s="213" t="s">
        <v>351</v>
      </c>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183"/>
    </row>
    <row r="329" spans="1:39" s="96" customFormat="1" ht="11.25" customHeight="1" outlineLevel="1">
      <c r="A329" s="578" t="str">
        <f ca="1">A328</f>
        <v>et_List09_org3</v>
      </c>
      <c r="B329" s="96" t="s">
        <v>1548</v>
      </c>
      <c r="C329" s="98">
        <f>C328</f>
        <v>0</v>
      </c>
      <c r="J329" s="716"/>
      <c r="L329" s="234" t="str">
        <f>L328&amp;".1"</f>
        <v>3.1.1</v>
      </c>
      <c r="M329" s="235" t="s">
        <v>1141</v>
      </c>
      <c r="N329" s="208" t="s">
        <v>310</v>
      </c>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183"/>
    </row>
    <row r="330" spans="1:39" s="96" customFormat="1" ht="11.25" customHeight="1" outlineLevel="1">
      <c r="A330" s="578" t="str">
        <f ca="1">A329</f>
        <v>et_List09_org3</v>
      </c>
      <c r="B330" s="96" t="s">
        <v>1550</v>
      </c>
      <c r="C330" s="98">
        <f>C329</f>
        <v>0</v>
      </c>
      <c r="J330" s="716"/>
      <c r="L330" s="234" t="str">
        <f>L328&amp;".2"</f>
        <v>3.1.2</v>
      </c>
      <c r="M330" s="235" t="s">
        <v>404</v>
      </c>
      <c r="N330" s="208" t="s">
        <v>652</v>
      </c>
      <c r="O330" s="554">
        <f t="shared" ref="O330:AL330" si="67">IF(OR(AND(O328&lt;&gt;0,O329=0),AND(O328=0,O329&lt;&gt;0)),"Ошибка",IF(O329=0,0,O328/O329))</f>
        <v>0</v>
      </c>
      <c r="P330" s="554">
        <f t="shared" si="67"/>
        <v>0</v>
      </c>
      <c r="Q330" s="554">
        <f t="shared" si="67"/>
        <v>0</v>
      </c>
      <c r="R330" s="554">
        <f t="shared" si="67"/>
        <v>0</v>
      </c>
      <c r="S330" s="554">
        <f t="shared" si="67"/>
        <v>0</v>
      </c>
      <c r="T330" s="554">
        <f t="shared" si="67"/>
        <v>0</v>
      </c>
      <c r="U330" s="554">
        <f t="shared" si="67"/>
        <v>0</v>
      </c>
      <c r="V330" s="554">
        <f t="shared" si="67"/>
        <v>0</v>
      </c>
      <c r="W330" s="554">
        <f t="shared" si="67"/>
        <v>0</v>
      </c>
      <c r="X330" s="554">
        <f t="shared" si="67"/>
        <v>0</v>
      </c>
      <c r="Y330" s="554">
        <f t="shared" si="67"/>
        <v>0</v>
      </c>
      <c r="Z330" s="554">
        <f t="shared" si="67"/>
        <v>0</v>
      </c>
      <c r="AA330" s="554">
        <f t="shared" si="67"/>
        <v>0</v>
      </c>
      <c r="AB330" s="554">
        <f t="shared" si="67"/>
        <v>0</v>
      </c>
      <c r="AC330" s="554">
        <f t="shared" si="67"/>
        <v>0</v>
      </c>
      <c r="AD330" s="554">
        <f t="shared" si="67"/>
        <v>0</v>
      </c>
      <c r="AE330" s="554">
        <f t="shared" si="67"/>
        <v>0</v>
      </c>
      <c r="AF330" s="554">
        <f t="shared" si="67"/>
        <v>0</v>
      </c>
      <c r="AG330" s="554">
        <f t="shared" si="67"/>
        <v>0</v>
      </c>
      <c r="AH330" s="554">
        <f t="shared" si="67"/>
        <v>0</v>
      </c>
      <c r="AI330" s="554">
        <f t="shared" si="67"/>
        <v>0</v>
      </c>
      <c r="AJ330" s="554">
        <f t="shared" si="67"/>
        <v>0</v>
      </c>
      <c r="AK330" s="554">
        <f t="shared" si="67"/>
        <v>0</v>
      </c>
      <c r="AL330" s="554">
        <f t="shared" si="67"/>
        <v>0</v>
      </c>
      <c r="AM330" s="183"/>
    </row>
    <row r="331" spans="1:39">
      <c r="A331" s="134" t="s">
        <v>1051</v>
      </c>
      <c r="C331" s="602"/>
    </row>
    <row r="332" spans="1:39" s="96" customFormat="1" ht="11.25" customHeight="1" outlineLevel="1">
      <c r="A332" s="146" t="str">
        <f ca="1">OFFSET(A332,-1,0)</f>
        <v>et_List09_org4</v>
      </c>
      <c r="B332" s="96" t="s">
        <v>1484</v>
      </c>
      <c r="C332" s="98">
        <f>M332</f>
        <v>0</v>
      </c>
      <c r="J332" s="716" t="s">
        <v>140</v>
      </c>
      <c r="K332" s="135" t="s">
        <v>264</v>
      </c>
      <c r="L332" s="233" t="str">
        <f>J332</f>
        <v>4.1</v>
      </c>
      <c r="M332" s="326"/>
      <c r="N332" s="213" t="s">
        <v>351</v>
      </c>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183"/>
    </row>
    <row r="333" spans="1:39" s="96" customFormat="1" ht="11.25" customHeight="1" outlineLevel="1">
      <c r="A333" s="578" t="str">
        <f ca="1">A332</f>
        <v>et_List09_org4</v>
      </c>
      <c r="B333" s="96" t="s">
        <v>1499</v>
      </c>
      <c r="C333" s="98">
        <f>C332</f>
        <v>0</v>
      </c>
      <c r="J333" s="716"/>
      <c r="L333" s="234" t="str">
        <f>L332&amp;".1"</f>
        <v>4.1.1</v>
      </c>
      <c r="M333" s="235" t="s">
        <v>1142</v>
      </c>
      <c r="N333" s="208" t="s">
        <v>310</v>
      </c>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183"/>
    </row>
    <row r="334" spans="1:39" s="96" customFormat="1" ht="11.25" customHeight="1" outlineLevel="1">
      <c r="A334" s="578" t="str">
        <f ca="1">A333</f>
        <v>et_List09_org4</v>
      </c>
      <c r="B334" s="96" t="s">
        <v>1500</v>
      </c>
      <c r="C334" s="98">
        <f>C333</f>
        <v>0</v>
      </c>
      <c r="J334" s="716"/>
      <c r="L334" s="234" t="str">
        <f>L332&amp;".2"</f>
        <v>4.1.2</v>
      </c>
      <c r="M334" s="235" t="s">
        <v>1092</v>
      </c>
      <c r="N334" s="208" t="s">
        <v>652</v>
      </c>
      <c r="O334" s="554">
        <f t="shared" ref="O334:AL334" si="68">IF(OR(AND(O332&lt;&gt;0,O333=0),AND(O332=0,O333&lt;&gt;0)),"Ошибка",IF(O333=0,0,O332/O333))</f>
        <v>0</v>
      </c>
      <c r="P334" s="554">
        <f t="shared" si="68"/>
        <v>0</v>
      </c>
      <c r="Q334" s="554">
        <f t="shared" si="68"/>
        <v>0</v>
      </c>
      <c r="R334" s="554">
        <f t="shared" si="68"/>
        <v>0</v>
      </c>
      <c r="S334" s="554">
        <f t="shared" si="68"/>
        <v>0</v>
      </c>
      <c r="T334" s="554">
        <f t="shared" si="68"/>
        <v>0</v>
      </c>
      <c r="U334" s="554">
        <f t="shared" si="68"/>
        <v>0</v>
      </c>
      <c r="V334" s="554">
        <f t="shared" si="68"/>
        <v>0</v>
      </c>
      <c r="W334" s="554">
        <f t="shared" si="68"/>
        <v>0</v>
      </c>
      <c r="X334" s="554">
        <f t="shared" si="68"/>
        <v>0</v>
      </c>
      <c r="Y334" s="554">
        <f t="shared" si="68"/>
        <v>0</v>
      </c>
      <c r="Z334" s="554">
        <f t="shared" si="68"/>
        <v>0</v>
      </c>
      <c r="AA334" s="554">
        <f t="shared" si="68"/>
        <v>0</v>
      </c>
      <c r="AB334" s="554">
        <f t="shared" si="68"/>
        <v>0</v>
      </c>
      <c r="AC334" s="554">
        <f t="shared" si="68"/>
        <v>0</v>
      </c>
      <c r="AD334" s="554">
        <f t="shared" si="68"/>
        <v>0</v>
      </c>
      <c r="AE334" s="554">
        <f t="shared" si="68"/>
        <v>0</v>
      </c>
      <c r="AF334" s="554">
        <f t="shared" si="68"/>
        <v>0</v>
      </c>
      <c r="AG334" s="554">
        <f t="shared" si="68"/>
        <v>0</v>
      </c>
      <c r="AH334" s="554">
        <f t="shared" si="68"/>
        <v>0</v>
      </c>
      <c r="AI334" s="554">
        <f t="shared" si="68"/>
        <v>0</v>
      </c>
      <c r="AJ334" s="554">
        <f t="shared" si="68"/>
        <v>0</v>
      </c>
      <c r="AK334" s="554">
        <f t="shared" si="68"/>
        <v>0</v>
      </c>
      <c r="AL334" s="554">
        <f t="shared" si="68"/>
        <v>0</v>
      </c>
      <c r="AM334" s="183"/>
    </row>
    <row r="335" spans="1:39">
      <c r="A335" s="134" t="s">
        <v>1371</v>
      </c>
      <c r="C335" s="602"/>
    </row>
    <row r="336" spans="1:39" s="96" customFormat="1" ht="11.25" customHeight="1" outlineLevel="1">
      <c r="A336" s="146" t="str">
        <f ca="1">OFFSET(A336,-1,0)</f>
        <v>et_List09_org5</v>
      </c>
      <c r="B336" s="96" t="s">
        <v>1485</v>
      </c>
      <c r="C336" s="98">
        <f>M336</f>
        <v>0</v>
      </c>
      <c r="J336" s="716" t="s">
        <v>122</v>
      </c>
      <c r="K336" s="135" t="s">
        <v>264</v>
      </c>
      <c r="L336" s="233" t="str">
        <f>J336</f>
        <v>5.1</v>
      </c>
      <c r="M336" s="326"/>
      <c r="N336" s="213" t="s">
        <v>351</v>
      </c>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183"/>
    </row>
    <row r="337" spans="1:39" s="96" customFormat="1" ht="11.25" customHeight="1" outlineLevel="1">
      <c r="A337" s="578" t="str">
        <f ca="1">A336</f>
        <v>et_List09_org5</v>
      </c>
      <c r="B337" s="96" t="s">
        <v>1502</v>
      </c>
      <c r="C337" s="98">
        <f>C336</f>
        <v>0</v>
      </c>
      <c r="J337" s="716"/>
      <c r="L337" s="234" t="str">
        <f>L336&amp;".1"</f>
        <v>5.1.1</v>
      </c>
      <c r="M337" s="235" t="s">
        <v>1372</v>
      </c>
      <c r="N337" s="208" t="s">
        <v>310</v>
      </c>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183"/>
    </row>
    <row r="338" spans="1:39" s="96" customFormat="1" ht="11.25" customHeight="1" outlineLevel="1">
      <c r="A338" s="578" t="str">
        <f ca="1">A337</f>
        <v>et_List09_org5</v>
      </c>
      <c r="B338" s="96" t="s">
        <v>1503</v>
      </c>
      <c r="C338" s="98">
        <f>C337</f>
        <v>0</v>
      </c>
      <c r="J338" s="716"/>
      <c r="L338" s="234" t="str">
        <f>L336&amp;".2"</f>
        <v>5.1.2</v>
      </c>
      <c r="M338" s="235" t="s">
        <v>1380</v>
      </c>
      <c r="N338" s="208" t="s">
        <v>652</v>
      </c>
      <c r="O338" s="554">
        <f t="shared" ref="O338:AL338" si="69">IF(OR(AND(O336&lt;&gt;0,O337=0),AND(O336=0,O337&lt;&gt;0)),"Ошибка",IF(O337=0,0,O336/O337))</f>
        <v>0</v>
      </c>
      <c r="P338" s="554">
        <f t="shared" si="69"/>
        <v>0</v>
      </c>
      <c r="Q338" s="554">
        <f t="shared" si="69"/>
        <v>0</v>
      </c>
      <c r="R338" s="554">
        <f t="shared" si="69"/>
        <v>0</v>
      </c>
      <c r="S338" s="554">
        <f t="shared" si="69"/>
        <v>0</v>
      </c>
      <c r="T338" s="554">
        <f t="shared" si="69"/>
        <v>0</v>
      </c>
      <c r="U338" s="554">
        <f t="shared" si="69"/>
        <v>0</v>
      </c>
      <c r="V338" s="554">
        <f t="shared" si="69"/>
        <v>0</v>
      </c>
      <c r="W338" s="554">
        <f t="shared" si="69"/>
        <v>0</v>
      </c>
      <c r="X338" s="554">
        <f t="shared" si="69"/>
        <v>0</v>
      </c>
      <c r="Y338" s="554">
        <f t="shared" si="69"/>
        <v>0</v>
      </c>
      <c r="Z338" s="554">
        <f t="shared" si="69"/>
        <v>0</v>
      </c>
      <c r="AA338" s="554">
        <f t="shared" si="69"/>
        <v>0</v>
      </c>
      <c r="AB338" s="554">
        <f t="shared" si="69"/>
        <v>0</v>
      </c>
      <c r="AC338" s="554">
        <f t="shared" si="69"/>
        <v>0</v>
      </c>
      <c r="AD338" s="554">
        <f t="shared" si="69"/>
        <v>0</v>
      </c>
      <c r="AE338" s="554">
        <f t="shared" si="69"/>
        <v>0</v>
      </c>
      <c r="AF338" s="554">
        <f t="shared" si="69"/>
        <v>0</v>
      </c>
      <c r="AG338" s="554">
        <f t="shared" si="69"/>
        <v>0</v>
      </c>
      <c r="AH338" s="554">
        <f t="shared" si="69"/>
        <v>0</v>
      </c>
      <c r="AI338" s="554">
        <f t="shared" si="69"/>
        <v>0</v>
      </c>
      <c r="AJ338" s="554">
        <f t="shared" si="69"/>
        <v>0</v>
      </c>
      <c r="AK338" s="554">
        <f t="shared" si="69"/>
        <v>0</v>
      </c>
      <c r="AL338" s="554">
        <f t="shared" si="69"/>
        <v>0</v>
      </c>
      <c r="AM338" s="183"/>
    </row>
    <row r="340" spans="1:39" s="131" customFormat="1" ht="30" customHeight="1">
      <c r="A340" s="130" t="s">
        <v>1054</v>
      </c>
      <c r="M340" s="132"/>
      <c r="N340" s="132"/>
      <c r="O340" s="132"/>
      <c r="P340" s="132"/>
      <c r="AA340" s="133"/>
    </row>
    <row r="341" spans="1:39">
      <c r="A341" s="134" t="s">
        <v>1052</v>
      </c>
    </row>
    <row r="342" spans="1:39" s="80" customFormat="1" ht="15" customHeight="1">
      <c r="A342" s="172" t="s">
        <v>18</v>
      </c>
      <c r="L342" s="226" t="str">
        <f>INDEX('Общие сведения'!$J$114:$J$127,MATCH($A342,'Общие сведения'!$D$114:$D$127,0))</f>
        <v>Тариф 1 (Водоснабжение) - тариф на питьевую воду</v>
      </c>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row>
    <row r="343" spans="1:39" s="80" customFormat="1" ht="22.5" outlineLevel="1">
      <c r="A343" s="578" t="str">
        <f t="shared" ref="A343:A354" si="70">A342</f>
        <v>1</v>
      </c>
      <c r="B343" s="80" t="s">
        <v>1549</v>
      </c>
      <c r="L343" s="249">
        <v>0</v>
      </c>
      <c r="M343" s="563" t="s">
        <v>410</v>
      </c>
      <c r="N343" s="218" t="s">
        <v>351</v>
      </c>
      <c r="O343" s="242">
        <f>SUM(O344:O352)</f>
        <v>0</v>
      </c>
      <c r="P343" s="242">
        <f t="shared" ref="P343:AL343" si="71">SUM(P344:P352)</f>
        <v>0</v>
      </c>
      <c r="Q343" s="242">
        <f t="shared" si="71"/>
        <v>0</v>
      </c>
      <c r="R343" s="242">
        <f t="shared" si="71"/>
        <v>0</v>
      </c>
      <c r="S343" s="242">
        <f t="shared" si="71"/>
        <v>0</v>
      </c>
      <c r="T343" s="242">
        <f t="shared" si="71"/>
        <v>0</v>
      </c>
      <c r="U343" s="242">
        <f t="shared" si="71"/>
        <v>0</v>
      </c>
      <c r="V343" s="242">
        <f t="shared" si="71"/>
        <v>0</v>
      </c>
      <c r="W343" s="242">
        <f t="shared" si="71"/>
        <v>0</v>
      </c>
      <c r="X343" s="242">
        <f t="shared" si="71"/>
        <v>0</v>
      </c>
      <c r="Y343" s="242">
        <f t="shared" si="71"/>
        <v>0</v>
      </c>
      <c r="Z343" s="242">
        <f t="shared" si="71"/>
        <v>0</v>
      </c>
      <c r="AA343" s="242">
        <f t="shared" si="71"/>
        <v>0</v>
      </c>
      <c r="AB343" s="242">
        <f t="shared" si="71"/>
        <v>0</v>
      </c>
      <c r="AC343" s="242">
        <f t="shared" si="71"/>
        <v>0</v>
      </c>
      <c r="AD343" s="242">
        <f t="shared" si="71"/>
        <v>0</v>
      </c>
      <c r="AE343" s="242">
        <f t="shared" si="71"/>
        <v>0</v>
      </c>
      <c r="AF343" s="242">
        <f t="shared" si="71"/>
        <v>0</v>
      </c>
      <c r="AG343" s="242">
        <f t="shared" si="71"/>
        <v>0</v>
      </c>
      <c r="AH343" s="242">
        <f t="shared" si="71"/>
        <v>0</v>
      </c>
      <c r="AI343" s="242">
        <f t="shared" si="71"/>
        <v>0</v>
      </c>
      <c r="AJ343" s="242">
        <f t="shared" si="71"/>
        <v>0</v>
      </c>
      <c r="AK343" s="242">
        <f t="shared" si="71"/>
        <v>0</v>
      </c>
      <c r="AL343" s="242">
        <f t="shared" si="71"/>
        <v>0</v>
      </c>
      <c r="AM343" s="183"/>
    </row>
    <row r="344" spans="1:39" s="80" customFormat="1" outlineLevel="1">
      <c r="A344" s="578" t="str">
        <f t="shared" si="70"/>
        <v>1</v>
      </c>
      <c r="B344" s="80" t="s">
        <v>1480</v>
      </c>
      <c r="L344" s="219" t="s">
        <v>18</v>
      </c>
      <c r="M344" s="564" t="s">
        <v>411</v>
      </c>
      <c r="N344" s="221" t="s">
        <v>351</v>
      </c>
      <c r="O344" s="243"/>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183"/>
    </row>
    <row r="345" spans="1:39" s="80" customFormat="1" outlineLevel="1">
      <c r="A345" s="578" t="str">
        <f t="shared" si="70"/>
        <v>1</v>
      </c>
      <c r="B345" s="80" t="s">
        <v>1481</v>
      </c>
      <c r="L345" s="219" t="s">
        <v>102</v>
      </c>
      <c r="M345" s="564" t="s">
        <v>412</v>
      </c>
      <c r="N345" s="221" t="s">
        <v>351</v>
      </c>
      <c r="O345" s="243"/>
      <c r="P345" s="244"/>
      <c r="Q345" s="244"/>
      <c r="R345" s="244"/>
      <c r="S345" s="244"/>
      <c r="T345" s="244"/>
      <c r="U345" s="244"/>
      <c r="V345" s="244"/>
      <c r="W345" s="244"/>
      <c r="X345" s="244"/>
      <c r="Y345" s="244"/>
      <c r="Z345" s="244"/>
      <c r="AA345" s="244"/>
      <c r="AB345" s="244"/>
      <c r="AC345" s="244"/>
      <c r="AD345" s="244"/>
      <c r="AE345" s="244"/>
      <c r="AF345" s="244"/>
      <c r="AG345" s="244"/>
      <c r="AH345" s="244"/>
      <c r="AI345" s="244"/>
      <c r="AJ345" s="244"/>
      <c r="AK345" s="244"/>
      <c r="AL345" s="244"/>
      <c r="AM345" s="183"/>
    </row>
    <row r="346" spans="1:39" s="80" customFormat="1" outlineLevel="1">
      <c r="A346" s="578" t="str">
        <f t="shared" si="70"/>
        <v>1</v>
      </c>
      <c r="B346" s="80" t="s">
        <v>1483</v>
      </c>
      <c r="L346" s="219" t="s">
        <v>103</v>
      </c>
      <c r="M346" s="564" t="s">
        <v>1390</v>
      </c>
      <c r="N346" s="221" t="s">
        <v>351</v>
      </c>
      <c r="O346" s="243"/>
      <c r="P346" s="244"/>
      <c r="Q346" s="244"/>
      <c r="R346" s="244"/>
      <c r="S346" s="244"/>
      <c r="T346" s="244"/>
      <c r="U346" s="244"/>
      <c r="V346" s="244"/>
      <c r="W346" s="244"/>
      <c r="X346" s="244"/>
      <c r="Y346" s="244"/>
      <c r="Z346" s="244"/>
      <c r="AA346" s="244"/>
      <c r="AB346" s="244"/>
      <c r="AC346" s="244"/>
      <c r="AD346" s="244"/>
      <c r="AE346" s="244"/>
      <c r="AF346" s="244"/>
      <c r="AG346" s="244"/>
      <c r="AH346" s="244"/>
      <c r="AI346" s="244"/>
      <c r="AJ346" s="244"/>
      <c r="AK346" s="244"/>
      <c r="AL346" s="244"/>
      <c r="AM346" s="183"/>
    </row>
    <row r="347" spans="1:39" s="94" customFormat="1" outlineLevel="1">
      <c r="A347" s="578" t="str">
        <f t="shared" si="70"/>
        <v>1</v>
      </c>
      <c r="B347" s="94" t="s">
        <v>1484</v>
      </c>
      <c r="L347" s="239">
        <v>4</v>
      </c>
      <c r="M347" s="564" t="s">
        <v>413</v>
      </c>
      <c r="N347" s="221" t="s">
        <v>351</v>
      </c>
      <c r="O347" s="245"/>
      <c r="P347" s="245"/>
      <c r="Q347" s="245"/>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183"/>
    </row>
    <row r="348" spans="1:39" s="80" customFormat="1" outlineLevel="1">
      <c r="A348" s="578" t="str">
        <f t="shared" si="70"/>
        <v>1</v>
      </c>
      <c r="B348" s="80" t="s">
        <v>1485</v>
      </c>
      <c r="L348" s="219" t="s">
        <v>120</v>
      </c>
      <c r="M348" s="564" t="s">
        <v>414</v>
      </c>
      <c r="N348" s="221" t="s">
        <v>351</v>
      </c>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183"/>
    </row>
    <row r="349" spans="1:39" s="80" customFormat="1" outlineLevel="1">
      <c r="A349" s="578" t="str">
        <f t="shared" si="70"/>
        <v>1</v>
      </c>
      <c r="B349" s="80" t="s">
        <v>1486</v>
      </c>
      <c r="L349" s="219" t="s">
        <v>124</v>
      </c>
      <c r="M349" s="564" t="s">
        <v>133</v>
      </c>
      <c r="N349" s="221" t="s">
        <v>351</v>
      </c>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183"/>
    </row>
    <row r="350" spans="1:39" s="80" customFormat="1" outlineLevel="1">
      <c r="A350" s="578" t="str">
        <f t="shared" si="70"/>
        <v>1</v>
      </c>
      <c r="B350" s="80" t="s">
        <v>1487</v>
      </c>
      <c r="L350" s="219" t="s">
        <v>125</v>
      </c>
      <c r="M350" s="564" t="s">
        <v>132</v>
      </c>
      <c r="N350" s="221" t="s">
        <v>351</v>
      </c>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183"/>
    </row>
    <row r="351" spans="1:39" s="80" customFormat="1" outlineLevel="1">
      <c r="A351" s="578" t="str">
        <f t="shared" si="70"/>
        <v>1</v>
      </c>
      <c r="B351" s="80" t="s">
        <v>1494</v>
      </c>
      <c r="L351" s="219" t="s">
        <v>126</v>
      </c>
      <c r="M351" s="564" t="s">
        <v>1391</v>
      </c>
      <c r="N351" s="221" t="s">
        <v>351</v>
      </c>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183"/>
    </row>
    <row r="352" spans="1:39" s="94" customFormat="1" outlineLevel="1">
      <c r="A352" s="578" t="str">
        <f>A350</f>
        <v>1</v>
      </c>
      <c r="B352" s="94" t="s">
        <v>1495</v>
      </c>
      <c r="L352" s="239">
        <v>9</v>
      </c>
      <c r="M352" s="564" t="s">
        <v>415</v>
      </c>
      <c r="N352" s="221" t="s">
        <v>351</v>
      </c>
      <c r="O352" s="250">
        <f>SUM(O353:O354)</f>
        <v>0</v>
      </c>
      <c r="P352" s="250">
        <f t="shared" ref="P352:AL352" si="72">SUM(P353:P354)</f>
        <v>0</v>
      </c>
      <c r="Q352" s="250">
        <f t="shared" si="72"/>
        <v>0</v>
      </c>
      <c r="R352" s="250">
        <f t="shared" si="72"/>
        <v>0</v>
      </c>
      <c r="S352" s="250">
        <f t="shared" si="72"/>
        <v>0</v>
      </c>
      <c r="T352" s="250">
        <f t="shared" si="72"/>
        <v>0</v>
      </c>
      <c r="U352" s="250">
        <f t="shared" si="72"/>
        <v>0</v>
      </c>
      <c r="V352" s="250">
        <f t="shared" si="72"/>
        <v>0</v>
      </c>
      <c r="W352" s="250">
        <f t="shared" si="72"/>
        <v>0</v>
      </c>
      <c r="X352" s="250">
        <f t="shared" si="72"/>
        <v>0</v>
      </c>
      <c r="Y352" s="250">
        <f t="shared" si="72"/>
        <v>0</v>
      </c>
      <c r="Z352" s="250">
        <f t="shared" si="72"/>
        <v>0</v>
      </c>
      <c r="AA352" s="250">
        <f t="shared" si="72"/>
        <v>0</v>
      </c>
      <c r="AB352" s="250">
        <f t="shared" si="72"/>
        <v>0</v>
      </c>
      <c r="AC352" s="250">
        <f t="shared" si="72"/>
        <v>0</v>
      </c>
      <c r="AD352" s="250">
        <f t="shared" si="72"/>
        <v>0</v>
      </c>
      <c r="AE352" s="250">
        <f t="shared" si="72"/>
        <v>0</v>
      </c>
      <c r="AF352" s="250">
        <f t="shared" si="72"/>
        <v>0</v>
      </c>
      <c r="AG352" s="250">
        <f t="shared" si="72"/>
        <v>0</v>
      </c>
      <c r="AH352" s="250">
        <f t="shared" si="72"/>
        <v>0</v>
      </c>
      <c r="AI352" s="250">
        <f t="shared" si="72"/>
        <v>0</v>
      </c>
      <c r="AJ352" s="250">
        <f t="shared" si="72"/>
        <v>0</v>
      </c>
      <c r="AK352" s="250">
        <f t="shared" si="72"/>
        <v>0</v>
      </c>
      <c r="AL352" s="250">
        <f t="shared" si="72"/>
        <v>0</v>
      </c>
      <c r="AM352" s="183"/>
    </row>
    <row r="353" spans="1:41" s="94" customFormat="1" ht="0.2" customHeight="1" outlineLevel="1">
      <c r="A353" s="578" t="str">
        <f t="shared" si="70"/>
        <v>1</v>
      </c>
      <c r="L353" s="239" t="s">
        <v>1325</v>
      </c>
      <c r="M353" s="220"/>
      <c r="N353" s="221"/>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1"/>
    </row>
    <row r="354" spans="1:41" s="80" customFormat="1" outlineLevel="1">
      <c r="A354" s="578" t="str">
        <f t="shared" si="70"/>
        <v>1</v>
      </c>
      <c r="B354" s="80" t="str">
        <f>A354&amp;"pIns"</f>
        <v>1pIns</v>
      </c>
      <c r="L354" s="246"/>
      <c r="M354" s="247" t="s">
        <v>352</v>
      </c>
      <c r="N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8"/>
    </row>
    <row r="355" spans="1:41">
      <c r="A355" s="134" t="s">
        <v>1053</v>
      </c>
    </row>
    <row r="356" spans="1:41" s="80" customFormat="1" ht="14.25" outlineLevel="1">
      <c r="A356" s="252" t="str">
        <f>A355</f>
        <v>et_List10_nalog</v>
      </c>
      <c r="B356" s="80" t="s">
        <v>1495</v>
      </c>
      <c r="C356" s="604">
        <f>M356</f>
        <v>0</v>
      </c>
      <c r="K356" s="135" t="s">
        <v>264</v>
      </c>
      <c r="L356" s="219" t="s">
        <v>18</v>
      </c>
      <c r="M356" s="251"/>
      <c r="N356" s="221" t="s">
        <v>351</v>
      </c>
      <c r="O356" s="243"/>
      <c r="P356" s="244"/>
      <c r="Q356" s="244"/>
      <c r="R356" s="244"/>
      <c r="S356" s="244"/>
      <c r="T356" s="244"/>
      <c r="U356" s="244"/>
      <c r="V356" s="244"/>
      <c r="W356" s="244"/>
      <c r="X356" s="244"/>
      <c r="Y356" s="244"/>
      <c r="Z356" s="244"/>
      <c r="AA356" s="244"/>
      <c r="AB356" s="244"/>
      <c r="AC356" s="244"/>
      <c r="AD356" s="244"/>
      <c r="AE356" s="244"/>
      <c r="AF356" s="244"/>
      <c r="AG356" s="244"/>
      <c r="AH356" s="244"/>
      <c r="AI356" s="244"/>
      <c r="AJ356" s="244"/>
      <c r="AK356" s="244"/>
      <c r="AL356" s="244"/>
      <c r="AM356" s="183"/>
    </row>
    <row r="357" spans="1:41">
      <c r="C357" s="322"/>
    </row>
    <row r="358" spans="1:41" s="131" customFormat="1" ht="30" customHeight="1">
      <c r="A358" s="130" t="s">
        <v>1057</v>
      </c>
      <c r="M358" s="132"/>
      <c r="N358" s="132"/>
      <c r="O358" s="132"/>
      <c r="P358" s="132"/>
      <c r="AA358" s="133"/>
    </row>
    <row r="359" spans="1:41">
      <c r="A359" s="134" t="s">
        <v>1058</v>
      </c>
    </row>
    <row r="360" spans="1:41" s="80" customFormat="1" ht="15" customHeight="1">
      <c r="A360" s="172" t="s">
        <v>18</v>
      </c>
      <c r="B360" s="101" t="b">
        <f>'ИП + источники'!$N$14&lt;&gt;"да"</f>
        <v>1</v>
      </c>
      <c r="L360" s="268" t="str">
        <f>INDEX('Общие сведения'!$J$114:$J$127,MATCH($A360,'Общие сведения'!$D$114:$D$127,0))</f>
        <v>Тариф 1 (Водоснабжение) - тариф на питьевую воду</v>
      </c>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row>
    <row r="361" spans="1:41" s="267" customFormat="1" ht="22.5" outlineLevel="1">
      <c r="A361" s="578" t="str">
        <f t="shared" ref="A361:A383" si="73">A360</f>
        <v>1</v>
      </c>
      <c r="B361" s="101" t="b">
        <f>'ИП + источники'!$N$14&lt;&gt;"да"</f>
        <v>1</v>
      </c>
      <c r="C361" s="101" t="s">
        <v>1480</v>
      </c>
      <c r="L361" s="265">
        <v>1</v>
      </c>
      <c r="M361" s="260" t="s">
        <v>419</v>
      </c>
      <c r="N361" s="266" t="s">
        <v>351</v>
      </c>
      <c r="O361" s="256">
        <f>O362+O367+O371+O375</f>
        <v>0</v>
      </c>
      <c r="P361" s="256">
        <f t="shared" ref="P361:AN361" si="74">P362+P367+P371+P375</f>
        <v>0</v>
      </c>
      <c r="Q361" s="256">
        <f t="shared" si="74"/>
        <v>0</v>
      </c>
      <c r="R361" s="256">
        <f t="shared" si="74"/>
        <v>0</v>
      </c>
      <c r="S361" s="256">
        <f t="shared" si="74"/>
        <v>0</v>
      </c>
      <c r="T361" s="256">
        <f t="shared" si="74"/>
        <v>0</v>
      </c>
      <c r="U361" s="256">
        <f t="shared" si="74"/>
        <v>0</v>
      </c>
      <c r="V361" s="256">
        <f t="shared" si="74"/>
        <v>0</v>
      </c>
      <c r="W361" s="256">
        <f t="shared" si="74"/>
        <v>0</v>
      </c>
      <c r="X361" s="256">
        <f t="shared" si="74"/>
        <v>0</v>
      </c>
      <c r="Y361" s="256">
        <f t="shared" si="74"/>
        <v>0</v>
      </c>
      <c r="Z361" s="256">
        <f t="shared" si="74"/>
        <v>0</v>
      </c>
      <c r="AA361" s="256">
        <f t="shared" si="74"/>
        <v>0</v>
      </c>
      <c r="AB361" s="256">
        <f t="shared" si="74"/>
        <v>0</v>
      </c>
      <c r="AC361" s="256">
        <f t="shared" si="74"/>
        <v>0</v>
      </c>
      <c r="AD361" s="256">
        <f t="shared" si="74"/>
        <v>0</v>
      </c>
      <c r="AE361" s="256">
        <f t="shared" si="74"/>
        <v>0</v>
      </c>
      <c r="AF361" s="256">
        <f t="shared" si="74"/>
        <v>0</v>
      </c>
      <c r="AG361" s="256">
        <f t="shared" si="74"/>
        <v>0</v>
      </c>
      <c r="AH361" s="256">
        <f t="shared" si="74"/>
        <v>0</v>
      </c>
      <c r="AI361" s="256">
        <f t="shared" si="74"/>
        <v>0</v>
      </c>
      <c r="AJ361" s="256">
        <f t="shared" si="74"/>
        <v>0</v>
      </c>
      <c r="AK361" s="256">
        <f t="shared" si="74"/>
        <v>0</v>
      </c>
      <c r="AL361" s="256">
        <f t="shared" si="74"/>
        <v>0</v>
      </c>
      <c r="AM361" s="256">
        <f t="shared" si="74"/>
        <v>0</v>
      </c>
      <c r="AN361" s="256">
        <f t="shared" si="74"/>
        <v>0</v>
      </c>
      <c r="AO361" s="183"/>
    </row>
    <row r="362" spans="1:41" s="101" customFormat="1" outlineLevel="1">
      <c r="A362" s="578" t="str">
        <f t="shared" si="73"/>
        <v>1</v>
      </c>
      <c r="B362" s="101" t="b">
        <f>'ИП + источники'!$N$14&lt;&gt;"да"</f>
        <v>1</v>
      </c>
      <c r="C362" s="101" t="s">
        <v>1491</v>
      </c>
      <c r="L362" s="262" t="s">
        <v>149</v>
      </c>
      <c r="M362" s="263" t="s">
        <v>420</v>
      </c>
      <c r="N362" s="259" t="s">
        <v>351</v>
      </c>
      <c r="O362" s="257">
        <f>O363+O364+O365+O366</f>
        <v>0</v>
      </c>
      <c r="P362" s="257">
        <f t="shared" ref="P362:AN362" si="75">P363+P364+P365+P366</f>
        <v>0</v>
      </c>
      <c r="Q362" s="257">
        <f t="shared" si="75"/>
        <v>0</v>
      </c>
      <c r="R362" s="257">
        <f t="shared" si="75"/>
        <v>0</v>
      </c>
      <c r="S362" s="257">
        <f t="shared" si="75"/>
        <v>0</v>
      </c>
      <c r="T362" s="257">
        <f t="shared" si="75"/>
        <v>0</v>
      </c>
      <c r="U362" s="257">
        <f t="shared" si="75"/>
        <v>0</v>
      </c>
      <c r="V362" s="257">
        <f t="shared" si="75"/>
        <v>0</v>
      </c>
      <c r="W362" s="257">
        <f t="shared" si="75"/>
        <v>0</v>
      </c>
      <c r="X362" s="257">
        <f t="shared" si="75"/>
        <v>0</v>
      </c>
      <c r="Y362" s="257">
        <f t="shared" si="75"/>
        <v>0</v>
      </c>
      <c r="Z362" s="257">
        <f t="shared" si="75"/>
        <v>0</v>
      </c>
      <c r="AA362" s="257">
        <f t="shared" si="75"/>
        <v>0</v>
      </c>
      <c r="AB362" s="257">
        <f t="shared" si="75"/>
        <v>0</v>
      </c>
      <c r="AC362" s="257">
        <f t="shared" si="75"/>
        <v>0</v>
      </c>
      <c r="AD362" s="257">
        <f t="shared" si="75"/>
        <v>0</v>
      </c>
      <c r="AE362" s="257">
        <f t="shared" si="75"/>
        <v>0</v>
      </c>
      <c r="AF362" s="257">
        <f t="shared" si="75"/>
        <v>0</v>
      </c>
      <c r="AG362" s="257">
        <f t="shared" si="75"/>
        <v>0</v>
      </c>
      <c r="AH362" s="257">
        <f t="shared" si="75"/>
        <v>0</v>
      </c>
      <c r="AI362" s="257">
        <f t="shared" si="75"/>
        <v>0</v>
      </c>
      <c r="AJ362" s="257">
        <f t="shared" si="75"/>
        <v>0</v>
      </c>
      <c r="AK362" s="257">
        <f t="shared" si="75"/>
        <v>0</v>
      </c>
      <c r="AL362" s="257">
        <f t="shared" si="75"/>
        <v>0</v>
      </c>
      <c r="AM362" s="257">
        <f t="shared" si="75"/>
        <v>0</v>
      </c>
      <c r="AN362" s="257">
        <f t="shared" si="75"/>
        <v>0</v>
      </c>
      <c r="AO362" s="183"/>
    </row>
    <row r="363" spans="1:41" s="101" customFormat="1" outlineLevel="1">
      <c r="A363" s="578" t="str">
        <f t="shared" si="73"/>
        <v>1</v>
      </c>
      <c r="B363" s="101" t="b">
        <f>'ИП + источники'!$N$14&lt;&gt;"да"</f>
        <v>1</v>
      </c>
      <c r="C363" s="101" t="s">
        <v>1567</v>
      </c>
      <c r="L363" s="262" t="s">
        <v>393</v>
      </c>
      <c r="M363" s="264" t="s">
        <v>421</v>
      </c>
      <c r="N363" s="259" t="s">
        <v>351</v>
      </c>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183"/>
    </row>
    <row r="364" spans="1:41" s="101" customFormat="1" outlineLevel="1">
      <c r="A364" s="578" t="str">
        <f t="shared" si="73"/>
        <v>1</v>
      </c>
      <c r="B364" s="101" t="b">
        <f>'ИП + источники'!$N$14&lt;&gt;"да"</f>
        <v>1</v>
      </c>
      <c r="C364" s="101" t="s">
        <v>1568</v>
      </c>
      <c r="L364" s="262" t="s">
        <v>395</v>
      </c>
      <c r="M364" s="264" t="s">
        <v>1093</v>
      </c>
      <c r="N364" s="259" t="s">
        <v>351</v>
      </c>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183"/>
    </row>
    <row r="365" spans="1:41" s="101" customFormat="1" outlineLevel="1">
      <c r="A365" s="578" t="str">
        <f t="shared" si="73"/>
        <v>1</v>
      </c>
      <c r="B365" s="101" t="b">
        <f>'ИП + источники'!$N$14&lt;&gt;"да"</f>
        <v>1</v>
      </c>
      <c r="C365" s="101" t="s">
        <v>1571</v>
      </c>
      <c r="L365" s="262" t="s">
        <v>1055</v>
      </c>
      <c r="M365" s="264" t="s">
        <v>422</v>
      </c>
      <c r="N365" s="259" t="s">
        <v>351</v>
      </c>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183"/>
    </row>
    <row r="366" spans="1:41" s="101" customFormat="1" outlineLevel="1">
      <c r="A366" s="578" t="str">
        <f t="shared" si="73"/>
        <v>1</v>
      </c>
      <c r="B366" s="101" t="b">
        <f>'ИП + источники'!$N$14&lt;&gt;"да"</f>
        <v>1</v>
      </c>
      <c r="C366" s="101" t="s">
        <v>1572</v>
      </c>
      <c r="L366" s="262" t="s">
        <v>1056</v>
      </c>
      <c r="M366" s="264" t="s">
        <v>423</v>
      </c>
      <c r="N366" s="259" t="s">
        <v>351</v>
      </c>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183"/>
    </row>
    <row r="367" spans="1:41" s="101" customFormat="1" outlineLevel="1">
      <c r="A367" s="578" t="str">
        <f t="shared" si="73"/>
        <v>1</v>
      </c>
      <c r="B367" s="101" t="b">
        <f>'ИП + источники'!$N$14&lt;&gt;"да"</f>
        <v>1</v>
      </c>
      <c r="C367" s="101" t="s">
        <v>1489</v>
      </c>
      <c r="L367" s="262" t="s">
        <v>150</v>
      </c>
      <c r="M367" s="263" t="s">
        <v>424</v>
      </c>
      <c r="N367" s="259" t="s">
        <v>351</v>
      </c>
      <c r="O367" s="257">
        <f>O368+O369+O370</f>
        <v>0</v>
      </c>
      <c r="P367" s="257">
        <f t="shared" ref="P367:AN367" si="76">P368+P369+P370</f>
        <v>0</v>
      </c>
      <c r="Q367" s="257">
        <f t="shared" si="76"/>
        <v>0</v>
      </c>
      <c r="R367" s="257">
        <f t="shared" si="76"/>
        <v>0</v>
      </c>
      <c r="S367" s="257">
        <f t="shared" si="76"/>
        <v>0</v>
      </c>
      <c r="T367" s="257">
        <f t="shared" si="76"/>
        <v>0</v>
      </c>
      <c r="U367" s="257">
        <f t="shared" si="76"/>
        <v>0</v>
      </c>
      <c r="V367" s="257">
        <f t="shared" si="76"/>
        <v>0</v>
      </c>
      <c r="W367" s="257">
        <f t="shared" si="76"/>
        <v>0</v>
      </c>
      <c r="X367" s="257">
        <f t="shared" si="76"/>
        <v>0</v>
      </c>
      <c r="Y367" s="257">
        <f t="shared" si="76"/>
        <v>0</v>
      </c>
      <c r="Z367" s="257">
        <f t="shared" si="76"/>
        <v>0</v>
      </c>
      <c r="AA367" s="257">
        <f t="shared" si="76"/>
        <v>0</v>
      </c>
      <c r="AB367" s="257">
        <f t="shared" si="76"/>
        <v>0</v>
      </c>
      <c r="AC367" s="257">
        <f t="shared" si="76"/>
        <v>0</v>
      </c>
      <c r="AD367" s="257">
        <f t="shared" si="76"/>
        <v>0</v>
      </c>
      <c r="AE367" s="257">
        <f t="shared" si="76"/>
        <v>0</v>
      </c>
      <c r="AF367" s="257">
        <f t="shared" si="76"/>
        <v>0</v>
      </c>
      <c r="AG367" s="257">
        <f t="shared" si="76"/>
        <v>0</v>
      </c>
      <c r="AH367" s="257">
        <f t="shared" si="76"/>
        <v>0</v>
      </c>
      <c r="AI367" s="257">
        <f t="shared" si="76"/>
        <v>0</v>
      </c>
      <c r="AJ367" s="257">
        <f t="shared" si="76"/>
        <v>0</v>
      </c>
      <c r="AK367" s="257">
        <f t="shared" si="76"/>
        <v>0</v>
      </c>
      <c r="AL367" s="257">
        <f t="shared" si="76"/>
        <v>0</v>
      </c>
      <c r="AM367" s="257">
        <f t="shared" si="76"/>
        <v>0</v>
      </c>
      <c r="AN367" s="257">
        <f t="shared" si="76"/>
        <v>0</v>
      </c>
      <c r="AO367" s="183"/>
    </row>
    <row r="368" spans="1:41" s="101" customFormat="1" outlineLevel="1">
      <c r="A368" s="578" t="str">
        <f t="shared" si="73"/>
        <v>1</v>
      </c>
      <c r="B368" s="101" t="b">
        <f>'ИП + источники'!$N$14&lt;&gt;"да"</f>
        <v>1</v>
      </c>
      <c r="C368" s="101" t="s">
        <v>1573</v>
      </c>
      <c r="L368" s="262" t="s">
        <v>514</v>
      </c>
      <c r="M368" s="264" t="s">
        <v>425</v>
      </c>
      <c r="N368" s="259" t="s">
        <v>351</v>
      </c>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183"/>
    </row>
    <row r="369" spans="1:41" s="101" customFormat="1" outlineLevel="1">
      <c r="A369" s="578" t="str">
        <f t="shared" si="73"/>
        <v>1</v>
      </c>
      <c r="B369" s="101" t="b">
        <f>'ИП + источники'!$N$14&lt;&gt;"да"</f>
        <v>1</v>
      </c>
      <c r="C369" s="101" t="s">
        <v>1574</v>
      </c>
      <c r="L369" s="262" t="s">
        <v>520</v>
      </c>
      <c r="M369" s="264" t="s">
        <v>426</v>
      </c>
      <c r="N369" s="259" t="s">
        <v>351</v>
      </c>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183"/>
    </row>
    <row r="370" spans="1:41" s="101" customFormat="1" outlineLevel="1">
      <c r="A370" s="578" t="str">
        <f t="shared" si="73"/>
        <v>1</v>
      </c>
      <c r="B370" s="101" t="b">
        <f>'ИП + источники'!$N$14&lt;&gt;"да"</f>
        <v>1</v>
      </c>
      <c r="C370" s="101" t="s">
        <v>1575</v>
      </c>
      <c r="L370" s="262" t="s">
        <v>522</v>
      </c>
      <c r="M370" s="264" t="s">
        <v>427</v>
      </c>
      <c r="N370" s="259" t="s">
        <v>351</v>
      </c>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183"/>
    </row>
    <row r="371" spans="1:41" s="101" customFormat="1" outlineLevel="1">
      <c r="A371" s="578" t="str">
        <f t="shared" si="73"/>
        <v>1</v>
      </c>
      <c r="B371" s="101" t="b">
        <f>'ИП + источники'!$N$14&lt;&gt;"да"</f>
        <v>1</v>
      </c>
      <c r="C371" s="101" t="s">
        <v>1490</v>
      </c>
      <c r="L371" s="262" t="s">
        <v>359</v>
      </c>
      <c r="M371" s="263" t="s">
        <v>428</v>
      </c>
      <c r="N371" s="259" t="s">
        <v>351</v>
      </c>
      <c r="O371" s="257">
        <f>O372+O373+O374</f>
        <v>0</v>
      </c>
      <c r="P371" s="257">
        <f t="shared" ref="P371:AN371" si="77">P372+P373+P374</f>
        <v>0</v>
      </c>
      <c r="Q371" s="257">
        <f t="shared" si="77"/>
        <v>0</v>
      </c>
      <c r="R371" s="257">
        <f t="shared" si="77"/>
        <v>0</v>
      </c>
      <c r="S371" s="257">
        <f t="shared" si="77"/>
        <v>0</v>
      </c>
      <c r="T371" s="257">
        <f t="shared" si="77"/>
        <v>0</v>
      </c>
      <c r="U371" s="257">
        <f t="shared" si="77"/>
        <v>0</v>
      </c>
      <c r="V371" s="257">
        <f t="shared" si="77"/>
        <v>0</v>
      </c>
      <c r="W371" s="257">
        <f t="shared" si="77"/>
        <v>0</v>
      </c>
      <c r="X371" s="257">
        <f t="shared" si="77"/>
        <v>0</v>
      </c>
      <c r="Y371" s="257">
        <f t="shared" si="77"/>
        <v>0</v>
      </c>
      <c r="Z371" s="257">
        <f t="shared" si="77"/>
        <v>0</v>
      </c>
      <c r="AA371" s="257">
        <f t="shared" si="77"/>
        <v>0</v>
      </c>
      <c r="AB371" s="257">
        <f t="shared" si="77"/>
        <v>0</v>
      </c>
      <c r="AC371" s="257">
        <f t="shared" si="77"/>
        <v>0</v>
      </c>
      <c r="AD371" s="257">
        <f t="shared" si="77"/>
        <v>0</v>
      </c>
      <c r="AE371" s="257">
        <f t="shared" si="77"/>
        <v>0</v>
      </c>
      <c r="AF371" s="257">
        <f t="shared" si="77"/>
        <v>0</v>
      </c>
      <c r="AG371" s="257">
        <f t="shared" si="77"/>
        <v>0</v>
      </c>
      <c r="AH371" s="257">
        <f t="shared" si="77"/>
        <v>0</v>
      </c>
      <c r="AI371" s="257">
        <f t="shared" si="77"/>
        <v>0</v>
      </c>
      <c r="AJ371" s="257">
        <f t="shared" si="77"/>
        <v>0</v>
      </c>
      <c r="AK371" s="257">
        <f t="shared" si="77"/>
        <v>0</v>
      </c>
      <c r="AL371" s="257">
        <f t="shared" si="77"/>
        <v>0</v>
      </c>
      <c r="AM371" s="257">
        <f t="shared" si="77"/>
        <v>0</v>
      </c>
      <c r="AN371" s="257">
        <f t="shared" si="77"/>
        <v>0</v>
      </c>
      <c r="AO371" s="183"/>
    </row>
    <row r="372" spans="1:41" s="101" customFormat="1" outlineLevel="1">
      <c r="A372" s="578" t="str">
        <f t="shared" si="73"/>
        <v>1</v>
      </c>
      <c r="B372" s="101" t="b">
        <f>'ИП + источники'!$N$14&lt;&gt;"да"</f>
        <v>1</v>
      </c>
      <c r="C372" s="101" t="s">
        <v>1576</v>
      </c>
      <c r="L372" s="262" t="s">
        <v>543</v>
      </c>
      <c r="M372" s="264" t="s">
        <v>429</v>
      </c>
      <c r="N372" s="259" t="s">
        <v>351</v>
      </c>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183"/>
    </row>
    <row r="373" spans="1:41" s="101" customFormat="1" outlineLevel="1">
      <c r="A373" s="578" t="str">
        <f t="shared" si="73"/>
        <v>1</v>
      </c>
      <c r="B373" s="101" t="b">
        <f>'ИП + источники'!$N$14&lt;&gt;"да"</f>
        <v>1</v>
      </c>
      <c r="C373" s="101" t="s">
        <v>1577</v>
      </c>
      <c r="L373" s="262" t="s">
        <v>545</v>
      </c>
      <c r="M373" s="264" t="s">
        <v>430</v>
      </c>
      <c r="N373" s="259" t="s">
        <v>351</v>
      </c>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183"/>
    </row>
    <row r="374" spans="1:41" s="101" customFormat="1" outlineLevel="1">
      <c r="A374" s="578" t="str">
        <f t="shared" si="73"/>
        <v>1</v>
      </c>
      <c r="B374" s="101" t="b">
        <f>'ИП + источники'!$N$14&lt;&gt;"да"</f>
        <v>1</v>
      </c>
      <c r="C374" s="101" t="s">
        <v>1578</v>
      </c>
      <c r="L374" s="262" t="s">
        <v>547</v>
      </c>
      <c r="M374" s="264" t="s">
        <v>431</v>
      </c>
      <c r="N374" s="259" t="s">
        <v>351</v>
      </c>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183"/>
    </row>
    <row r="375" spans="1:41" s="101" customFormat="1" outlineLevel="1">
      <c r="A375" s="578" t="str">
        <f t="shared" si="73"/>
        <v>1</v>
      </c>
      <c r="B375" s="101" t="b">
        <f>'ИП + источники'!$N$14&lt;&gt;"да"</f>
        <v>1</v>
      </c>
      <c r="C375" s="101" t="s">
        <v>1488</v>
      </c>
      <c r="L375" s="262" t="s">
        <v>361</v>
      </c>
      <c r="M375" s="263" t="s">
        <v>432</v>
      </c>
      <c r="N375" s="259" t="s">
        <v>351</v>
      </c>
      <c r="O375" s="257">
        <f>O376+O377+O378+O379</f>
        <v>0</v>
      </c>
      <c r="P375" s="257">
        <f t="shared" ref="P375:AN375" si="78">P376+P377+P378+P379</f>
        <v>0</v>
      </c>
      <c r="Q375" s="257">
        <f t="shared" si="78"/>
        <v>0</v>
      </c>
      <c r="R375" s="257">
        <f t="shared" si="78"/>
        <v>0</v>
      </c>
      <c r="S375" s="257">
        <f t="shared" si="78"/>
        <v>0</v>
      </c>
      <c r="T375" s="257">
        <f t="shared" si="78"/>
        <v>0</v>
      </c>
      <c r="U375" s="257">
        <f t="shared" si="78"/>
        <v>0</v>
      </c>
      <c r="V375" s="257">
        <f t="shared" si="78"/>
        <v>0</v>
      </c>
      <c r="W375" s="257">
        <f t="shared" si="78"/>
        <v>0</v>
      </c>
      <c r="X375" s="257">
        <f t="shared" si="78"/>
        <v>0</v>
      </c>
      <c r="Y375" s="257">
        <f t="shared" si="78"/>
        <v>0</v>
      </c>
      <c r="Z375" s="257">
        <f t="shared" si="78"/>
        <v>0</v>
      </c>
      <c r="AA375" s="257">
        <f t="shared" si="78"/>
        <v>0</v>
      </c>
      <c r="AB375" s="257">
        <f t="shared" si="78"/>
        <v>0</v>
      </c>
      <c r="AC375" s="257">
        <f t="shared" si="78"/>
        <v>0</v>
      </c>
      <c r="AD375" s="257">
        <f t="shared" si="78"/>
        <v>0</v>
      </c>
      <c r="AE375" s="257">
        <f t="shared" si="78"/>
        <v>0</v>
      </c>
      <c r="AF375" s="257">
        <f t="shared" si="78"/>
        <v>0</v>
      </c>
      <c r="AG375" s="257">
        <f t="shared" si="78"/>
        <v>0</v>
      </c>
      <c r="AH375" s="257">
        <f t="shared" si="78"/>
        <v>0</v>
      </c>
      <c r="AI375" s="257">
        <f t="shared" si="78"/>
        <v>0</v>
      </c>
      <c r="AJ375" s="257">
        <f t="shared" si="78"/>
        <v>0</v>
      </c>
      <c r="AK375" s="257">
        <f t="shared" si="78"/>
        <v>0</v>
      </c>
      <c r="AL375" s="257">
        <f t="shared" si="78"/>
        <v>0</v>
      </c>
      <c r="AM375" s="257">
        <f t="shared" si="78"/>
        <v>0</v>
      </c>
      <c r="AN375" s="257">
        <f t="shared" si="78"/>
        <v>0</v>
      </c>
      <c r="AO375" s="183"/>
    </row>
    <row r="376" spans="1:41" s="101" customFormat="1" outlineLevel="1">
      <c r="A376" s="578" t="str">
        <f t="shared" si="73"/>
        <v>1</v>
      </c>
      <c r="B376" s="101" t="b">
        <f>'ИП + источники'!$N$14&lt;&gt;"да"</f>
        <v>1</v>
      </c>
      <c r="C376" s="101" t="s">
        <v>1579</v>
      </c>
      <c r="L376" s="262" t="s">
        <v>550</v>
      </c>
      <c r="M376" s="264" t="s">
        <v>433</v>
      </c>
      <c r="N376" s="259" t="s">
        <v>351</v>
      </c>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183"/>
    </row>
    <row r="377" spans="1:41" s="101" customFormat="1" ht="22.5" outlineLevel="1">
      <c r="A377" s="578" t="str">
        <f t="shared" si="73"/>
        <v>1</v>
      </c>
      <c r="B377" s="101" t="b">
        <f>'ИП + источники'!$N$14&lt;&gt;"да"</f>
        <v>1</v>
      </c>
      <c r="C377" s="101" t="s">
        <v>1580</v>
      </c>
      <c r="L377" s="262" t="s">
        <v>564</v>
      </c>
      <c r="M377" s="264" t="s">
        <v>1143</v>
      </c>
      <c r="N377" s="259" t="s">
        <v>351</v>
      </c>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183"/>
    </row>
    <row r="378" spans="1:41" s="101" customFormat="1" ht="22.5" outlineLevel="1">
      <c r="A378" s="578" t="str">
        <f t="shared" si="73"/>
        <v>1</v>
      </c>
      <c r="B378" s="101" t="b">
        <f>'ИП + источники'!$N$14&lt;&gt;"да"</f>
        <v>1</v>
      </c>
      <c r="C378" s="101" t="s">
        <v>1581</v>
      </c>
      <c r="L378" s="262" t="s">
        <v>568</v>
      </c>
      <c r="M378" s="264" t="s">
        <v>434</v>
      </c>
      <c r="N378" s="259" t="s">
        <v>351</v>
      </c>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183"/>
    </row>
    <row r="379" spans="1:41" s="101" customFormat="1" outlineLevel="1">
      <c r="A379" s="578" t="str">
        <f t="shared" si="73"/>
        <v>1</v>
      </c>
      <c r="B379" s="101" t="b">
        <f>'ИП + источники'!$N$14&lt;&gt;"да"</f>
        <v>1</v>
      </c>
      <c r="C379" s="101" t="s">
        <v>1582</v>
      </c>
      <c r="L379" s="262" t="s">
        <v>570</v>
      </c>
      <c r="M379" s="264" t="s">
        <v>435</v>
      </c>
      <c r="N379" s="259" t="s">
        <v>351</v>
      </c>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183"/>
    </row>
    <row r="380" spans="1:41" s="267" customFormat="1" ht="22.5" outlineLevel="1">
      <c r="A380" s="578" t="str">
        <f t="shared" si="73"/>
        <v>1</v>
      </c>
      <c r="B380" s="101" t="b">
        <f>'ИП + источники'!$N$14&lt;&gt;"да"</f>
        <v>1</v>
      </c>
      <c r="C380" s="101" t="s">
        <v>1481</v>
      </c>
      <c r="L380" s="265" t="s">
        <v>102</v>
      </c>
      <c r="M380" s="261" t="s">
        <v>436</v>
      </c>
      <c r="N380" s="266" t="s">
        <v>351</v>
      </c>
      <c r="O380" s="256">
        <f>O381+O382+O383</f>
        <v>0</v>
      </c>
      <c r="P380" s="256">
        <f t="shared" ref="P380:AN380" si="79">P381+P382+P383</f>
        <v>0</v>
      </c>
      <c r="Q380" s="256">
        <f t="shared" si="79"/>
        <v>0</v>
      </c>
      <c r="R380" s="256">
        <f t="shared" si="79"/>
        <v>0</v>
      </c>
      <c r="S380" s="256">
        <f t="shared" si="79"/>
        <v>0</v>
      </c>
      <c r="T380" s="256">
        <f t="shared" si="79"/>
        <v>0</v>
      </c>
      <c r="U380" s="256">
        <f t="shared" si="79"/>
        <v>0</v>
      </c>
      <c r="V380" s="256">
        <f t="shared" si="79"/>
        <v>0</v>
      </c>
      <c r="W380" s="256">
        <f t="shared" si="79"/>
        <v>0</v>
      </c>
      <c r="X380" s="256">
        <f t="shared" si="79"/>
        <v>0</v>
      </c>
      <c r="Y380" s="256">
        <f t="shared" si="79"/>
        <v>0</v>
      </c>
      <c r="Z380" s="256">
        <f t="shared" si="79"/>
        <v>0</v>
      </c>
      <c r="AA380" s="256">
        <f t="shared" si="79"/>
        <v>0</v>
      </c>
      <c r="AB380" s="256">
        <f t="shared" si="79"/>
        <v>0</v>
      </c>
      <c r="AC380" s="256">
        <f t="shared" si="79"/>
        <v>0</v>
      </c>
      <c r="AD380" s="256">
        <f t="shared" si="79"/>
        <v>0</v>
      </c>
      <c r="AE380" s="256">
        <f t="shared" si="79"/>
        <v>0</v>
      </c>
      <c r="AF380" s="256">
        <f t="shared" si="79"/>
        <v>0</v>
      </c>
      <c r="AG380" s="256">
        <f t="shared" si="79"/>
        <v>0</v>
      </c>
      <c r="AH380" s="256">
        <f t="shared" si="79"/>
        <v>0</v>
      </c>
      <c r="AI380" s="256">
        <f t="shared" si="79"/>
        <v>0</v>
      </c>
      <c r="AJ380" s="256">
        <f t="shared" si="79"/>
        <v>0</v>
      </c>
      <c r="AK380" s="256">
        <f t="shared" si="79"/>
        <v>0</v>
      </c>
      <c r="AL380" s="256">
        <f t="shared" si="79"/>
        <v>0</v>
      </c>
      <c r="AM380" s="256">
        <f t="shared" si="79"/>
        <v>0</v>
      </c>
      <c r="AN380" s="256">
        <f t="shared" si="79"/>
        <v>0</v>
      </c>
      <c r="AO380" s="183"/>
    </row>
    <row r="381" spans="1:41" s="101" customFormat="1" outlineLevel="1">
      <c r="A381" s="578" t="str">
        <f t="shared" si="73"/>
        <v>1</v>
      </c>
      <c r="B381" s="101" t="b">
        <f>'ИП + источники'!$N$14&lt;&gt;"да"</f>
        <v>1</v>
      </c>
      <c r="C381" s="101" t="s">
        <v>1492</v>
      </c>
      <c r="L381" s="262" t="s">
        <v>17</v>
      </c>
      <c r="M381" s="263" t="s">
        <v>1153</v>
      </c>
      <c r="N381" s="259" t="s">
        <v>351</v>
      </c>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183"/>
    </row>
    <row r="382" spans="1:41" s="101" customFormat="1" outlineLevel="1">
      <c r="A382" s="578" t="str">
        <f t="shared" si="73"/>
        <v>1</v>
      </c>
      <c r="B382" s="101" t="b">
        <f>'ИП + источники'!$N$14&lt;&gt;"да"</f>
        <v>1</v>
      </c>
      <c r="C382" s="101" t="s">
        <v>1493</v>
      </c>
      <c r="L382" s="262" t="s">
        <v>138</v>
      </c>
      <c r="M382" s="263" t="s">
        <v>1154</v>
      </c>
      <c r="N382" s="259" t="s">
        <v>351</v>
      </c>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183"/>
    </row>
    <row r="383" spans="1:41" s="101" customFormat="1" outlineLevel="1">
      <c r="A383" s="578" t="str">
        <f t="shared" si="73"/>
        <v>1</v>
      </c>
      <c r="B383" s="101" t="b">
        <f>'ИП + источники'!$N$14&lt;&gt;"да"</f>
        <v>1</v>
      </c>
      <c r="C383" s="101" t="s">
        <v>1552</v>
      </c>
      <c r="L383" s="262" t="s">
        <v>151</v>
      </c>
      <c r="M383" s="263" t="s">
        <v>437</v>
      </c>
      <c r="N383" s="259" t="s">
        <v>351</v>
      </c>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183"/>
    </row>
    <row r="384" spans="1:41">
      <c r="A384" s="578"/>
    </row>
    <row r="385" spans="1:35" s="131" customFormat="1" ht="30" customHeight="1">
      <c r="A385" s="130" t="s">
        <v>1059</v>
      </c>
      <c r="M385" s="132"/>
      <c r="N385" s="132"/>
      <c r="O385" s="132"/>
      <c r="P385" s="132"/>
      <c r="AA385" s="133"/>
    </row>
    <row r="386" spans="1:35">
      <c r="A386" s="134" t="s">
        <v>1060</v>
      </c>
    </row>
    <row r="387" spans="1:35" s="80" customFormat="1">
      <c r="A387" s="172" t="s">
        <v>18</v>
      </c>
      <c r="L387" s="268" t="str">
        <f>INDEX('Общие сведения'!$J$114:$J$127,MATCH($A387,'Общие сведения'!$D$114:$D$127,0))</f>
        <v>Тариф 1 (Водоснабжение) - тариф на питьевую воду</v>
      </c>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row>
    <row r="388" spans="1:35" s="267" customFormat="1" outlineLevel="1">
      <c r="A388" s="578" t="str">
        <f t="shared" ref="A388:A394" si="80">A387</f>
        <v>1</v>
      </c>
      <c r="B388" s="101" t="s">
        <v>1480</v>
      </c>
      <c r="L388" s="283" t="s">
        <v>18</v>
      </c>
      <c r="M388" s="274" t="s">
        <v>439</v>
      </c>
      <c r="N388" s="275" t="s">
        <v>351</v>
      </c>
      <c r="O388" s="279">
        <f t="shared" ref="O388:AH388" si="81">O389+O390+O391</f>
        <v>0</v>
      </c>
      <c r="P388" s="280">
        <f t="shared" si="81"/>
        <v>0</v>
      </c>
      <c r="Q388" s="280">
        <f t="shared" si="81"/>
        <v>0</v>
      </c>
      <c r="R388" s="280">
        <f t="shared" si="81"/>
        <v>0</v>
      </c>
      <c r="S388" s="280">
        <f t="shared" si="81"/>
        <v>0</v>
      </c>
      <c r="T388" s="280">
        <f t="shared" si="81"/>
        <v>0</v>
      </c>
      <c r="U388" s="280">
        <f t="shared" si="81"/>
        <v>0</v>
      </c>
      <c r="V388" s="280">
        <f t="shared" si="81"/>
        <v>0</v>
      </c>
      <c r="W388" s="280">
        <f t="shared" si="81"/>
        <v>0</v>
      </c>
      <c r="X388" s="280">
        <f t="shared" si="81"/>
        <v>0</v>
      </c>
      <c r="Y388" s="279">
        <f t="shared" si="81"/>
        <v>0</v>
      </c>
      <c r="Z388" s="280">
        <f t="shared" si="81"/>
        <v>0</v>
      </c>
      <c r="AA388" s="280">
        <f t="shared" si="81"/>
        <v>0</v>
      </c>
      <c r="AB388" s="280">
        <f t="shared" si="81"/>
        <v>0</v>
      </c>
      <c r="AC388" s="280">
        <f t="shared" si="81"/>
        <v>0</v>
      </c>
      <c r="AD388" s="280">
        <f t="shared" si="81"/>
        <v>0</v>
      </c>
      <c r="AE388" s="280">
        <f t="shared" si="81"/>
        <v>0</v>
      </c>
      <c r="AF388" s="280">
        <f t="shared" si="81"/>
        <v>0</v>
      </c>
      <c r="AG388" s="280">
        <f t="shared" si="81"/>
        <v>0</v>
      </c>
      <c r="AH388" s="280">
        <f t="shared" si="81"/>
        <v>0</v>
      </c>
      <c r="AI388" s="183"/>
    </row>
    <row r="389" spans="1:35" s="101" customFormat="1" outlineLevel="1">
      <c r="A389" s="578" t="str">
        <f t="shared" si="80"/>
        <v>1</v>
      </c>
      <c r="B389" s="101" t="s">
        <v>1491</v>
      </c>
      <c r="L389" s="270" t="s">
        <v>149</v>
      </c>
      <c r="M389" s="278" t="s">
        <v>440</v>
      </c>
      <c r="N389" s="277" t="s">
        <v>351</v>
      </c>
      <c r="O389" s="281"/>
      <c r="P389" s="282"/>
      <c r="Q389" s="282"/>
      <c r="R389" s="282"/>
      <c r="S389" s="282"/>
      <c r="T389" s="282"/>
      <c r="U389" s="282"/>
      <c r="V389" s="282"/>
      <c r="W389" s="282"/>
      <c r="X389" s="282"/>
      <c r="Y389" s="281"/>
      <c r="Z389" s="282"/>
      <c r="AA389" s="282"/>
      <c r="AB389" s="282"/>
      <c r="AC389" s="282"/>
      <c r="AD389" s="282"/>
      <c r="AE389" s="282"/>
      <c r="AF389" s="282"/>
      <c r="AG389" s="282"/>
      <c r="AH389" s="282"/>
      <c r="AI389" s="183"/>
    </row>
    <row r="390" spans="1:35" s="101" customFormat="1" ht="22.5" outlineLevel="1">
      <c r="A390" s="578" t="str">
        <f t="shared" si="80"/>
        <v>1</v>
      </c>
      <c r="B390" s="101" t="s">
        <v>1489</v>
      </c>
      <c r="L390" s="270" t="s">
        <v>150</v>
      </c>
      <c r="M390" s="278" t="s">
        <v>441</v>
      </c>
      <c r="N390" s="277" t="s">
        <v>351</v>
      </c>
      <c r="O390" s="281"/>
      <c r="P390" s="282"/>
      <c r="Q390" s="282"/>
      <c r="R390" s="282"/>
      <c r="S390" s="282"/>
      <c r="T390" s="282"/>
      <c r="U390" s="282"/>
      <c r="V390" s="282"/>
      <c r="W390" s="282"/>
      <c r="X390" s="282"/>
      <c r="Y390" s="281"/>
      <c r="Z390" s="282"/>
      <c r="AA390" s="282"/>
      <c r="AB390" s="282"/>
      <c r="AC390" s="282"/>
      <c r="AD390" s="282"/>
      <c r="AE390" s="282"/>
      <c r="AF390" s="282"/>
      <c r="AG390" s="282"/>
      <c r="AH390" s="282"/>
      <c r="AI390" s="183"/>
    </row>
    <row r="391" spans="1:35" s="101" customFormat="1" ht="22.5" outlineLevel="1">
      <c r="A391" s="578" t="str">
        <f t="shared" si="80"/>
        <v>1</v>
      </c>
      <c r="B391" s="101" t="s">
        <v>1490</v>
      </c>
      <c r="L391" s="270" t="s">
        <v>359</v>
      </c>
      <c r="M391" s="278" t="s">
        <v>442</v>
      </c>
      <c r="N391" s="277" t="s">
        <v>351</v>
      </c>
      <c r="O391" s="281"/>
      <c r="P391" s="282"/>
      <c r="Q391" s="282"/>
      <c r="R391" s="282"/>
      <c r="S391" s="282"/>
      <c r="T391" s="282"/>
      <c r="U391" s="282"/>
      <c r="V391" s="282"/>
      <c r="W391" s="282"/>
      <c r="X391" s="282"/>
      <c r="Y391" s="281"/>
      <c r="Z391" s="282"/>
      <c r="AA391" s="282"/>
      <c r="AB391" s="282"/>
      <c r="AC391" s="282"/>
      <c r="AD391" s="282"/>
      <c r="AE391" s="282"/>
      <c r="AF391" s="282"/>
      <c r="AG391" s="282"/>
      <c r="AH391" s="282"/>
      <c r="AI391" s="183"/>
    </row>
    <row r="392" spans="1:35" s="101" customFormat="1" outlineLevel="1">
      <c r="A392" s="578" t="str">
        <f t="shared" si="80"/>
        <v>1</v>
      </c>
      <c r="B392" s="101" t="s">
        <v>1481</v>
      </c>
      <c r="L392" s="270" t="s">
        <v>102</v>
      </c>
      <c r="M392" s="276" t="s">
        <v>443</v>
      </c>
      <c r="N392" s="277" t="s">
        <v>137</v>
      </c>
      <c r="O392" s="341">
        <f>SUMIFS(Сценарии!$T$15:$T$35,Сценарии!$A$15:$A$35,$A392,Сценарии!$M$15:$M$35,"Индекс потребительских цен")</f>
        <v>107.2</v>
      </c>
      <c r="P392" s="341">
        <f>SUMIFS(Сценарии!$Y$15:$Y$35,Сценарии!$A$15:$A$35,$A392,Сценарии!$M$15:$M$35,"Индекс потребительских цен")</f>
        <v>0</v>
      </c>
      <c r="Q392" s="341">
        <f>SUMIFS(Сценарии!$AA$15:$AA$35,Сценарии!$A$15:$A$35,$A392,Сценарии!$M$15:$M$35,"Индекс потребительских цен")</f>
        <v>0</v>
      </c>
      <c r="R392" s="341">
        <f>SUMIFS(Сценарии!$AC$15:$AC$35,Сценарии!$A$15:$A$35,$A392,Сценарии!$M$15:$M$35,"Индекс потребительских цен")</f>
        <v>0</v>
      </c>
      <c r="S392" s="341">
        <f>SUMIFS(Сценарии!$AE$15:$AE$35,Сценарии!$A$15:$A$35,$A392,Сценарии!$M$15:$M$35,"Индекс потребительских цен")</f>
        <v>0</v>
      </c>
      <c r="T392" s="341">
        <f>SUMIFS(Сценарии!$AG$15:$AG$35,Сценарии!$A$15:$A$35,$A392,Сценарии!$M$15:$M$35,"Индекс потребительских цен")</f>
        <v>0</v>
      </c>
      <c r="U392" s="341">
        <f>SUMIFS(Сценарии!$AI$15:$AI$35,Сценарии!$A$15:$A$35,$A392,Сценарии!$M$15:$M$35,"Индекс потребительских цен")</f>
        <v>0</v>
      </c>
      <c r="V392" s="341">
        <f>SUMIFS(Сценарии!$AK$15:$AK$35,Сценарии!$A$15:$A$35,$A392,Сценарии!$M$15:$M$35,"Индекс потребительских цен")</f>
        <v>0</v>
      </c>
      <c r="W392" s="341">
        <f>SUMIFS(Сценарии!$AM$15:$AM$35,Сценарии!$A$15:$A$35,$A392,Сценарии!$M$15:$M$35,"Индекс потребительских цен")</f>
        <v>0</v>
      </c>
      <c r="X392" s="341">
        <f>SUMIFS(Сценарии!$AO$15:$AO$35,Сценарии!$A$15:$A$35,$A392,Сценарии!$M$15:$M$35,"Индекс потребительских цен")</f>
        <v>0</v>
      </c>
      <c r="Y392" s="341">
        <f>SUMIFS(Сценарии!$U$15:$U$35,Сценарии!$A$15:$A$35,$A392,Сценарии!$M$15:$M$35,"Индекс потребительских цен")</f>
        <v>107.2</v>
      </c>
      <c r="Z392" s="341">
        <f>SUMIFS(Сценарии!$Z$15:$Z$35,Сценарии!$A$15:$A$35,$A392,Сценарии!$M$15:$M$35,"Индекс потребительских цен")</f>
        <v>0</v>
      </c>
      <c r="AA392" s="341">
        <f>SUMIFS(Сценарии!$AB$15:$AB$35,Сценарии!$A$15:$A$35,$A392,Сценарии!$M$15:$M$35,"Индекс потребительских цен")</f>
        <v>0</v>
      </c>
      <c r="AB392" s="341">
        <f>SUMIFS(Сценарии!$AD$15:$AD$35,Сценарии!$A$15:$A$35,$A392,Сценарии!$M$15:$M$35,"Индекс потребительских цен")</f>
        <v>0</v>
      </c>
      <c r="AC392" s="341">
        <f>SUMIFS(Сценарии!$AF$15:$AF$35,Сценарии!$A$15:$A$35,$A392,Сценарии!$M$15:$M$35,"Индекс потребительских цен")</f>
        <v>0</v>
      </c>
      <c r="AD392" s="341">
        <f>SUMIFS(Сценарии!$AH$15:$AH$35,Сценарии!$A$15:$A$35,$A392,Сценарии!$M$15:$M$35,"Индекс потребительских цен")</f>
        <v>0</v>
      </c>
      <c r="AE392" s="341">
        <f>SUMIFS(Сценарии!$AJ$15:$AJ$35,Сценарии!$A$15:$A$35,$A392,Сценарии!$M$15:$M$35,"Индекс потребительских цен")</f>
        <v>0</v>
      </c>
      <c r="AF392" s="341">
        <f>SUMIFS(Сценарии!$AL$15:$AL$35,Сценарии!$A$15:$A$35,$A392,Сценарии!$M$15:$M$35,"Индекс потребительских цен")</f>
        <v>0</v>
      </c>
      <c r="AG392" s="341">
        <f>SUMIFS(Сценарии!$AN$15:$AN$35,Сценарии!$A$15:$A$35,$A392,Сценарии!$M$15:$M$35,"Индекс потребительских цен")</f>
        <v>0</v>
      </c>
      <c r="AH392" s="341">
        <f>SUMIFS(Сценарии!$AP$15:$AP$35,Сценарии!$A$15:$A$35,$A392,Сценарии!$M$15:$M$35,"Индекс потребительских цен")</f>
        <v>0</v>
      </c>
      <c r="AI392" s="183"/>
    </row>
    <row r="393" spans="1:35" s="101" customFormat="1" outlineLevel="1">
      <c r="A393" s="578" t="str">
        <f t="shared" si="80"/>
        <v>1</v>
      </c>
      <c r="B393" s="101" t="s">
        <v>1483</v>
      </c>
      <c r="L393" s="272">
        <v>3</v>
      </c>
      <c r="M393" s="276" t="s">
        <v>444</v>
      </c>
      <c r="N393" s="277" t="s">
        <v>137</v>
      </c>
      <c r="O393" s="430">
        <f>O392</f>
        <v>107.2</v>
      </c>
      <c r="P393" s="431">
        <f>O393*P392/100</f>
        <v>0</v>
      </c>
      <c r="Q393" s="431">
        <f t="shared" ref="Q393:AH393" si="82">P393*Q392/100</f>
        <v>0</v>
      </c>
      <c r="R393" s="431">
        <f t="shared" si="82"/>
        <v>0</v>
      </c>
      <c r="S393" s="431">
        <f t="shared" si="82"/>
        <v>0</v>
      </c>
      <c r="T393" s="431">
        <f t="shared" si="82"/>
        <v>0</v>
      </c>
      <c r="U393" s="431">
        <f t="shared" si="82"/>
        <v>0</v>
      </c>
      <c r="V393" s="431">
        <f t="shared" si="82"/>
        <v>0</v>
      </c>
      <c r="W393" s="431">
        <f t="shared" si="82"/>
        <v>0</v>
      </c>
      <c r="X393" s="431">
        <f t="shared" si="82"/>
        <v>0</v>
      </c>
      <c r="Y393" s="431">
        <f t="shared" si="82"/>
        <v>0</v>
      </c>
      <c r="Z393" s="431">
        <f t="shared" si="82"/>
        <v>0</v>
      </c>
      <c r="AA393" s="431">
        <f t="shared" si="82"/>
        <v>0</v>
      </c>
      <c r="AB393" s="431">
        <f t="shared" si="82"/>
        <v>0</v>
      </c>
      <c r="AC393" s="431">
        <f t="shared" si="82"/>
        <v>0</v>
      </c>
      <c r="AD393" s="431">
        <f t="shared" si="82"/>
        <v>0</v>
      </c>
      <c r="AE393" s="431">
        <f t="shared" si="82"/>
        <v>0</v>
      </c>
      <c r="AF393" s="431">
        <f t="shared" si="82"/>
        <v>0</v>
      </c>
      <c r="AG393" s="431">
        <f t="shared" si="82"/>
        <v>0</v>
      </c>
      <c r="AH393" s="431">
        <f t="shared" si="82"/>
        <v>0</v>
      </c>
      <c r="AI393" s="183"/>
    </row>
    <row r="394" spans="1:35" s="267" customFormat="1" outlineLevel="1">
      <c r="A394" s="578" t="str">
        <f t="shared" si="80"/>
        <v>1</v>
      </c>
      <c r="B394" s="101" t="s">
        <v>1484</v>
      </c>
      <c r="L394" s="283" t="s">
        <v>104</v>
      </c>
      <c r="M394" s="274" t="s">
        <v>445</v>
      </c>
      <c r="N394" s="275" t="s">
        <v>351</v>
      </c>
      <c r="O394" s="279">
        <f>O388*O393/100</f>
        <v>0</v>
      </c>
      <c r="P394" s="279">
        <f t="shared" ref="P394:AH394" si="83">P388*P393/100</f>
        <v>0</v>
      </c>
      <c r="Q394" s="279">
        <f t="shared" si="83"/>
        <v>0</v>
      </c>
      <c r="R394" s="279">
        <f t="shared" si="83"/>
        <v>0</v>
      </c>
      <c r="S394" s="279">
        <f t="shared" si="83"/>
        <v>0</v>
      </c>
      <c r="T394" s="279">
        <f t="shared" si="83"/>
        <v>0</v>
      </c>
      <c r="U394" s="279">
        <f t="shared" si="83"/>
        <v>0</v>
      </c>
      <c r="V394" s="279">
        <f t="shared" si="83"/>
        <v>0</v>
      </c>
      <c r="W394" s="279">
        <f t="shared" si="83"/>
        <v>0</v>
      </c>
      <c r="X394" s="279">
        <f t="shared" si="83"/>
        <v>0</v>
      </c>
      <c r="Y394" s="279">
        <f t="shared" si="83"/>
        <v>0</v>
      </c>
      <c r="Z394" s="279">
        <f t="shared" si="83"/>
        <v>0</v>
      </c>
      <c r="AA394" s="279">
        <f t="shared" si="83"/>
        <v>0</v>
      </c>
      <c r="AB394" s="279">
        <f t="shared" si="83"/>
        <v>0</v>
      </c>
      <c r="AC394" s="279">
        <f t="shared" si="83"/>
        <v>0</v>
      </c>
      <c r="AD394" s="279">
        <f t="shared" si="83"/>
        <v>0</v>
      </c>
      <c r="AE394" s="279">
        <f t="shared" si="83"/>
        <v>0</v>
      </c>
      <c r="AF394" s="279">
        <f t="shared" si="83"/>
        <v>0</v>
      </c>
      <c r="AG394" s="279">
        <f t="shared" si="83"/>
        <v>0</v>
      </c>
      <c r="AH394" s="279">
        <f t="shared" si="83"/>
        <v>0</v>
      </c>
      <c r="AI394" s="183"/>
    </row>
    <row r="396" spans="1:35" s="131" customFormat="1" ht="30" customHeight="1">
      <c r="A396" s="130" t="s">
        <v>1061</v>
      </c>
      <c r="M396" s="132"/>
      <c r="N396" s="132"/>
      <c r="O396" s="132"/>
      <c r="P396" s="132"/>
      <c r="AA396" s="133"/>
    </row>
    <row r="397" spans="1:35">
      <c r="A397" s="134" t="s">
        <v>1062</v>
      </c>
    </row>
    <row r="398" spans="1:35" s="80" customFormat="1" ht="15" customHeight="1">
      <c r="A398" s="172" t="s">
        <v>18</v>
      </c>
      <c r="L398" s="268" t="str">
        <f>INDEX('Общие сведения'!$J$114:$J$127,MATCH($A398,'Общие сведения'!$D$114:$D$127,0))</f>
        <v>Тариф 1 (Водоснабжение) - тариф на питьевую воду</v>
      </c>
      <c r="M398" s="269"/>
      <c r="N398" s="269"/>
      <c r="O398" s="325">
        <f t="shared" ref="O398:V398" si="84">O399+O400</f>
        <v>0</v>
      </c>
      <c r="P398" s="325">
        <f t="shared" si="84"/>
        <v>0</v>
      </c>
      <c r="Q398" s="325">
        <f t="shared" si="84"/>
        <v>0</v>
      </c>
      <c r="R398" s="325">
        <f t="shared" si="84"/>
        <v>0</v>
      </c>
      <c r="S398" s="325">
        <f t="shared" si="84"/>
        <v>0</v>
      </c>
      <c r="T398" s="325">
        <f t="shared" si="84"/>
        <v>0</v>
      </c>
      <c r="U398" s="325">
        <f t="shared" si="84"/>
        <v>0</v>
      </c>
      <c r="V398" s="325">
        <f t="shared" si="84"/>
        <v>0</v>
      </c>
    </row>
    <row r="399" spans="1:35" s="101" customFormat="1" ht="33.950000000000003" customHeight="1" outlineLevel="1">
      <c r="A399" s="578" t="str">
        <f>A398</f>
        <v>1</v>
      </c>
      <c r="B399" s="101" t="s">
        <v>1480</v>
      </c>
      <c r="L399" s="270" t="s">
        <v>18</v>
      </c>
      <c r="M399" s="271" t="s">
        <v>1144</v>
      </c>
      <c r="N399" s="270" t="s">
        <v>351</v>
      </c>
      <c r="O399" s="281"/>
      <c r="P399" s="282"/>
      <c r="Q399" s="282"/>
      <c r="R399" s="282"/>
      <c r="S399" s="282"/>
      <c r="T399" s="282"/>
      <c r="U399" s="282"/>
      <c r="V399" s="282">
        <f>O399-P399-Q399-R399-S399-T399-U399</f>
        <v>0</v>
      </c>
    </row>
    <row r="400" spans="1:35" s="101" customFormat="1" ht="33.950000000000003" customHeight="1" outlineLevel="1">
      <c r="A400" s="578" t="str">
        <f>A399</f>
        <v>1</v>
      </c>
      <c r="B400" s="101" t="s">
        <v>1481</v>
      </c>
      <c r="L400" s="270" t="s">
        <v>102</v>
      </c>
      <c r="M400" s="271" t="s">
        <v>450</v>
      </c>
      <c r="N400" s="270" t="s">
        <v>351</v>
      </c>
      <c r="O400" s="281"/>
      <c r="P400" s="282"/>
      <c r="Q400" s="282"/>
      <c r="R400" s="282"/>
      <c r="S400" s="286"/>
      <c r="T400" s="286"/>
      <c r="U400" s="286"/>
      <c r="V400" s="282">
        <f>O400-P400-Q400-R400-S400-T400-U400</f>
        <v>0</v>
      </c>
    </row>
    <row r="402" spans="1:27" s="131" customFormat="1" ht="30" customHeight="1">
      <c r="A402" s="130" t="s">
        <v>1066</v>
      </c>
      <c r="M402" s="132"/>
      <c r="N402" s="132"/>
      <c r="O402" s="132"/>
      <c r="P402" s="132"/>
      <c r="AA402" s="133"/>
    </row>
    <row r="403" spans="1:27">
      <c r="A403" s="134" t="s">
        <v>1067</v>
      </c>
    </row>
    <row r="404" spans="1:27" s="101" customFormat="1">
      <c r="A404" s="172" t="s">
        <v>18</v>
      </c>
      <c r="B404" s="598" t="str">
        <f>INDEX('Общие сведения'!$H$114:$H$127,MATCH($A404,'Общие сведения'!$D$114:$D$127,0))</f>
        <v>Водоснабжение</v>
      </c>
      <c r="C404"/>
      <c r="L404" s="612" t="str">
        <f>INDEX('Общие сведения'!$J$114:$J$127,MATCH($A404,'Общие сведения'!$D$114:$D$127,0))</f>
        <v>Тариф 1 (Водоснабжение) - тариф на питьевую воду</v>
      </c>
      <c r="M404" s="612"/>
      <c r="N404" s="612"/>
      <c r="O404" s="612"/>
      <c r="P404" s="612"/>
      <c r="Q404" s="612"/>
      <c r="R404" s="612"/>
    </row>
    <row r="405" spans="1:27" s="267" customFormat="1" ht="56.25" outlineLevel="1">
      <c r="A405" s="578" t="str">
        <f>A404</f>
        <v>1</v>
      </c>
      <c r="D405" s="101" t="s">
        <v>1480</v>
      </c>
      <c r="L405" s="538" t="s">
        <v>451</v>
      </c>
      <c r="M405" s="539" t="s">
        <v>452</v>
      </c>
      <c r="N405" s="538" t="s">
        <v>1063</v>
      </c>
      <c r="O405" s="613" t="s">
        <v>351</v>
      </c>
      <c r="P405" s="280">
        <f>P407-P406</f>
        <v>15.27</v>
      </c>
      <c r="Q405" s="280">
        <f>Q407-Q406</f>
        <v>583.29399999999998</v>
      </c>
      <c r="R405" s="424"/>
    </row>
    <row r="406" spans="1:27" s="267" customFormat="1" ht="14.25" outlineLevel="1">
      <c r="A406" s="578" t="str">
        <f t="shared" ref="A406:A447" si="85">A405</f>
        <v>1</v>
      </c>
      <c r="D406" s="101" t="s">
        <v>1491</v>
      </c>
      <c r="L406" s="540" t="s">
        <v>18</v>
      </c>
      <c r="M406" s="541" t="s">
        <v>453</v>
      </c>
      <c r="N406" s="614" t="s">
        <v>1064</v>
      </c>
      <c r="O406" s="615" t="s">
        <v>351</v>
      </c>
      <c r="P406" s="616"/>
      <c r="Q406" s="616"/>
      <c r="R406" s="424"/>
    </row>
    <row r="407" spans="1:27" s="267" customFormat="1" ht="22.5" outlineLevel="1">
      <c r="A407" s="578" t="str">
        <f t="shared" si="85"/>
        <v>1</v>
      </c>
      <c r="D407" s="101" t="s">
        <v>1489</v>
      </c>
      <c r="L407" s="540" t="s">
        <v>102</v>
      </c>
      <c r="M407" s="542" t="s">
        <v>454</v>
      </c>
      <c r="N407" s="614" t="s">
        <v>1065</v>
      </c>
      <c r="O407" s="615" t="s">
        <v>351</v>
      </c>
      <c r="P407" s="280">
        <f>P408+P409+P421+P425+P426+P427+P428+P432</f>
        <v>15.27</v>
      </c>
      <c r="Q407" s="280">
        <f>Q408+Q409+Q421+Q425+Q426+Q427+Q428+Q432</f>
        <v>583.29399999999998</v>
      </c>
      <c r="R407" s="424"/>
    </row>
    <row r="408" spans="1:27" s="101" customFormat="1" ht="22.5" outlineLevel="1">
      <c r="A408" s="578" t="str">
        <f t="shared" si="85"/>
        <v>1</v>
      </c>
      <c r="C408"/>
      <c r="D408" s="101" t="s">
        <v>1573</v>
      </c>
      <c r="L408" s="543" t="s">
        <v>17</v>
      </c>
      <c r="M408" s="544" t="s">
        <v>455</v>
      </c>
      <c r="N408" s="617" t="s">
        <v>456</v>
      </c>
      <c r="O408" s="596" t="s">
        <v>351</v>
      </c>
      <c r="P408" s="281"/>
      <c r="Q408" s="281"/>
      <c r="R408" s="425"/>
    </row>
    <row r="409" spans="1:27" s="101" customFormat="1" ht="22.5" outlineLevel="1">
      <c r="A409" s="578" t="str">
        <f t="shared" si="85"/>
        <v>1</v>
      </c>
      <c r="C409"/>
      <c r="D409" s="101" t="s">
        <v>1574</v>
      </c>
      <c r="L409" s="543" t="s">
        <v>138</v>
      </c>
      <c r="M409" s="544" t="s">
        <v>457</v>
      </c>
      <c r="N409" s="617" t="s">
        <v>458</v>
      </c>
      <c r="O409" s="596" t="s">
        <v>351</v>
      </c>
      <c r="P409" s="618">
        <f>SUM(P410:P420)</f>
        <v>15.27</v>
      </c>
      <c r="Q409" s="618">
        <f>SUM(Q410:Q420)</f>
        <v>8.734</v>
      </c>
      <c r="R409" s="425"/>
    </row>
    <row r="410" spans="1:27" s="101" customFormat="1" ht="33.75" outlineLevel="1">
      <c r="A410" s="578" t="str">
        <f t="shared" si="85"/>
        <v>1</v>
      </c>
      <c r="C410"/>
      <c r="D410" s="101" t="s">
        <v>1583</v>
      </c>
      <c r="L410" s="545" t="s">
        <v>139</v>
      </c>
      <c r="M410" s="546" t="s">
        <v>459</v>
      </c>
      <c r="N410" s="596"/>
      <c r="O410" s="596" t="s">
        <v>351</v>
      </c>
      <c r="P410" s="281">
        <f>SUMIFS(Покупка!P$15:P$30,Покупка!$A$15:$A$30,$A410,Покупка!$B$15:$B$30,"Итого")</f>
        <v>0</v>
      </c>
      <c r="Q410" s="281">
        <f>SUMIFS(Покупка!Q$15:Q$30,Покупка!$A$15:$A$30,$A410,Покупка!$B$15:$B$30,"Итого")</f>
        <v>0</v>
      </c>
      <c r="R410" s="425"/>
    </row>
    <row r="411" spans="1:27" s="101" customFormat="1" outlineLevel="1">
      <c r="A411" s="578" t="str">
        <f t="shared" si="85"/>
        <v>1</v>
      </c>
      <c r="C411"/>
      <c r="D411" s="101" t="s">
        <v>1584</v>
      </c>
      <c r="L411" s="545" t="s">
        <v>460</v>
      </c>
      <c r="M411" s="546" t="s">
        <v>461</v>
      </c>
      <c r="N411" s="596"/>
      <c r="O411" s="596" t="s">
        <v>351</v>
      </c>
      <c r="P411" s="281"/>
      <c r="Q411" s="281">
        <f>SUMIFS(Реагенты!Q$15:Q$19,Реагенты!$A$15:$A$19,$A411,Реагенты!$M$15:$M$19,"Всего по тарифу")</f>
        <v>0</v>
      </c>
      <c r="R411" s="425"/>
    </row>
    <row r="412" spans="1:27" s="101" customFormat="1" ht="22.5" outlineLevel="1">
      <c r="A412" s="578" t="str">
        <f t="shared" si="85"/>
        <v>1</v>
      </c>
      <c r="C412"/>
      <c r="D412" s="101" t="s">
        <v>1585</v>
      </c>
      <c r="L412" s="545" t="s">
        <v>462</v>
      </c>
      <c r="M412" s="546" t="s">
        <v>463</v>
      </c>
      <c r="N412" s="596"/>
      <c r="O412" s="596" t="s">
        <v>351</v>
      </c>
      <c r="P412" s="281">
        <f>SUMIFS(Налоги!P$15:P$28,Налоги!$A$15:$A$28,$A412,Налоги!$L$15:$L$28,"0")</f>
        <v>15.27</v>
      </c>
      <c r="Q412" s="281">
        <f>SUMIFS(Налоги!Q$15:Q$28,Налоги!$A$15:$A$28,$A412,Налоги!$L$15:$L$28,"0")</f>
        <v>8.734</v>
      </c>
      <c r="R412" s="425"/>
    </row>
    <row r="413" spans="1:27" s="101" customFormat="1" ht="78.75" outlineLevel="1">
      <c r="A413" s="578" t="str">
        <f t="shared" si="85"/>
        <v>1</v>
      </c>
      <c r="B413" s="104" t="s">
        <v>1422</v>
      </c>
      <c r="C413"/>
      <c r="D413" s="598" t="s">
        <v>1586</v>
      </c>
      <c r="L413" s="545" t="s">
        <v>464</v>
      </c>
      <c r="M413" s="546" t="s">
        <v>465</v>
      </c>
      <c r="N413" s="596"/>
      <c r="O413" s="596" t="s">
        <v>351</v>
      </c>
      <c r="P413" s="281"/>
      <c r="Q413" s="281">
        <f>SUMIFS(Калькуляция!Q$15:Q$141,Калькуляция!$A$15:$A$141,$A413,Калькуляция!$B$15:$B$141,$B413)</f>
        <v>0</v>
      </c>
      <c r="R413" s="425"/>
    </row>
    <row r="414" spans="1:27" s="101" customFormat="1" ht="22.5" outlineLevel="1">
      <c r="A414" s="578" t="str">
        <f t="shared" si="85"/>
        <v>1</v>
      </c>
      <c r="B414" s="104" t="s">
        <v>617</v>
      </c>
      <c r="C414"/>
      <c r="D414" s="598" t="s">
        <v>1587</v>
      </c>
      <c r="L414" s="545" t="s">
        <v>466</v>
      </c>
      <c r="M414" s="546" t="s">
        <v>467</v>
      </c>
      <c r="N414" s="596"/>
      <c r="O414" s="596" t="s">
        <v>351</v>
      </c>
      <c r="P414" s="281"/>
      <c r="Q414" s="281">
        <f>SUMIFS(Калькуляция!Q$15:Q$141,Калькуляция!$A$15:$A$141,$A414,Калькуляция!$B$15:$B$141,$B414)</f>
        <v>0</v>
      </c>
      <c r="R414" s="425"/>
    </row>
    <row r="415" spans="1:27" s="101" customFormat="1" ht="22.5" outlineLevel="1">
      <c r="A415" s="578" t="str">
        <f t="shared" si="85"/>
        <v>1</v>
      </c>
      <c r="B415" s="104" t="s">
        <v>620</v>
      </c>
      <c r="C415"/>
      <c r="D415" s="598" t="s">
        <v>1588</v>
      </c>
      <c r="L415" s="545" t="s">
        <v>468</v>
      </c>
      <c r="M415" s="546" t="s">
        <v>1155</v>
      </c>
      <c r="N415" s="596"/>
      <c r="O415" s="596" t="s">
        <v>351</v>
      </c>
      <c r="P415" s="281"/>
      <c r="Q415" s="281">
        <f>SUMIFS(Калькуляция!Q$15:Q$141,Калькуляция!$A$15:$A$141,$A415,Калькуляция!$B$15:$B$141,$B415)</f>
        <v>0</v>
      </c>
      <c r="R415" s="425"/>
    </row>
    <row r="416" spans="1:27" s="101" customFormat="1" ht="22.5" outlineLevel="1">
      <c r="A416" s="578" t="str">
        <f t="shared" si="85"/>
        <v>1</v>
      </c>
      <c r="B416" s="104" t="s">
        <v>621</v>
      </c>
      <c r="C416"/>
      <c r="D416" s="598" t="s">
        <v>1589</v>
      </c>
      <c r="L416" s="545" t="s">
        <v>469</v>
      </c>
      <c r="M416" s="546" t="s">
        <v>1156</v>
      </c>
      <c r="N416" s="596"/>
      <c r="O416" s="596" t="s">
        <v>351</v>
      </c>
      <c r="P416" s="281"/>
      <c r="Q416" s="281">
        <f>SUMIFS(Калькуляция!Q$15:Q$141,Калькуляция!$A$15:$A$141,$A416,Калькуляция!$B$15:$B$141,$B416)</f>
        <v>0</v>
      </c>
      <c r="R416" s="425"/>
    </row>
    <row r="417" spans="1:18" s="101" customFormat="1" ht="22.5" outlineLevel="1">
      <c r="A417" s="578" t="str">
        <f t="shared" si="85"/>
        <v>1</v>
      </c>
      <c r="B417" s="104" t="s">
        <v>622</v>
      </c>
      <c r="C417"/>
      <c r="D417" s="598" t="s">
        <v>1590</v>
      </c>
      <c r="L417" s="545" t="s">
        <v>470</v>
      </c>
      <c r="M417" s="546" t="s">
        <v>471</v>
      </c>
      <c r="N417" s="619"/>
      <c r="O417" s="596" t="s">
        <v>351</v>
      </c>
      <c r="P417" s="281"/>
      <c r="Q417" s="281">
        <f>SUMIFS(Калькуляция!Q$15:Q$141,Калькуляция!$A$15:$A$141,$A417,Калькуляция!$B$15:$B$141,$B417)</f>
        <v>0</v>
      </c>
      <c r="R417" s="425"/>
    </row>
    <row r="418" spans="1:18" s="101" customFormat="1" ht="22.5" outlineLevel="1">
      <c r="A418" s="578" t="str">
        <f t="shared" si="85"/>
        <v>1</v>
      </c>
      <c r="B418" s="104" t="s">
        <v>623</v>
      </c>
      <c r="C418"/>
      <c r="D418" s="598" t="s">
        <v>1591</v>
      </c>
      <c r="L418" s="545" t="s">
        <v>472</v>
      </c>
      <c r="M418" s="546" t="s">
        <v>473</v>
      </c>
      <c r="N418" s="619"/>
      <c r="O418" s="596" t="s">
        <v>351</v>
      </c>
      <c r="P418" s="281"/>
      <c r="Q418" s="281">
        <f>SUMIFS(Калькуляция!Q$15:Q$141,Калькуляция!$A$15:$A$141,$A418,Калькуляция!$B$15:$B$141,$B418)</f>
        <v>0</v>
      </c>
      <c r="R418" s="425"/>
    </row>
    <row r="419" spans="1:18" s="101" customFormat="1" outlineLevel="1">
      <c r="A419" s="578" t="str">
        <f t="shared" si="85"/>
        <v>1</v>
      </c>
      <c r="B419" s="104" t="s">
        <v>625</v>
      </c>
      <c r="C419"/>
      <c r="D419" s="598" t="s">
        <v>1592</v>
      </c>
      <c r="L419" s="545" t="s">
        <v>474</v>
      </c>
      <c r="M419" s="546" t="s">
        <v>475</v>
      </c>
      <c r="N419" s="619"/>
      <c r="O419" s="596" t="s">
        <v>351</v>
      </c>
      <c r="P419" s="281"/>
      <c r="Q419" s="281">
        <f>SUMIFS(Калькуляция!Q$15:Q$141,Калькуляция!$A$15:$A$141,$A419,Калькуляция!$B$15:$B$141,$B419)</f>
        <v>0</v>
      </c>
      <c r="R419" s="425"/>
    </row>
    <row r="420" spans="1:18" s="101" customFormat="1" ht="33.75" outlineLevel="1">
      <c r="A420" s="578" t="str">
        <f t="shared" si="85"/>
        <v>1</v>
      </c>
      <c r="B420" s="104" t="s">
        <v>1423</v>
      </c>
      <c r="C420"/>
      <c r="D420" s="598" t="s">
        <v>1593</v>
      </c>
      <c r="L420" s="545" t="s">
        <v>476</v>
      </c>
      <c r="M420" s="546" t="s">
        <v>477</v>
      </c>
      <c r="N420" s="619"/>
      <c r="O420" s="596" t="s">
        <v>351</v>
      </c>
      <c r="P420" s="281"/>
      <c r="Q420" s="281">
        <f>SUMIFS(Калькуляция!Q$15:Q$141,Калькуляция!$A$15:$A$141,$A420,Калькуляция!$B$15:$B$141,$B420)</f>
        <v>0</v>
      </c>
      <c r="R420" s="425"/>
    </row>
    <row r="421" spans="1:18" s="101" customFormat="1" ht="14.25" outlineLevel="1">
      <c r="A421" s="578" t="str">
        <f t="shared" si="85"/>
        <v>1</v>
      </c>
      <c r="C421"/>
      <c r="D421" s="101" t="s">
        <v>1575</v>
      </c>
      <c r="L421" s="543" t="s">
        <v>151</v>
      </c>
      <c r="M421" s="620" t="s">
        <v>478</v>
      </c>
      <c r="N421" s="617" t="s">
        <v>479</v>
      </c>
      <c r="O421" s="596" t="s">
        <v>351</v>
      </c>
      <c r="P421" s="282">
        <f>P422*P423*P424</f>
        <v>0</v>
      </c>
      <c r="Q421" s="282">
        <f>Q422*Q423*Q424</f>
        <v>574.55999999999995</v>
      </c>
      <c r="R421" s="425"/>
    </row>
    <row r="422" spans="1:18" s="101" customFormat="1" ht="22.5" outlineLevel="1">
      <c r="A422" s="578" t="str">
        <f t="shared" si="85"/>
        <v>1</v>
      </c>
      <c r="C422"/>
      <c r="D422" s="101" t="s">
        <v>1594</v>
      </c>
      <c r="L422" s="543" t="s">
        <v>152</v>
      </c>
      <c r="M422" s="621" t="s">
        <v>480</v>
      </c>
      <c r="N422" s="617" t="s">
        <v>481</v>
      </c>
      <c r="O422" s="596" t="s">
        <v>482</v>
      </c>
      <c r="P422" s="281"/>
      <c r="Q422" s="281">
        <f>SUMIFS(ЭЭ!O$15:O$27,ЭЭ!$A$15:$A$27,$A422,ЭЭ!$M$15:$M$27,"Удельный расход электроэнергии")</f>
        <v>1.89</v>
      </c>
      <c r="R422" s="425"/>
    </row>
    <row r="423" spans="1:18" s="101" customFormat="1" ht="22.5" outlineLevel="1">
      <c r="A423" s="578" t="str">
        <f t="shared" si="85"/>
        <v>1</v>
      </c>
      <c r="C423"/>
      <c r="D423" s="101" t="s">
        <v>1595</v>
      </c>
      <c r="L423" s="543" t="s">
        <v>602</v>
      </c>
      <c r="M423" s="621" t="s">
        <v>1145</v>
      </c>
      <c r="N423" s="617" t="s">
        <v>483</v>
      </c>
      <c r="O423" s="596" t="s">
        <v>484</v>
      </c>
      <c r="P423" s="281"/>
      <c r="Q423" s="281">
        <f>SUMIFS(ЭЭ!Q$15:Q$27,ЭЭ!$A$15:$A$27,$A423,ЭЭ!$M$15:$M$27,"Объём воды/сточных вод")</f>
        <v>40</v>
      </c>
      <c r="R423" s="425"/>
    </row>
    <row r="424" spans="1:18" s="101" customFormat="1" ht="22.5" outlineLevel="1">
      <c r="A424" s="578" t="str">
        <f t="shared" si="85"/>
        <v>1</v>
      </c>
      <c r="C424"/>
      <c r="D424" s="101" t="s">
        <v>1596</v>
      </c>
      <c r="L424" s="543" t="s">
        <v>604</v>
      </c>
      <c r="M424" s="621" t="s">
        <v>1089</v>
      </c>
      <c r="N424" s="617" t="s">
        <v>485</v>
      </c>
      <c r="O424" s="596" t="s">
        <v>486</v>
      </c>
      <c r="P424" s="281"/>
      <c r="Q424" s="281">
        <f>SUMIFS(ЭЭ!Q$15:Q$27,ЭЭ!$A$15:$A$27,$A424,ЭЭ!$M$15:$M$27,"Средний (расчетный) тариф")</f>
        <v>7.6</v>
      </c>
      <c r="R424" s="425"/>
    </row>
    <row r="425" spans="1:18" s="101" customFormat="1" ht="22.5" outlineLevel="1">
      <c r="A425" s="578" t="str">
        <f t="shared" si="85"/>
        <v>1</v>
      </c>
      <c r="B425" s="101" t="s">
        <v>1074</v>
      </c>
      <c r="C425"/>
      <c r="D425" s="101" t="s">
        <v>1597</v>
      </c>
      <c r="L425" s="543" t="s">
        <v>153</v>
      </c>
      <c r="M425" s="544" t="s">
        <v>487</v>
      </c>
      <c r="N425" s="617" t="s">
        <v>488</v>
      </c>
      <c r="O425" s="596" t="s">
        <v>351</v>
      </c>
      <c r="P425" s="281"/>
      <c r="Q425" s="281">
        <f>SUMIFS(Калькуляция!Q$15:Q$141,Калькуляция!$A$15:$A$141,$A425,Калькуляция!$B$15:$B$141,$B425)</f>
        <v>0</v>
      </c>
      <c r="R425" s="425"/>
    </row>
    <row r="426" spans="1:18" s="101" customFormat="1" ht="14.25" outlineLevel="1">
      <c r="A426" s="578" t="str">
        <f t="shared" si="85"/>
        <v>1</v>
      </c>
      <c r="C426"/>
      <c r="D426" s="101" t="s">
        <v>1598</v>
      </c>
      <c r="L426" s="543" t="s">
        <v>366</v>
      </c>
      <c r="M426" s="622" t="s">
        <v>489</v>
      </c>
      <c r="N426" s="617" t="s">
        <v>490</v>
      </c>
      <c r="O426" s="596" t="s">
        <v>351</v>
      </c>
      <c r="P426" s="281"/>
      <c r="Q426" s="281">
        <f>SUMIFS(Калькуляция!O$15:O$141,Калькуляция!$A$15:$A$141,$A426,Калькуляция!$B$15:$B$141,"Нормативная прибыль")-SUMIFS(Калькуляция!O$15:O$141,Калькуляция!$A$15:$A$141,$A426,Калькуляция!$B$15:$B$141,"иные экономически обоснованные расходы на социальные нужды")+SUMIFS(Калькуляция!Q$15:Q$141,Калькуляция!$A$15:$A$141,$A426,Калькуляция!$B$15:$B$141,"иные экономически обоснованные расходы на социальные нужды")</f>
        <v>0</v>
      </c>
      <c r="R426" s="425"/>
    </row>
    <row r="427" spans="1:18" s="101" customFormat="1" ht="22.5" outlineLevel="1">
      <c r="A427" s="578" t="str">
        <f t="shared" si="85"/>
        <v>1</v>
      </c>
      <c r="B427" s="104" t="s">
        <v>639</v>
      </c>
      <c r="C427"/>
      <c r="D427" s="598" t="s">
        <v>1599</v>
      </c>
      <c r="L427" s="543" t="s">
        <v>491</v>
      </c>
      <c r="M427" s="544" t="s">
        <v>1157</v>
      </c>
      <c r="N427" s="617" t="s">
        <v>492</v>
      </c>
      <c r="O427" s="596" t="s">
        <v>351</v>
      </c>
      <c r="P427" s="281"/>
      <c r="Q427" s="281">
        <f>SUMIFS(Калькуляция!Q$15:Q$141,Калькуляция!$A$15:$A$141,$A427,Калькуляция!$B$15:$B$141,$B427)</f>
        <v>0</v>
      </c>
      <c r="R427" s="425"/>
    </row>
    <row r="428" spans="1:18" s="101" customFormat="1" ht="22.5" outlineLevel="1">
      <c r="A428" s="578" t="str">
        <f t="shared" si="85"/>
        <v>1</v>
      </c>
      <c r="B428" s="104"/>
      <c r="C428"/>
      <c r="D428" s="101" t="s">
        <v>1622</v>
      </c>
      <c r="L428" s="543" t="s">
        <v>493</v>
      </c>
      <c r="M428" s="544" t="s">
        <v>1606</v>
      </c>
      <c r="N428" s="617"/>
      <c r="O428" s="596" t="s">
        <v>351</v>
      </c>
      <c r="P428" s="281"/>
      <c r="Q428" s="281"/>
      <c r="R428" s="425"/>
    </row>
    <row r="429" spans="1:18" s="101" customFormat="1" ht="33.75" outlineLevel="1">
      <c r="A429" s="578" t="str">
        <f t="shared" si="85"/>
        <v>1</v>
      </c>
      <c r="C429"/>
      <c r="D429" s="101" t="s">
        <v>1600</v>
      </c>
      <c r="L429" s="543" t="s">
        <v>1607</v>
      </c>
      <c r="M429" s="621" t="s">
        <v>494</v>
      </c>
      <c r="N429" s="617" t="s">
        <v>495</v>
      </c>
      <c r="O429" s="596" t="s">
        <v>351</v>
      </c>
      <c r="P429" s="281"/>
      <c r="Q429" s="281"/>
      <c r="R429" s="425"/>
    </row>
    <row r="430" spans="1:18" s="101" customFormat="1" ht="22.5" outlineLevel="1">
      <c r="A430" s="578" t="str">
        <f t="shared" si="85"/>
        <v>1</v>
      </c>
      <c r="C430"/>
      <c r="D430" s="101" t="s">
        <v>1601</v>
      </c>
      <c r="L430" s="543" t="s">
        <v>1608</v>
      </c>
      <c r="M430" s="621" t="s">
        <v>497</v>
      </c>
      <c r="N430" s="617" t="s">
        <v>498</v>
      </c>
      <c r="O430" s="596" t="s">
        <v>351</v>
      </c>
      <c r="P430" s="281"/>
      <c r="Q430" s="281"/>
      <c r="R430" s="425"/>
    </row>
    <row r="431" spans="1:18" s="101" customFormat="1" ht="56.25" outlineLevel="1">
      <c r="A431" s="578" t="str">
        <f t="shared" si="85"/>
        <v>1</v>
      </c>
      <c r="C431"/>
      <c r="D431" s="101" t="s">
        <v>1603</v>
      </c>
      <c r="L431" s="543" t="s">
        <v>1609</v>
      </c>
      <c r="M431" s="621" t="s">
        <v>1207</v>
      </c>
      <c r="N431" s="596" t="s">
        <v>1206</v>
      </c>
      <c r="O431" s="596" t="s">
        <v>351</v>
      </c>
      <c r="P431" s="281"/>
      <c r="Q431" s="281"/>
      <c r="R431" s="425"/>
    </row>
    <row r="432" spans="1:18" s="101" customFormat="1" ht="22.5" outlineLevel="1">
      <c r="A432" s="578" t="str">
        <f t="shared" si="85"/>
        <v>1</v>
      </c>
      <c r="C432"/>
      <c r="D432" s="101" t="s">
        <v>1602</v>
      </c>
      <c r="L432" s="543" t="s">
        <v>499</v>
      </c>
      <c r="M432" s="620" t="s">
        <v>1204</v>
      </c>
      <c r="N432" s="596" t="s">
        <v>1205</v>
      </c>
      <c r="O432" s="596" t="s">
        <v>351</v>
      </c>
      <c r="P432" s="281"/>
      <c r="Q432" s="281"/>
      <c r="R432" s="425"/>
    </row>
    <row r="433" spans="1:18" s="267" customFormat="1" ht="33.75" outlineLevel="1">
      <c r="A433" s="578" t="str">
        <f t="shared" si="85"/>
        <v>1</v>
      </c>
      <c r="D433" s="101" t="s">
        <v>1481</v>
      </c>
      <c r="L433" s="614" t="s">
        <v>500</v>
      </c>
      <c r="M433" s="542" t="s">
        <v>501</v>
      </c>
      <c r="N433" s="614" t="s">
        <v>1063</v>
      </c>
      <c r="O433" s="615" t="s">
        <v>351</v>
      </c>
      <c r="P433" s="280">
        <f>P434</f>
        <v>0</v>
      </c>
      <c r="Q433" s="280">
        <f>Q434</f>
        <v>0</v>
      </c>
      <c r="R433" s="424"/>
    </row>
    <row r="434" spans="1:18" s="101" customFormat="1" ht="33.75" outlineLevel="1">
      <c r="A434" s="578" t="str">
        <f t="shared" si="85"/>
        <v>1</v>
      </c>
      <c r="C434"/>
      <c r="D434" s="101" t="s">
        <v>1492</v>
      </c>
      <c r="L434" s="543" t="s">
        <v>18</v>
      </c>
      <c r="M434" s="623" t="s">
        <v>502</v>
      </c>
      <c r="N434" s="617" t="s">
        <v>503</v>
      </c>
      <c r="O434" s="596" t="s">
        <v>351</v>
      </c>
      <c r="P434" s="618">
        <f>P435+P436</f>
        <v>0</v>
      </c>
      <c r="Q434" s="618">
        <f>Q435+Q436</f>
        <v>0</v>
      </c>
      <c r="R434" s="425"/>
    </row>
    <row r="435" spans="1:18" s="101" customFormat="1" ht="56.25" outlineLevel="1">
      <c r="A435" s="578" t="str">
        <f t="shared" si="85"/>
        <v>1</v>
      </c>
      <c r="C435"/>
      <c r="D435" s="101" t="s">
        <v>1604</v>
      </c>
      <c r="L435" s="543" t="s">
        <v>149</v>
      </c>
      <c r="M435" s="620" t="s">
        <v>504</v>
      </c>
      <c r="N435" s="617" t="s">
        <v>505</v>
      </c>
      <c r="O435" s="596" t="s">
        <v>351</v>
      </c>
      <c r="P435" s="281"/>
      <c r="Q435" s="281"/>
      <c r="R435" s="425"/>
    </row>
    <row r="436" spans="1:18" s="101" customFormat="1" ht="45" outlineLevel="1">
      <c r="A436" s="578" t="str">
        <f t="shared" si="85"/>
        <v>1</v>
      </c>
      <c r="C436"/>
      <c r="D436" s="101" t="s">
        <v>1605</v>
      </c>
      <c r="L436" s="543" t="s">
        <v>150</v>
      </c>
      <c r="M436" s="620" t="s">
        <v>506</v>
      </c>
      <c r="N436" s="617" t="s">
        <v>507</v>
      </c>
      <c r="O436" s="596" t="s">
        <v>351</v>
      </c>
      <c r="P436" s="281"/>
      <c r="Q436" s="281"/>
      <c r="R436" s="425"/>
    </row>
    <row r="437" spans="1:18" s="101" customFormat="1" ht="33.75" outlineLevel="1">
      <c r="A437" s="578" t="str">
        <f t="shared" si="85"/>
        <v>1</v>
      </c>
      <c r="C437"/>
      <c r="D437" s="101" t="s">
        <v>1483</v>
      </c>
      <c r="L437" s="596" t="s">
        <v>1125</v>
      </c>
      <c r="M437" s="624" t="s">
        <v>1186</v>
      </c>
      <c r="N437" s="617" t="s">
        <v>1620</v>
      </c>
      <c r="O437" s="596" t="s">
        <v>351</v>
      </c>
      <c r="P437" s="243"/>
      <c r="Q437" s="243"/>
      <c r="R437" s="425"/>
    </row>
    <row r="438" spans="1:18" s="101" customFormat="1" ht="135" outlineLevel="1">
      <c r="A438" s="578" t="str">
        <f t="shared" si="85"/>
        <v>1</v>
      </c>
      <c r="C438"/>
      <c r="D438" s="101" t="s">
        <v>1484</v>
      </c>
      <c r="L438" s="596" t="s">
        <v>1126</v>
      </c>
      <c r="M438" s="624" t="s">
        <v>508</v>
      </c>
      <c r="N438" s="617" t="s">
        <v>1621</v>
      </c>
      <c r="O438" s="596" t="s">
        <v>351</v>
      </c>
      <c r="P438" s="243"/>
      <c r="Q438" s="243"/>
      <c r="R438" s="425"/>
    </row>
    <row r="439" spans="1:18" s="101" customFormat="1" ht="90" outlineLevel="1">
      <c r="A439" s="578" t="str">
        <f t="shared" si="85"/>
        <v>1</v>
      </c>
      <c r="C439" s="531" t="b">
        <f>B404="Водоотведение"</f>
        <v>0</v>
      </c>
      <c r="D439" s="101" t="s">
        <v>1485</v>
      </c>
      <c r="L439" s="596" t="s">
        <v>1613</v>
      </c>
      <c r="M439" s="624" t="s">
        <v>1610</v>
      </c>
      <c r="N439" s="617"/>
      <c r="O439" s="596" t="s">
        <v>351</v>
      </c>
      <c r="P439" s="243"/>
      <c r="Q439" s="378">
        <f>IFERROR(SUMIFS('Плата за негативное возд'!$V$14:$V$15,'Плата за негативное возд'!$A$14:$A$15,A439,'Плата за негативное возд'!$L$14:$L$15,"1"),0)</f>
        <v>0</v>
      </c>
      <c r="R439" s="425"/>
    </row>
    <row r="440" spans="1:18" s="101" customFormat="1" ht="67.5" outlineLevel="1">
      <c r="A440" s="578" t="str">
        <f t="shared" si="85"/>
        <v>1</v>
      </c>
      <c r="C440" s="531" t="b">
        <f>B404="Водоотведение"</f>
        <v>0</v>
      </c>
      <c r="D440" s="101" t="s">
        <v>1486</v>
      </c>
      <c r="L440" s="596" t="s">
        <v>1614</v>
      </c>
      <c r="M440" s="624" t="s">
        <v>1611</v>
      </c>
      <c r="N440" s="617"/>
      <c r="O440" s="596" t="s">
        <v>351</v>
      </c>
      <c r="P440" s="243"/>
      <c r="Q440" s="378">
        <f>IFERROR(SUMIFS('Плата за негативное возд'!$V$14:$V$15,'Плата за негативное возд'!$A$14:$A$15,A440,'Плата за негативное возд'!$L$14:$L$15,"2"),0)</f>
        <v>0</v>
      </c>
      <c r="R440" s="425"/>
    </row>
    <row r="441" spans="1:18" s="101" customFormat="1" outlineLevel="1">
      <c r="A441" s="578" t="str">
        <f t="shared" si="85"/>
        <v>1</v>
      </c>
      <c r="C441"/>
      <c r="D441" s="101" t="s">
        <v>1487</v>
      </c>
      <c r="L441" s="596" t="s">
        <v>1615</v>
      </c>
      <c r="M441" s="624" t="s">
        <v>644</v>
      </c>
      <c r="N441" s="617"/>
      <c r="O441" s="596" t="s">
        <v>351</v>
      </c>
      <c r="P441" s="243"/>
      <c r="Q441" s="243"/>
      <c r="R441" s="425"/>
    </row>
    <row r="442" spans="1:18" s="267" customFormat="1" ht="22.5" outlineLevel="1">
      <c r="A442" s="578" t="str">
        <f t="shared" si="85"/>
        <v>1</v>
      </c>
      <c r="D442" s="267" t="s">
        <v>1494</v>
      </c>
      <c r="L442" s="615" t="s">
        <v>1616</v>
      </c>
      <c r="M442" s="542" t="s">
        <v>645</v>
      </c>
      <c r="N442" s="614"/>
      <c r="O442" s="615" t="s">
        <v>351</v>
      </c>
      <c r="P442" s="625">
        <f>P443+P444</f>
        <v>0</v>
      </c>
      <c r="Q442" s="625">
        <f>Q443+Q444</f>
        <v>0</v>
      </c>
      <c r="R442" s="424"/>
    </row>
    <row r="443" spans="1:18" s="101" customFormat="1" ht="22.5" outlineLevel="1">
      <c r="A443" s="578" t="str">
        <f t="shared" si="85"/>
        <v>1</v>
      </c>
      <c r="C443"/>
      <c r="D443" s="101" t="s">
        <v>1504</v>
      </c>
      <c r="L443" s="596">
        <v>1</v>
      </c>
      <c r="M443" s="620" t="s">
        <v>646</v>
      </c>
      <c r="N443" s="617"/>
      <c r="O443" s="596" t="s">
        <v>351</v>
      </c>
      <c r="P443" s="243"/>
      <c r="Q443" s="243"/>
      <c r="R443" s="425"/>
    </row>
    <row r="444" spans="1:18" s="101" customFormat="1" ht="22.5" outlineLevel="1">
      <c r="A444" s="578" t="str">
        <f t="shared" si="85"/>
        <v>1</v>
      </c>
      <c r="C444"/>
      <c r="D444" s="101" t="s">
        <v>1505</v>
      </c>
      <c r="L444" s="596">
        <v>2</v>
      </c>
      <c r="M444" s="620" t="s">
        <v>647</v>
      </c>
      <c r="N444" s="617"/>
      <c r="O444" s="596" t="s">
        <v>351</v>
      </c>
      <c r="P444" s="243"/>
      <c r="Q444" s="243"/>
      <c r="R444" s="425"/>
    </row>
    <row r="445" spans="1:18" s="101" customFormat="1" ht="22.5" outlineLevel="1">
      <c r="A445" s="578" t="str">
        <f t="shared" si="85"/>
        <v>1</v>
      </c>
      <c r="C445"/>
      <c r="D445" s="101" t="s">
        <v>1495</v>
      </c>
      <c r="L445" s="596" t="s">
        <v>1617</v>
      </c>
      <c r="M445" s="624" t="s">
        <v>648</v>
      </c>
      <c r="N445" s="617"/>
      <c r="O445" s="596" t="s">
        <v>351</v>
      </c>
      <c r="P445" s="243"/>
      <c r="Q445" s="243"/>
      <c r="R445" s="425"/>
    </row>
    <row r="446" spans="1:18" s="101" customFormat="1" outlineLevel="1">
      <c r="A446" s="578" t="str">
        <f t="shared" si="85"/>
        <v>1</v>
      </c>
      <c r="C446"/>
      <c r="D446" s="101" t="s">
        <v>1496</v>
      </c>
      <c r="L446" s="596" t="s">
        <v>1618</v>
      </c>
      <c r="M446" s="624" t="s">
        <v>649</v>
      </c>
      <c r="N446" s="617"/>
      <c r="O446" s="596" t="s">
        <v>351</v>
      </c>
      <c r="P446" s="243"/>
      <c r="Q446" s="243"/>
      <c r="R446" s="425"/>
    </row>
    <row r="447" spans="1:18" s="267" customFormat="1" outlineLevel="1">
      <c r="A447" s="578" t="str">
        <f t="shared" si="85"/>
        <v>1</v>
      </c>
      <c r="D447" s="267" t="s">
        <v>1497</v>
      </c>
      <c r="L447" s="615" t="s">
        <v>1619</v>
      </c>
      <c r="M447" s="542" t="s">
        <v>1612</v>
      </c>
      <c r="N447" s="614"/>
      <c r="O447" s="615" t="s">
        <v>351</v>
      </c>
      <c r="P447" s="626">
        <f>P405+P437+P438+P439+P440+P441+P442+P445+P446</f>
        <v>15.27</v>
      </c>
      <c r="Q447" s="626">
        <f>Q405+Q437+Q438+Q439+Q440+Q441+Q442+Q445+Q446</f>
        <v>583.29399999999998</v>
      </c>
      <c r="R447" s="424"/>
    </row>
    <row r="449" spans="1:53" s="131" customFormat="1" ht="30" customHeight="1">
      <c r="A449" s="130" t="s">
        <v>1068</v>
      </c>
      <c r="M449" s="132"/>
      <c r="N449" s="132"/>
      <c r="O449" s="132"/>
      <c r="P449" s="132"/>
      <c r="AA449" s="133"/>
    </row>
    <row r="450" spans="1:53">
      <c r="A450" s="134" t="s">
        <v>1069</v>
      </c>
    </row>
    <row r="451" spans="1:53" s="80" customFormat="1">
      <c r="A451" s="172" t="s">
        <v>18</v>
      </c>
      <c r="B451" s="598" t="str">
        <f>INDEX('Общие сведения'!$N$114:$N$127,MATCH($A451,'Общие сведения'!$D$114:$D$127,0))</f>
        <v>одноставочный</v>
      </c>
      <c r="D451" s="598" t="str">
        <f>INDEX('Общие сведения'!$H$114:$H$127,MATCH($A451,'Общие сведения'!$D$114:$D$127,0))</f>
        <v>Водоснабжение</v>
      </c>
      <c r="L451" s="291" t="str">
        <f>INDEX('Общие сведения'!$J$114:$J$127,MATCH($A451,'Общие сведения'!$D$114:$D$127,0))</f>
        <v>Тариф 1 (Водоснабжение) - тариф на питьевую воду</v>
      </c>
      <c r="M451" s="292"/>
      <c r="N451" s="292"/>
      <c r="O451" s="292"/>
      <c r="P451" s="292"/>
      <c r="Q451" s="292"/>
      <c r="R451" s="292"/>
      <c r="S451" s="292"/>
      <c r="T451" s="292"/>
      <c r="U451" s="292"/>
      <c r="V451" s="292"/>
      <c r="W451" s="292"/>
      <c r="X451" s="292"/>
      <c r="Y451" s="292"/>
      <c r="Z451" s="292"/>
      <c r="AA451" s="292"/>
      <c r="AB451" s="292"/>
      <c r="AC451" s="292"/>
      <c r="AD451" s="292"/>
      <c r="AE451" s="292"/>
      <c r="AF451" s="292"/>
      <c r="AG451" s="292"/>
      <c r="AH451" s="292"/>
      <c r="AI451" s="292"/>
      <c r="AJ451" s="292"/>
      <c r="AK451" s="292"/>
      <c r="AL451" s="292"/>
      <c r="AM451" s="292"/>
      <c r="AN451" s="292"/>
      <c r="AO451" s="292"/>
      <c r="AP451" s="292"/>
      <c r="AQ451" s="292"/>
      <c r="AR451" s="292"/>
      <c r="AS451" s="292"/>
      <c r="AT451" s="292"/>
      <c r="AU451" s="292"/>
      <c r="AV451" s="292"/>
      <c r="AW451" s="292"/>
      <c r="AX451" s="292"/>
      <c r="AY451" s="292"/>
      <c r="AZ451" s="292"/>
    </row>
    <row r="452" spans="1:53" s="107" customFormat="1" outlineLevel="1">
      <c r="A452" s="578" t="str">
        <f>A451</f>
        <v>1</v>
      </c>
      <c r="C452" s="606"/>
      <c r="D452" s="606" t="s">
        <v>1480</v>
      </c>
      <c r="L452" s="370" t="s">
        <v>18</v>
      </c>
      <c r="M452" s="371" t="s">
        <v>511</v>
      </c>
      <c r="N452" s="372" t="s">
        <v>351</v>
      </c>
      <c r="O452" s="373">
        <f>SUM(O454,O471,O477,O497,O498,O499)</f>
        <v>0</v>
      </c>
      <c r="P452" s="373">
        <f>SUM(P454,P471,P477,P497,P498,P499)</f>
        <v>0</v>
      </c>
      <c r="Q452" s="373">
        <f>SUM(Q454,Q471,Q477,Q497,Q498,Q499)</f>
        <v>0</v>
      </c>
      <c r="R452" s="373">
        <f t="shared" ref="R452:R499" si="86">Q452-P452</f>
        <v>0</v>
      </c>
      <c r="S452" s="373">
        <f>SUM(S454,S471,S477,S497,S498,S499)</f>
        <v>0</v>
      </c>
      <c r="T452" s="373">
        <f>SUM(T454,T471,T477,T497,T498,T499)</f>
        <v>1096.828</v>
      </c>
      <c r="U452" s="400" t="e">
        <f t="shared" ref="U452:AC452" si="87">T452*U453</f>
        <v>#N/A</v>
      </c>
      <c r="V452" s="400" t="e">
        <f t="shared" si="87"/>
        <v>#N/A</v>
      </c>
      <c r="W452" s="400" t="e">
        <f t="shared" si="87"/>
        <v>#N/A</v>
      </c>
      <c r="X452" s="400" t="e">
        <f t="shared" si="87"/>
        <v>#N/A</v>
      </c>
      <c r="Y452" s="400" t="e">
        <f t="shared" si="87"/>
        <v>#N/A</v>
      </c>
      <c r="Z452" s="400" t="e">
        <f t="shared" si="87"/>
        <v>#N/A</v>
      </c>
      <c r="AA452" s="400" t="e">
        <f t="shared" si="87"/>
        <v>#N/A</v>
      </c>
      <c r="AB452" s="400" t="e">
        <f t="shared" si="87"/>
        <v>#N/A</v>
      </c>
      <c r="AC452" s="400" t="e">
        <f t="shared" si="87"/>
        <v>#N/A</v>
      </c>
      <c r="AD452" s="373">
        <f>SUM(AD454,AD471,AD477,AD497,AD498,AD499)</f>
        <v>914.37840000000006</v>
      </c>
      <c r="AE452" s="400" t="e">
        <f t="shared" ref="AE452:AM452" si="88">AD452*AE453</f>
        <v>#N/A</v>
      </c>
      <c r="AF452" s="400" t="e">
        <f t="shared" si="88"/>
        <v>#N/A</v>
      </c>
      <c r="AG452" s="400" t="e">
        <f t="shared" si="88"/>
        <v>#N/A</v>
      </c>
      <c r="AH452" s="400" t="e">
        <f t="shared" si="88"/>
        <v>#N/A</v>
      </c>
      <c r="AI452" s="400" t="e">
        <f t="shared" si="88"/>
        <v>#N/A</v>
      </c>
      <c r="AJ452" s="400" t="e">
        <f t="shared" si="88"/>
        <v>#N/A</v>
      </c>
      <c r="AK452" s="400" t="e">
        <f t="shared" si="88"/>
        <v>#N/A</v>
      </c>
      <c r="AL452" s="400" t="e">
        <f t="shared" si="88"/>
        <v>#N/A</v>
      </c>
      <c r="AM452" s="400" t="e">
        <f t="shared" si="88"/>
        <v>#N/A</v>
      </c>
      <c r="AN452" s="373">
        <f>IF(S452=0,0,(AD452-S452)/S452*100)</f>
        <v>0</v>
      </c>
      <c r="AO452" s="373" t="e">
        <f t="shared" ref="AO452:AW452" si="89">IF(AD452=0,0,(AE452-AD452)/AD452*100)</f>
        <v>#N/A</v>
      </c>
      <c r="AP452" s="373" t="e">
        <f t="shared" si="89"/>
        <v>#N/A</v>
      </c>
      <c r="AQ452" s="373" t="e">
        <f t="shared" si="89"/>
        <v>#N/A</v>
      </c>
      <c r="AR452" s="373" t="e">
        <f t="shared" si="89"/>
        <v>#N/A</v>
      </c>
      <c r="AS452" s="373" t="e">
        <f t="shared" si="89"/>
        <v>#N/A</v>
      </c>
      <c r="AT452" s="373" t="e">
        <f t="shared" si="89"/>
        <v>#N/A</v>
      </c>
      <c r="AU452" s="373" t="e">
        <f t="shared" si="89"/>
        <v>#N/A</v>
      </c>
      <c r="AV452" s="373" t="e">
        <f t="shared" si="89"/>
        <v>#N/A</v>
      </c>
      <c r="AW452" s="373" t="e">
        <f t="shared" si="89"/>
        <v>#N/A</v>
      </c>
      <c r="AX452" s="183"/>
      <c r="AY452" s="183"/>
      <c r="AZ452" s="183"/>
      <c r="BA452" s="106"/>
    </row>
    <row r="453" spans="1:53" s="104" customFormat="1" outlineLevel="1">
      <c r="A453" s="578" t="str">
        <f t="shared" ref="A453:A516" si="90">A452</f>
        <v>1</v>
      </c>
      <c r="C453" s="607"/>
      <c r="D453" s="607" t="s">
        <v>1491</v>
      </c>
      <c r="L453" s="375" t="s">
        <v>149</v>
      </c>
      <c r="M453" s="376" t="s">
        <v>512</v>
      </c>
      <c r="N453" s="377"/>
      <c r="O453" s="421"/>
      <c r="P453" s="421"/>
      <c r="Q453" s="421"/>
      <c r="R453" s="422">
        <f t="shared" si="86"/>
        <v>0</v>
      </c>
      <c r="S453" s="421"/>
      <c r="T453" s="421"/>
      <c r="U453" s="421" t="e">
        <f>SUMIFS(INDEX(Сценарии!$O$15:$AP$35,,MATCH(U$3,Сценарии!$O$3:$AP$3,0)),Сценарии!$A$15:$A$35,$A453,Сценарии!$B$15:$B$35,"ИОР")</f>
        <v>#N/A</v>
      </c>
      <c r="V453" s="421" t="e">
        <f>SUMIFS(INDEX(Сценарии!$O$15:$AP$35,,MATCH(V$3,Сценарии!$O$3:$AP$3,0)),Сценарии!$A$15:$A$35,$A453,Сценарии!$B$15:$B$35,"ИОР")</f>
        <v>#N/A</v>
      </c>
      <c r="W453" s="421" t="e">
        <f>SUMIFS(INDEX(Сценарии!$O$15:$AP$35,,MATCH(W$3,Сценарии!$O$3:$AP$3,0)),Сценарии!$A$15:$A$35,$A453,Сценарии!$B$15:$B$35,"ИОР")</f>
        <v>#N/A</v>
      </c>
      <c r="X453" s="421" t="e">
        <f>SUMIFS(INDEX(Сценарии!$O$15:$AP$35,,MATCH(X$3,Сценарии!$O$3:$AP$3,0)),Сценарии!$A$15:$A$35,$A453,Сценарии!$B$15:$B$35,"ИОР")</f>
        <v>#N/A</v>
      </c>
      <c r="Y453" s="421" t="e">
        <f>SUMIFS(INDEX(Сценарии!$O$15:$AP$35,,MATCH(Y$3,Сценарии!$O$3:$AP$3,0)),Сценарии!$A$15:$A$35,$A453,Сценарии!$B$15:$B$35,"ИОР")</f>
        <v>#N/A</v>
      </c>
      <c r="Z453" s="421" t="e">
        <f>SUMIFS(INDEX(Сценарии!$O$15:$AP$35,,MATCH(Z$3,Сценарии!$O$3:$AP$3,0)),Сценарии!$A$15:$A$35,$A453,Сценарии!$B$15:$B$35,"ИОР")</f>
        <v>#N/A</v>
      </c>
      <c r="AA453" s="421" t="e">
        <f>SUMIFS(INDEX(Сценарии!$O$15:$AP$35,,MATCH(AA$3,Сценарии!$O$3:$AP$3,0)),Сценарии!$A$15:$A$35,$A453,Сценарии!$B$15:$B$35,"ИОР")</f>
        <v>#N/A</v>
      </c>
      <c r="AB453" s="421" t="e">
        <f>SUMIFS(INDEX(Сценарии!$O$15:$AP$35,,MATCH(AB$3,Сценарии!$O$3:$AP$3,0)),Сценарии!$A$15:$A$35,$A453,Сценарии!$B$15:$B$35,"ИОР")</f>
        <v>#N/A</v>
      </c>
      <c r="AC453" s="421" t="e">
        <f>SUMIFS(INDEX(Сценарии!$O$15:$AP$35,,MATCH(AC$3,Сценарии!$O$3:$AP$3,0)),Сценарии!$A$15:$A$35,$A453,Сценарии!$B$15:$B$35,"ИОР")</f>
        <v>#N/A</v>
      </c>
      <c r="AD453" s="421"/>
      <c r="AE453" s="421" t="e">
        <f>SUMIFS(INDEX(Сценарии!$O$15:$AP$35,,MATCH(AE$3,Сценарии!$O$3:$AP$3,0)),Сценарии!$A$15:$A$35,$A453,Сценарии!$B$15:$B$35,"ИОР")</f>
        <v>#N/A</v>
      </c>
      <c r="AF453" s="421" t="e">
        <f>SUMIFS(INDEX(Сценарии!$O$15:$AP$35,,MATCH(AF$3,Сценарии!$O$3:$AP$3,0)),Сценарии!$A$15:$A$35,$A453,Сценарии!$B$15:$B$35,"ИОР")</f>
        <v>#N/A</v>
      </c>
      <c r="AG453" s="421" t="e">
        <f>SUMIFS(INDEX(Сценарии!$O$15:$AP$35,,MATCH(AG$3,Сценарии!$O$3:$AP$3,0)),Сценарии!$A$15:$A$35,$A453,Сценарии!$B$15:$B$35,"ИОР")</f>
        <v>#N/A</v>
      </c>
      <c r="AH453" s="421" t="e">
        <f>SUMIFS(INDEX(Сценарии!$O$15:$AP$35,,MATCH(AH$3,Сценарии!$O$3:$AP$3,0)),Сценарии!$A$15:$A$35,$A453,Сценарии!$B$15:$B$35,"ИОР")</f>
        <v>#N/A</v>
      </c>
      <c r="AI453" s="421" t="e">
        <f>SUMIFS(INDEX(Сценарии!$O$15:$AP$35,,MATCH(AI$3,Сценарии!$O$3:$AP$3,0)),Сценарии!$A$15:$A$35,$A453,Сценарии!$B$15:$B$35,"ИОР")</f>
        <v>#N/A</v>
      </c>
      <c r="AJ453" s="421" t="e">
        <f>SUMIFS(INDEX(Сценарии!$O$15:$AP$35,,MATCH(AJ$3,Сценарии!$O$3:$AP$3,0)),Сценарии!$A$15:$A$35,$A453,Сценарии!$B$15:$B$35,"ИОР")</f>
        <v>#N/A</v>
      </c>
      <c r="AK453" s="421" t="e">
        <f>SUMIFS(INDEX(Сценарии!$O$15:$AP$35,,MATCH(AK$3,Сценарии!$O$3:$AP$3,0)),Сценарии!$A$15:$A$35,$A453,Сценарии!$B$15:$B$35,"ИОР")</f>
        <v>#N/A</v>
      </c>
      <c r="AL453" s="421" t="e">
        <f>SUMIFS(INDEX(Сценарии!$O$15:$AP$35,,MATCH(AL$3,Сценарии!$O$3:$AP$3,0)),Сценарии!$A$15:$A$35,$A453,Сценарии!$B$15:$B$35,"ИОР")</f>
        <v>#N/A</v>
      </c>
      <c r="AM453" s="421" t="e">
        <f>SUMIFS(INDEX(Сценарии!$O$15:$AP$35,,MATCH(AM$3,Сценарии!$O$3:$AP$3,0)),Сценарии!$A$15:$A$35,$A453,Сценарии!$B$15:$B$35,"ИОР")</f>
        <v>#N/A</v>
      </c>
      <c r="AN453" s="379">
        <f>IF(S453=0,0,(AD453-S453)/S453*100)</f>
        <v>0</v>
      </c>
      <c r="AO453" s="403"/>
      <c r="AP453" s="403"/>
      <c r="AQ453" s="403"/>
      <c r="AR453" s="403"/>
      <c r="AS453" s="403"/>
      <c r="AT453" s="403"/>
      <c r="AU453" s="403"/>
      <c r="AV453" s="403"/>
      <c r="AW453" s="403"/>
      <c r="AX453" s="183"/>
      <c r="AY453" s="183"/>
      <c r="AZ453" s="183"/>
    </row>
    <row r="454" spans="1:53" s="106" customFormat="1" outlineLevel="1">
      <c r="A454" s="578" t="str">
        <f t="shared" si="90"/>
        <v>1</v>
      </c>
      <c r="C454" s="606"/>
      <c r="D454" s="606" t="s">
        <v>1489</v>
      </c>
      <c r="L454" s="370" t="s">
        <v>150</v>
      </c>
      <c r="M454" s="547" t="s">
        <v>513</v>
      </c>
      <c r="N454" s="372" t="s">
        <v>351</v>
      </c>
      <c r="O454" s="373">
        <f>SUM(O455,O458,O459,O462,O463)</f>
        <v>0</v>
      </c>
      <c r="P454" s="373">
        <f>SUM(P455,P458,P459,P462,P463)</f>
        <v>0</v>
      </c>
      <c r="Q454" s="373">
        <f>SUM(Q455,Q458,Q459,Q462,Q463)</f>
        <v>0</v>
      </c>
      <c r="R454" s="373">
        <f t="shared" si="86"/>
        <v>0</v>
      </c>
      <c r="S454" s="373">
        <f>SUM(S455,S458,S459,S462,S463)</f>
        <v>0</v>
      </c>
      <c r="T454" s="373">
        <f>SUM(T455,T458,T459,T462,T463)</f>
        <v>782.8</v>
      </c>
      <c r="U454" s="548"/>
      <c r="V454" s="548"/>
      <c r="W454" s="548"/>
      <c r="X454" s="548"/>
      <c r="Y454" s="548"/>
      <c r="Z454" s="548"/>
      <c r="AA454" s="548"/>
      <c r="AB454" s="548"/>
      <c r="AC454" s="548"/>
      <c r="AD454" s="373">
        <f>SUM(AD455,AD458,AD459,AD462,AD463)</f>
        <v>600.35040000000004</v>
      </c>
      <c r="AE454" s="548"/>
      <c r="AF454" s="548"/>
      <c r="AG454" s="548"/>
      <c r="AH454" s="548"/>
      <c r="AI454" s="548"/>
      <c r="AJ454" s="548"/>
      <c r="AK454" s="548"/>
      <c r="AL454" s="548"/>
      <c r="AM454" s="548"/>
      <c r="AN454" s="373">
        <f>IF(S454=0,0,(AD454-S454)/S454*100)</f>
        <v>0</v>
      </c>
      <c r="AO454" s="548"/>
      <c r="AP454" s="548"/>
      <c r="AQ454" s="548"/>
      <c r="AR454" s="548"/>
      <c r="AS454" s="548"/>
      <c r="AT454" s="548"/>
      <c r="AU454" s="548"/>
      <c r="AV454" s="548"/>
      <c r="AW454" s="548"/>
      <c r="AX454" s="549"/>
      <c r="AY454" s="549"/>
      <c r="AZ454" s="549"/>
    </row>
    <row r="455" spans="1:53" s="104" customFormat="1" ht="22.5" outlineLevel="1">
      <c r="A455" s="578" t="str">
        <f t="shared" si="90"/>
        <v>1</v>
      </c>
      <c r="C455" s="607"/>
      <c r="D455" s="607" t="s">
        <v>1573</v>
      </c>
      <c r="L455" s="375" t="s">
        <v>514</v>
      </c>
      <c r="M455" s="383" t="s">
        <v>515</v>
      </c>
      <c r="N455" s="595" t="s">
        <v>351</v>
      </c>
      <c r="O455" s="379">
        <f>SUM(O456,O457)</f>
        <v>0</v>
      </c>
      <c r="P455" s="379">
        <f>SUM(P456,P457)</f>
        <v>0</v>
      </c>
      <c r="Q455" s="379">
        <f>SUM(Q456,Q457)</f>
        <v>0</v>
      </c>
      <c r="R455" s="379">
        <f t="shared" si="86"/>
        <v>0</v>
      </c>
      <c r="S455" s="379">
        <f>SUM(S456,S457)</f>
        <v>0</v>
      </c>
      <c r="T455" s="379">
        <f>SUM(T456,T457)</f>
        <v>0</v>
      </c>
      <c r="U455" s="403"/>
      <c r="V455" s="403"/>
      <c r="W455" s="403"/>
      <c r="X455" s="403"/>
      <c r="Y455" s="403"/>
      <c r="Z455" s="403"/>
      <c r="AA455" s="403"/>
      <c r="AB455" s="403"/>
      <c r="AC455" s="403"/>
      <c r="AD455" s="379">
        <f>SUM(AD456,AD457)</f>
        <v>0</v>
      </c>
      <c r="AE455" s="403"/>
      <c r="AF455" s="403"/>
      <c r="AG455" s="403"/>
      <c r="AH455" s="403"/>
      <c r="AI455" s="403"/>
      <c r="AJ455" s="403"/>
      <c r="AK455" s="403"/>
      <c r="AL455" s="403"/>
      <c r="AM455" s="403"/>
      <c r="AN455" s="379">
        <f t="shared" ref="AN455:AN525" si="91">IF(S455=0,0,(AD455-S455)/S455*100)</f>
        <v>0</v>
      </c>
      <c r="AO455" s="403"/>
      <c r="AP455" s="403"/>
      <c r="AQ455" s="403"/>
      <c r="AR455" s="403"/>
      <c r="AS455" s="403"/>
      <c r="AT455" s="403"/>
      <c r="AU455" s="403"/>
      <c r="AV455" s="403"/>
      <c r="AW455" s="403"/>
      <c r="AX455" s="183"/>
      <c r="AY455" s="183"/>
      <c r="AZ455" s="183"/>
      <c r="BA455" s="108"/>
    </row>
    <row r="456" spans="1:53" s="104" customFormat="1" outlineLevel="1">
      <c r="A456" s="578" t="str">
        <f t="shared" si="90"/>
        <v>1</v>
      </c>
      <c r="C456" s="607"/>
      <c r="D456" s="607" t="s">
        <v>1632</v>
      </c>
      <c r="L456" s="375" t="s">
        <v>516</v>
      </c>
      <c r="M456" s="385" t="s">
        <v>517</v>
      </c>
      <c r="N456" s="382" t="s">
        <v>351</v>
      </c>
      <c r="O456" s="378"/>
      <c r="P456" s="378"/>
      <c r="Q456" s="378"/>
      <c r="R456" s="379">
        <f t="shared" si="86"/>
        <v>0</v>
      </c>
      <c r="S456" s="378"/>
      <c r="T456" s="378"/>
      <c r="U456" s="403"/>
      <c r="V456" s="403"/>
      <c r="W456" s="403"/>
      <c r="X456" s="403"/>
      <c r="Y456" s="403"/>
      <c r="Z456" s="403"/>
      <c r="AA456" s="403"/>
      <c r="AB456" s="403"/>
      <c r="AC456" s="403"/>
      <c r="AD456" s="378"/>
      <c r="AE456" s="403"/>
      <c r="AF456" s="403"/>
      <c r="AG456" s="403"/>
      <c r="AH456" s="403"/>
      <c r="AI456" s="403"/>
      <c r="AJ456" s="403"/>
      <c r="AK456" s="403"/>
      <c r="AL456" s="403"/>
      <c r="AM456" s="403"/>
      <c r="AN456" s="379">
        <f t="shared" si="91"/>
        <v>0</v>
      </c>
      <c r="AO456" s="403"/>
      <c r="AP456" s="403"/>
      <c r="AQ456" s="403"/>
      <c r="AR456" s="403"/>
      <c r="AS456" s="403"/>
      <c r="AT456" s="403"/>
      <c r="AU456" s="403"/>
      <c r="AV456" s="403"/>
      <c r="AW456" s="403"/>
      <c r="AX456" s="183"/>
      <c r="AY456" s="183"/>
      <c r="AZ456" s="183"/>
    </row>
    <row r="457" spans="1:53" s="104" customFormat="1" outlineLevel="1">
      <c r="A457" s="578" t="str">
        <f t="shared" si="90"/>
        <v>1</v>
      </c>
      <c r="C457" s="607"/>
      <c r="D457" s="607" t="s">
        <v>1633</v>
      </c>
      <c r="L457" s="375" t="s">
        <v>518</v>
      </c>
      <c r="M457" s="386" t="s">
        <v>519</v>
      </c>
      <c r="N457" s="382" t="s">
        <v>351</v>
      </c>
      <c r="O457" s="378"/>
      <c r="P457" s="378"/>
      <c r="Q457" s="378"/>
      <c r="R457" s="379">
        <f t="shared" si="86"/>
        <v>0</v>
      </c>
      <c r="S457" s="378"/>
      <c r="T457" s="378"/>
      <c r="U457" s="403"/>
      <c r="V457" s="403"/>
      <c r="W457" s="403"/>
      <c r="X457" s="403"/>
      <c r="Y457" s="403"/>
      <c r="Z457" s="403"/>
      <c r="AA457" s="403"/>
      <c r="AB457" s="403"/>
      <c r="AC457" s="403"/>
      <c r="AD457" s="378"/>
      <c r="AE457" s="403"/>
      <c r="AF457" s="403"/>
      <c r="AG457" s="403"/>
      <c r="AH457" s="403"/>
      <c r="AI457" s="403"/>
      <c r="AJ457" s="403"/>
      <c r="AK457" s="403"/>
      <c r="AL457" s="403"/>
      <c r="AM457" s="403"/>
      <c r="AN457" s="379">
        <f t="shared" si="91"/>
        <v>0</v>
      </c>
      <c r="AO457" s="403"/>
      <c r="AP457" s="403"/>
      <c r="AQ457" s="403"/>
      <c r="AR457" s="403"/>
      <c r="AS457" s="403"/>
      <c r="AT457" s="403"/>
      <c r="AU457" s="403"/>
      <c r="AV457" s="403"/>
      <c r="AW457" s="403"/>
      <c r="AX457" s="183"/>
      <c r="AY457" s="183"/>
      <c r="AZ457" s="183"/>
    </row>
    <row r="458" spans="1:53" s="104" customFormat="1" ht="22.5" outlineLevel="1">
      <c r="A458" s="578" t="str">
        <f t="shared" si="90"/>
        <v>1</v>
      </c>
      <c r="C458" s="607"/>
      <c r="D458" s="607" t="s">
        <v>1574</v>
      </c>
      <c r="L458" s="375" t="s">
        <v>520</v>
      </c>
      <c r="M458" s="383" t="s">
        <v>521</v>
      </c>
      <c r="N458" s="595" t="s">
        <v>351</v>
      </c>
      <c r="O458" s="378"/>
      <c r="P458" s="378"/>
      <c r="Q458" s="378"/>
      <c r="R458" s="379">
        <f t="shared" si="86"/>
        <v>0</v>
      </c>
      <c r="S458" s="378"/>
      <c r="T458" s="378"/>
      <c r="U458" s="403"/>
      <c r="V458" s="403"/>
      <c r="W458" s="403"/>
      <c r="X458" s="403"/>
      <c r="Y458" s="403"/>
      <c r="Z458" s="403"/>
      <c r="AA458" s="403"/>
      <c r="AB458" s="403"/>
      <c r="AC458" s="403"/>
      <c r="AD458" s="378"/>
      <c r="AE458" s="403"/>
      <c r="AF458" s="403"/>
      <c r="AG458" s="403"/>
      <c r="AH458" s="403"/>
      <c r="AI458" s="403"/>
      <c r="AJ458" s="403"/>
      <c r="AK458" s="403"/>
      <c r="AL458" s="403"/>
      <c r="AM458" s="403"/>
      <c r="AN458" s="379">
        <f t="shared" si="91"/>
        <v>0</v>
      </c>
      <c r="AO458" s="403"/>
      <c r="AP458" s="403"/>
      <c r="AQ458" s="403"/>
      <c r="AR458" s="403"/>
      <c r="AS458" s="403"/>
      <c r="AT458" s="403"/>
      <c r="AU458" s="403"/>
      <c r="AV458" s="403"/>
      <c r="AW458" s="403"/>
      <c r="AX458" s="183"/>
      <c r="AY458" s="183"/>
      <c r="AZ458" s="183"/>
    </row>
    <row r="459" spans="1:53" s="104" customFormat="1" ht="33.75" outlineLevel="1">
      <c r="A459" s="578" t="str">
        <f t="shared" si="90"/>
        <v>1</v>
      </c>
      <c r="C459" s="607"/>
      <c r="D459" s="607" t="s">
        <v>1575</v>
      </c>
      <c r="L459" s="375" t="s">
        <v>522</v>
      </c>
      <c r="M459" s="383" t="s">
        <v>1473</v>
      </c>
      <c r="N459" s="382" t="s">
        <v>351</v>
      </c>
      <c r="O459" s="387">
        <f>O460+O461</f>
        <v>0</v>
      </c>
      <c r="P459" s="387">
        <f>P460+P461</f>
        <v>0</v>
      </c>
      <c r="Q459" s="387">
        <f>Q460+Q461</f>
        <v>0</v>
      </c>
      <c r="R459" s="379">
        <f t="shared" si="86"/>
        <v>0</v>
      </c>
      <c r="S459" s="387">
        <f>S460+S461</f>
        <v>0</v>
      </c>
      <c r="T459" s="387">
        <f>T460+T461</f>
        <v>782.8</v>
      </c>
      <c r="U459" s="403"/>
      <c r="V459" s="403"/>
      <c r="W459" s="403"/>
      <c r="X459" s="403"/>
      <c r="Y459" s="403"/>
      <c r="Z459" s="403"/>
      <c r="AA459" s="403"/>
      <c r="AB459" s="403"/>
      <c r="AC459" s="403"/>
      <c r="AD459" s="387">
        <f>AD460+AD461</f>
        <v>600.35040000000004</v>
      </c>
      <c r="AE459" s="403"/>
      <c r="AF459" s="403"/>
      <c r="AG459" s="403"/>
      <c r="AH459" s="403"/>
      <c r="AI459" s="403"/>
      <c r="AJ459" s="403"/>
      <c r="AK459" s="403"/>
      <c r="AL459" s="403"/>
      <c r="AM459" s="403"/>
      <c r="AN459" s="379">
        <f>IF(S459=0,0,(AD459-S459)/S459*100)</f>
        <v>0</v>
      </c>
      <c r="AO459" s="403"/>
      <c r="AP459" s="403"/>
      <c r="AQ459" s="403"/>
      <c r="AR459" s="403"/>
      <c r="AS459" s="403"/>
      <c r="AT459" s="403"/>
      <c r="AU459" s="403"/>
      <c r="AV459" s="403"/>
      <c r="AW459" s="403"/>
      <c r="AX459" s="183"/>
      <c r="AY459" s="183"/>
      <c r="AZ459" s="183"/>
    </row>
    <row r="460" spans="1:53" s="104" customFormat="1" ht="22.5" outlineLevel="1">
      <c r="A460" s="578" t="str">
        <f t="shared" si="90"/>
        <v>1</v>
      </c>
      <c r="B460" s="480" t="s">
        <v>1283</v>
      </c>
      <c r="C460" s="607"/>
      <c r="D460" s="607" t="s">
        <v>1594</v>
      </c>
      <c r="L460" s="375" t="s">
        <v>523</v>
      </c>
      <c r="M460" s="385" t="s">
        <v>524</v>
      </c>
      <c r="N460" s="595" t="s">
        <v>351</v>
      </c>
      <c r="O460" s="530">
        <f>SUMIFS(ФОТ!O$15:O$35,ФОТ!$A$15:$A$35,$A460,ФОТ!$B$15:$B$35,$B460)</f>
        <v>0</v>
      </c>
      <c r="P460" s="530">
        <f>SUMIFS(ФОТ!P$15:P$35,ФОТ!$A$15:$A$35,$A460,ФОТ!$B$15:$B$35,$B460)</f>
        <v>0</v>
      </c>
      <c r="Q460" s="530">
        <f>SUMIFS(ФОТ!Q$15:Q$35,ФОТ!$A$15:$A$35,$A460,ФОТ!$B$15:$B$35,$B460)</f>
        <v>0</v>
      </c>
      <c r="R460" s="379">
        <f t="shared" si="86"/>
        <v>0</v>
      </c>
      <c r="S460" s="530">
        <f>SUMIFS(ФОТ!R$15:R$35,ФОТ!$A$15:$A$35,$A460,ФОТ!$B$15:$B$35,$B460)</f>
        <v>0</v>
      </c>
      <c r="T460" s="530">
        <f>SUMIFS(ФОТ!S$15:S$35,ФОТ!$A$15:$A$35,$A460,ФОТ!$B$15:$B$35,$B460)</f>
        <v>584.4</v>
      </c>
      <c r="U460" s="403"/>
      <c r="V460" s="403"/>
      <c r="W460" s="403"/>
      <c r="X460" s="403"/>
      <c r="Y460" s="403"/>
      <c r="Z460" s="403"/>
      <c r="AA460" s="403"/>
      <c r="AB460" s="403"/>
      <c r="AC460" s="403"/>
      <c r="AD460" s="530">
        <f>SUMIFS(ФОТ!T$15:T$35,ФОТ!$A$15:$A$35,$A460,ФОТ!$B$15:$B$35,$B460)</f>
        <v>461.80799999999999</v>
      </c>
      <c r="AE460" s="403"/>
      <c r="AF460" s="403"/>
      <c r="AG460" s="403"/>
      <c r="AH460" s="403"/>
      <c r="AI460" s="403"/>
      <c r="AJ460" s="403"/>
      <c r="AK460" s="403"/>
      <c r="AL460" s="403"/>
      <c r="AM460" s="403"/>
      <c r="AN460" s="379">
        <f>IF(S460=0,0,(AD460-S460)/S460*100)</f>
        <v>0</v>
      </c>
      <c r="AO460" s="403"/>
      <c r="AP460" s="403"/>
      <c r="AQ460" s="403"/>
      <c r="AR460" s="403"/>
      <c r="AS460" s="403"/>
      <c r="AT460" s="403"/>
      <c r="AU460" s="403"/>
      <c r="AV460" s="403"/>
      <c r="AW460" s="403"/>
      <c r="AX460" s="183"/>
      <c r="AY460" s="183"/>
      <c r="AZ460" s="183"/>
    </row>
    <row r="461" spans="1:53" s="104" customFormat="1" ht="22.5" outlineLevel="1">
      <c r="A461" s="578" t="str">
        <f t="shared" si="90"/>
        <v>1</v>
      </c>
      <c r="B461" s="480" t="s">
        <v>1285</v>
      </c>
      <c r="C461" s="607"/>
      <c r="D461" s="607" t="s">
        <v>1595</v>
      </c>
      <c r="L461" s="375" t="s">
        <v>525</v>
      </c>
      <c r="M461" s="385" t="s">
        <v>1468</v>
      </c>
      <c r="N461" s="382" t="s">
        <v>351</v>
      </c>
      <c r="O461" s="530">
        <f>SUMIFS(ФОТ!O$15:O$35,ФОТ!$A$15:$A$35,$A461,ФОТ!$B$15:$B$35,$B461)</f>
        <v>0</v>
      </c>
      <c r="P461" s="530">
        <f>SUMIFS(ФОТ!P$15:P$35,ФОТ!$A$15:$A$35,$A461,ФОТ!$B$15:$B$35,$B461)</f>
        <v>0</v>
      </c>
      <c r="Q461" s="530">
        <f>SUMIFS(ФОТ!Q$15:Q$35,ФОТ!$A$15:$A$35,$A461,ФОТ!$B$15:$B$35,$B461)</f>
        <v>0</v>
      </c>
      <c r="R461" s="379">
        <f t="shared" si="86"/>
        <v>0</v>
      </c>
      <c r="S461" s="530">
        <f>SUMIFS(ФОТ!R$15:R$35,ФОТ!$A$15:$A$35,$A461,ФОТ!$B$15:$B$35,$B461)</f>
        <v>0</v>
      </c>
      <c r="T461" s="530">
        <f>SUMIFS(ФОТ!S$15:S$35,ФОТ!$A$15:$A$35,$A461,ФОТ!$B$15:$B$35,$B461)</f>
        <v>198.4</v>
      </c>
      <c r="U461" s="403"/>
      <c r="V461" s="403"/>
      <c r="W461" s="403"/>
      <c r="X461" s="403"/>
      <c r="Y461" s="403"/>
      <c r="Z461" s="403"/>
      <c r="AA461" s="403"/>
      <c r="AB461" s="403"/>
      <c r="AC461" s="403"/>
      <c r="AD461" s="530">
        <f>SUMIFS(ФОТ!T$15:T$35,ФОТ!$A$15:$A$35,$A461,ФОТ!$B$15:$B$35,$B461)</f>
        <v>138.54239999999999</v>
      </c>
      <c r="AE461" s="403"/>
      <c r="AF461" s="403"/>
      <c r="AG461" s="403"/>
      <c r="AH461" s="403"/>
      <c r="AI461" s="403"/>
      <c r="AJ461" s="403"/>
      <c r="AK461" s="403"/>
      <c r="AL461" s="403"/>
      <c r="AM461" s="403"/>
      <c r="AN461" s="379">
        <f>IF(S461=0,0,(AD461-S461)/S461*100)</f>
        <v>0</v>
      </c>
      <c r="AO461" s="403"/>
      <c r="AP461" s="403"/>
      <c r="AQ461" s="403"/>
      <c r="AR461" s="403"/>
      <c r="AS461" s="403"/>
      <c r="AT461" s="403"/>
      <c r="AU461" s="403"/>
      <c r="AV461" s="403"/>
      <c r="AW461" s="403"/>
      <c r="AX461" s="183"/>
      <c r="AY461" s="183"/>
      <c r="AZ461" s="183"/>
    </row>
    <row r="462" spans="1:53" s="104" customFormat="1" outlineLevel="1">
      <c r="A462" s="578" t="str">
        <f t="shared" si="90"/>
        <v>1</v>
      </c>
      <c r="C462" s="607"/>
      <c r="D462" s="607" t="s">
        <v>1597</v>
      </c>
      <c r="L462" s="375" t="s">
        <v>526</v>
      </c>
      <c r="M462" s="383" t="s">
        <v>527</v>
      </c>
      <c r="N462" s="595" t="s">
        <v>351</v>
      </c>
      <c r="O462" s="378"/>
      <c r="P462" s="378"/>
      <c r="Q462" s="378"/>
      <c r="R462" s="379">
        <f t="shared" si="86"/>
        <v>0</v>
      </c>
      <c r="S462" s="378"/>
      <c r="T462" s="378"/>
      <c r="U462" s="403"/>
      <c r="V462" s="403"/>
      <c r="W462" s="403"/>
      <c r="X462" s="403"/>
      <c r="Y462" s="403"/>
      <c r="Z462" s="403"/>
      <c r="AA462" s="403"/>
      <c r="AB462" s="403"/>
      <c r="AC462" s="403"/>
      <c r="AD462" s="378"/>
      <c r="AE462" s="403"/>
      <c r="AF462" s="403"/>
      <c r="AG462" s="403"/>
      <c r="AH462" s="403"/>
      <c r="AI462" s="403"/>
      <c r="AJ462" s="403"/>
      <c r="AK462" s="403"/>
      <c r="AL462" s="403"/>
      <c r="AM462" s="403"/>
      <c r="AN462" s="379">
        <f t="shared" si="91"/>
        <v>0</v>
      </c>
      <c r="AO462" s="403"/>
      <c r="AP462" s="403"/>
      <c r="AQ462" s="403"/>
      <c r="AR462" s="403"/>
      <c r="AS462" s="403"/>
      <c r="AT462" s="403"/>
      <c r="AU462" s="403"/>
      <c r="AV462" s="403"/>
      <c r="AW462" s="403"/>
      <c r="AX462" s="183"/>
      <c r="AY462" s="183"/>
      <c r="AZ462" s="183"/>
    </row>
    <row r="463" spans="1:53" s="104" customFormat="1" outlineLevel="1">
      <c r="A463" s="578" t="str">
        <f t="shared" si="90"/>
        <v>1</v>
      </c>
      <c r="C463" s="607"/>
      <c r="D463" s="607" t="s">
        <v>1598</v>
      </c>
      <c r="L463" s="375" t="s">
        <v>528</v>
      </c>
      <c r="M463" s="388" t="s">
        <v>529</v>
      </c>
      <c r="N463" s="377" t="s">
        <v>351</v>
      </c>
      <c r="O463" s="384">
        <f>SUM(O464:O470)</f>
        <v>0</v>
      </c>
      <c r="P463" s="384">
        <f>SUM(P464:P470)</f>
        <v>0</v>
      </c>
      <c r="Q463" s="384">
        <f>SUM(Q464:Q470)</f>
        <v>0</v>
      </c>
      <c r="R463" s="379">
        <f t="shared" si="86"/>
        <v>0</v>
      </c>
      <c r="S463" s="384">
        <f>SUM(S464:S470)</f>
        <v>0</v>
      </c>
      <c r="T463" s="384">
        <f>SUM(T464:T470)</f>
        <v>0</v>
      </c>
      <c r="U463" s="403"/>
      <c r="V463" s="403"/>
      <c r="W463" s="403"/>
      <c r="X463" s="403"/>
      <c r="Y463" s="403"/>
      <c r="Z463" s="403"/>
      <c r="AA463" s="403"/>
      <c r="AB463" s="403"/>
      <c r="AC463" s="403"/>
      <c r="AD463" s="384">
        <f>SUM(AD464:AD470)</f>
        <v>0</v>
      </c>
      <c r="AE463" s="403"/>
      <c r="AF463" s="403"/>
      <c r="AG463" s="403"/>
      <c r="AH463" s="403"/>
      <c r="AI463" s="403"/>
      <c r="AJ463" s="403"/>
      <c r="AK463" s="403"/>
      <c r="AL463" s="403"/>
      <c r="AM463" s="403"/>
      <c r="AN463" s="379">
        <f t="shared" si="91"/>
        <v>0</v>
      </c>
      <c r="AO463" s="403"/>
      <c r="AP463" s="403"/>
      <c r="AQ463" s="403"/>
      <c r="AR463" s="403"/>
      <c r="AS463" s="403"/>
      <c r="AT463" s="403"/>
      <c r="AU463" s="403"/>
      <c r="AV463" s="403"/>
      <c r="AW463" s="403"/>
      <c r="AX463" s="183"/>
      <c r="AY463" s="183"/>
      <c r="AZ463" s="183"/>
    </row>
    <row r="464" spans="1:53" s="104" customFormat="1" outlineLevel="1">
      <c r="A464" s="578" t="str">
        <f t="shared" si="90"/>
        <v>1</v>
      </c>
      <c r="C464" s="607"/>
      <c r="D464" s="607" t="s">
        <v>1634</v>
      </c>
      <c r="L464" s="375" t="s">
        <v>530</v>
      </c>
      <c r="M464" s="386" t="s">
        <v>531</v>
      </c>
      <c r="N464" s="377" t="s">
        <v>351</v>
      </c>
      <c r="O464" s="378"/>
      <c r="P464" s="378"/>
      <c r="Q464" s="378"/>
      <c r="R464" s="379">
        <f t="shared" si="86"/>
        <v>0</v>
      </c>
      <c r="S464" s="378"/>
      <c r="T464" s="378"/>
      <c r="U464" s="403"/>
      <c r="V464" s="403"/>
      <c r="W464" s="403"/>
      <c r="X464" s="403"/>
      <c r="Y464" s="403"/>
      <c r="Z464" s="403"/>
      <c r="AA464" s="403"/>
      <c r="AB464" s="403"/>
      <c r="AC464" s="403"/>
      <c r="AD464" s="378"/>
      <c r="AE464" s="403"/>
      <c r="AF464" s="403"/>
      <c r="AG464" s="403"/>
      <c r="AH464" s="403"/>
      <c r="AI464" s="403"/>
      <c r="AJ464" s="403"/>
      <c r="AK464" s="403"/>
      <c r="AL464" s="403"/>
      <c r="AM464" s="403"/>
      <c r="AN464" s="379">
        <f t="shared" si="91"/>
        <v>0</v>
      </c>
      <c r="AO464" s="403"/>
      <c r="AP464" s="403"/>
      <c r="AQ464" s="403"/>
      <c r="AR464" s="403"/>
      <c r="AS464" s="403"/>
      <c r="AT464" s="403"/>
      <c r="AU464" s="403"/>
      <c r="AV464" s="403"/>
      <c r="AW464" s="403"/>
      <c r="AX464" s="183"/>
      <c r="AY464" s="183"/>
      <c r="AZ464" s="183"/>
    </row>
    <row r="465" spans="1:52" s="104" customFormat="1" ht="22.5" outlineLevel="1">
      <c r="A465" s="578" t="str">
        <f t="shared" si="90"/>
        <v>1</v>
      </c>
      <c r="C465" s="607"/>
      <c r="D465" s="607" t="s">
        <v>1635</v>
      </c>
      <c r="L465" s="375" t="s">
        <v>532</v>
      </c>
      <c r="M465" s="386" t="s">
        <v>533</v>
      </c>
      <c r="N465" s="377" t="s">
        <v>351</v>
      </c>
      <c r="O465" s="378"/>
      <c r="P465" s="378"/>
      <c r="Q465" s="378"/>
      <c r="R465" s="379">
        <f t="shared" si="86"/>
        <v>0</v>
      </c>
      <c r="S465" s="378"/>
      <c r="T465" s="378"/>
      <c r="U465" s="403"/>
      <c r="V465" s="403"/>
      <c r="W465" s="403"/>
      <c r="X465" s="403"/>
      <c r="Y465" s="403"/>
      <c r="Z465" s="403"/>
      <c r="AA465" s="403"/>
      <c r="AB465" s="403"/>
      <c r="AC465" s="403"/>
      <c r="AD465" s="378"/>
      <c r="AE465" s="403"/>
      <c r="AF465" s="403"/>
      <c r="AG465" s="403"/>
      <c r="AH465" s="403"/>
      <c r="AI465" s="403"/>
      <c r="AJ465" s="403"/>
      <c r="AK465" s="403"/>
      <c r="AL465" s="403"/>
      <c r="AM465" s="403"/>
      <c r="AN465" s="379">
        <f t="shared" si="91"/>
        <v>0</v>
      </c>
      <c r="AO465" s="403"/>
      <c r="AP465" s="403"/>
      <c r="AQ465" s="403"/>
      <c r="AR465" s="403"/>
      <c r="AS465" s="403"/>
      <c r="AT465" s="403"/>
      <c r="AU465" s="403"/>
      <c r="AV465" s="403"/>
      <c r="AW465" s="403"/>
      <c r="AX465" s="183"/>
      <c r="AY465" s="183"/>
      <c r="AZ465" s="183"/>
    </row>
    <row r="466" spans="1:52" s="104" customFormat="1" ht="22.5" outlineLevel="1">
      <c r="A466" s="578" t="str">
        <f t="shared" si="90"/>
        <v>1</v>
      </c>
      <c r="C466" s="607"/>
      <c r="D466" s="607" t="s">
        <v>1636</v>
      </c>
      <c r="L466" s="375" t="s">
        <v>534</v>
      </c>
      <c r="M466" s="389" t="s">
        <v>535</v>
      </c>
      <c r="N466" s="377" t="s">
        <v>351</v>
      </c>
      <c r="O466" s="378"/>
      <c r="P466" s="378"/>
      <c r="Q466" s="378"/>
      <c r="R466" s="379">
        <f t="shared" si="86"/>
        <v>0</v>
      </c>
      <c r="S466" s="378"/>
      <c r="T466" s="378"/>
      <c r="U466" s="403"/>
      <c r="V466" s="403"/>
      <c r="W466" s="403"/>
      <c r="X466" s="403"/>
      <c r="Y466" s="403"/>
      <c r="Z466" s="403"/>
      <c r="AA466" s="403"/>
      <c r="AB466" s="403"/>
      <c r="AC466" s="403"/>
      <c r="AD466" s="378"/>
      <c r="AE466" s="403"/>
      <c r="AF466" s="403"/>
      <c r="AG466" s="403"/>
      <c r="AH466" s="403"/>
      <c r="AI466" s="403"/>
      <c r="AJ466" s="403"/>
      <c r="AK466" s="403"/>
      <c r="AL466" s="403"/>
      <c r="AM466" s="403"/>
      <c r="AN466" s="379">
        <f t="shared" si="91"/>
        <v>0</v>
      </c>
      <c r="AO466" s="403"/>
      <c r="AP466" s="403"/>
      <c r="AQ466" s="403"/>
      <c r="AR466" s="403"/>
      <c r="AS466" s="403"/>
      <c r="AT466" s="403"/>
      <c r="AU466" s="403"/>
      <c r="AV466" s="403"/>
      <c r="AW466" s="403"/>
      <c r="AX466" s="183"/>
      <c r="AY466" s="183"/>
      <c r="AZ466" s="183"/>
    </row>
    <row r="467" spans="1:52" s="104" customFormat="1" ht="22.5" outlineLevel="1">
      <c r="A467" s="578" t="str">
        <f t="shared" si="90"/>
        <v>1</v>
      </c>
      <c r="C467" s="607"/>
      <c r="D467" s="607" t="s">
        <v>1637</v>
      </c>
      <c r="L467" s="375" t="s">
        <v>536</v>
      </c>
      <c r="M467" s="389" t="s">
        <v>537</v>
      </c>
      <c r="N467" s="377" t="s">
        <v>351</v>
      </c>
      <c r="O467" s="378"/>
      <c r="P467" s="378"/>
      <c r="Q467" s="378"/>
      <c r="R467" s="379">
        <f t="shared" si="86"/>
        <v>0</v>
      </c>
      <c r="S467" s="378"/>
      <c r="T467" s="378"/>
      <c r="U467" s="403"/>
      <c r="V467" s="403"/>
      <c r="W467" s="403"/>
      <c r="X467" s="403"/>
      <c r="Y467" s="403"/>
      <c r="Z467" s="403"/>
      <c r="AA467" s="403"/>
      <c r="AB467" s="403"/>
      <c r="AC467" s="403"/>
      <c r="AD467" s="378"/>
      <c r="AE467" s="403"/>
      <c r="AF467" s="403"/>
      <c r="AG467" s="403"/>
      <c r="AH467" s="403"/>
      <c r="AI467" s="403"/>
      <c r="AJ467" s="403"/>
      <c r="AK467" s="403"/>
      <c r="AL467" s="403"/>
      <c r="AM467" s="403"/>
      <c r="AN467" s="379">
        <f t="shared" si="91"/>
        <v>0</v>
      </c>
      <c r="AO467" s="403"/>
      <c r="AP467" s="403"/>
      <c r="AQ467" s="403"/>
      <c r="AR467" s="403"/>
      <c r="AS467" s="403"/>
      <c r="AT467" s="403"/>
      <c r="AU467" s="403"/>
      <c r="AV467" s="403"/>
      <c r="AW467" s="403"/>
      <c r="AX467" s="183"/>
      <c r="AY467" s="183"/>
      <c r="AZ467" s="183"/>
    </row>
    <row r="468" spans="1:52" s="104" customFormat="1" ht="56.25" outlineLevel="1">
      <c r="A468" s="578" t="str">
        <f t="shared" si="90"/>
        <v>1</v>
      </c>
      <c r="C468" s="607"/>
      <c r="D468" s="607" t="s">
        <v>1638</v>
      </c>
      <c r="L468" s="375" t="s">
        <v>538</v>
      </c>
      <c r="M468" s="386" t="s">
        <v>539</v>
      </c>
      <c r="N468" s="377" t="s">
        <v>351</v>
      </c>
      <c r="O468" s="378"/>
      <c r="P468" s="378"/>
      <c r="Q468" s="378"/>
      <c r="R468" s="379">
        <f t="shared" si="86"/>
        <v>0</v>
      </c>
      <c r="S468" s="378"/>
      <c r="T468" s="378"/>
      <c r="U468" s="403"/>
      <c r="V468" s="403"/>
      <c r="W468" s="403"/>
      <c r="X468" s="403"/>
      <c r="Y468" s="403"/>
      <c r="Z468" s="403"/>
      <c r="AA468" s="403"/>
      <c r="AB468" s="403"/>
      <c r="AC468" s="403"/>
      <c r="AD468" s="378"/>
      <c r="AE468" s="403"/>
      <c r="AF468" s="403"/>
      <c r="AG468" s="403"/>
      <c r="AH468" s="403"/>
      <c r="AI468" s="403"/>
      <c r="AJ468" s="403"/>
      <c r="AK468" s="403"/>
      <c r="AL468" s="403"/>
      <c r="AM468" s="403"/>
      <c r="AN468" s="379">
        <f t="shared" si="91"/>
        <v>0</v>
      </c>
      <c r="AO468" s="403"/>
      <c r="AP468" s="403"/>
      <c r="AQ468" s="403"/>
      <c r="AR468" s="403"/>
      <c r="AS468" s="403"/>
      <c r="AT468" s="403"/>
      <c r="AU468" s="403"/>
      <c r="AV468" s="403"/>
      <c r="AW468" s="403"/>
      <c r="AX468" s="183"/>
      <c r="AY468" s="183"/>
      <c r="AZ468" s="183"/>
    </row>
    <row r="469" spans="1:52" s="104" customFormat="1" outlineLevel="1">
      <c r="A469" s="578" t="str">
        <f t="shared" si="90"/>
        <v>1</v>
      </c>
      <c r="C469" s="607"/>
      <c r="D469" s="607" t="s">
        <v>1639</v>
      </c>
      <c r="L469" s="375" t="s">
        <v>540</v>
      </c>
      <c r="M469" s="386" t="s">
        <v>541</v>
      </c>
      <c r="N469" s="377" t="s">
        <v>351</v>
      </c>
      <c r="O469" s="378"/>
      <c r="P469" s="378"/>
      <c r="Q469" s="378"/>
      <c r="R469" s="379">
        <f t="shared" si="86"/>
        <v>0</v>
      </c>
      <c r="S469" s="378"/>
      <c r="T469" s="378"/>
      <c r="U469" s="403"/>
      <c r="V469" s="403"/>
      <c r="W469" s="403"/>
      <c r="X469" s="403"/>
      <c r="Y469" s="403"/>
      <c r="Z469" s="403"/>
      <c r="AA469" s="403"/>
      <c r="AB469" s="403"/>
      <c r="AC469" s="403"/>
      <c r="AD469" s="378"/>
      <c r="AE469" s="403"/>
      <c r="AF469" s="403"/>
      <c r="AG469" s="403"/>
      <c r="AH469" s="403"/>
      <c r="AI469" s="403"/>
      <c r="AJ469" s="403"/>
      <c r="AK469" s="403"/>
      <c r="AL469" s="403"/>
      <c r="AM469" s="403"/>
      <c r="AN469" s="379">
        <f t="shared" si="91"/>
        <v>0</v>
      </c>
      <c r="AO469" s="403"/>
      <c r="AP469" s="403"/>
      <c r="AQ469" s="403"/>
      <c r="AR469" s="403"/>
      <c r="AS469" s="403"/>
      <c r="AT469" s="403"/>
      <c r="AU469" s="403"/>
      <c r="AV469" s="403"/>
      <c r="AW469" s="403"/>
      <c r="AX469" s="183"/>
      <c r="AY469" s="183"/>
      <c r="AZ469" s="183"/>
    </row>
    <row r="470" spans="1:52" s="104" customFormat="1" outlineLevel="1">
      <c r="A470" s="578" t="str">
        <f t="shared" si="90"/>
        <v>1</v>
      </c>
      <c r="C470" s="607"/>
      <c r="D470" s="607" t="s">
        <v>1640</v>
      </c>
      <c r="L470" s="375" t="s">
        <v>1464</v>
      </c>
      <c r="M470" s="386" t="s">
        <v>1465</v>
      </c>
      <c r="N470" s="377" t="s">
        <v>351</v>
      </c>
      <c r="O470" s="378"/>
      <c r="P470" s="378"/>
      <c r="Q470" s="378"/>
      <c r="R470" s="379">
        <f t="shared" si="86"/>
        <v>0</v>
      </c>
      <c r="S470" s="378"/>
      <c r="T470" s="378"/>
      <c r="U470" s="403"/>
      <c r="V470" s="403"/>
      <c r="W470" s="403"/>
      <c r="X470" s="403"/>
      <c r="Y470" s="403"/>
      <c r="Z470" s="403"/>
      <c r="AA470" s="403"/>
      <c r="AB470" s="403"/>
      <c r="AC470" s="403"/>
      <c r="AD470" s="378"/>
      <c r="AE470" s="403"/>
      <c r="AF470" s="403"/>
      <c r="AG470" s="403"/>
      <c r="AH470" s="403"/>
      <c r="AI470" s="403"/>
      <c r="AJ470" s="403"/>
      <c r="AK470" s="403"/>
      <c r="AL470" s="403"/>
      <c r="AM470" s="403"/>
      <c r="AN470" s="379">
        <f>IF(S470=0,0,(AD470-S470)/S470*100)</f>
        <v>0</v>
      </c>
      <c r="AO470" s="403"/>
      <c r="AP470" s="403"/>
      <c r="AQ470" s="403"/>
      <c r="AR470" s="403"/>
      <c r="AS470" s="403"/>
      <c r="AT470" s="403"/>
      <c r="AU470" s="403"/>
      <c r="AV470" s="403"/>
      <c r="AW470" s="403"/>
      <c r="AX470" s="183"/>
      <c r="AY470" s="183"/>
      <c r="AZ470" s="183"/>
    </row>
    <row r="471" spans="1:52" s="109" customFormat="1" outlineLevel="1">
      <c r="A471" s="578" t="str">
        <f t="shared" si="90"/>
        <v>1</v>
      </c>
      <c r="C471" s="607"/>
      <c r="D471" s="607" t="s">
        <v>1490</v>
      </c>
      <c r="L471" s="395" t="s">
        <v>359</v>
      </c>
      <c r="M471" s="550" t="s">
        <v>542</v>
      </c>
      <c r="N471" s="396" t="s">
        <v>351</v>
      </c>
      <c r="O471" s="399">
        <f>O472+O473+O474</f>
        <v>0</v>
      </c>
      <c r="P471" s="399">
        <f>P472+P473+P474</f>
        <v>0</v>
      </c>
      <c r="Q471" s="399">
        <f>Q472+Q473+Q474</f>
        <v>0</v>
      </c>
      <c r="R471" s="373">
        <f t="shared" si="86"/>
        <v>0</v>
      </c>
      <c r="S471" s="399">
        <f>S472+S473+S474</f>
        <v>0</v>
      </c>
      <c r="T471" s="399">
        <f>T472+T473+T474</f>
        <v>0</v>
      </c>
      <c r="U471" s="548"/>
      <c r="V471" s="548"/>
      <c r="W471" s="548"/>
      <c r="X471" s="548"/>
      <c r="Y471" s="548"/>
      <c r="Z471" s="548"/>
      <c r="AA471" s="548"/>
      <c r="AB471" s="548"/>
      <c r="AC471" s="548"/>
      <c r="AD471" s="399">
        <f>AD472+AD473+AD474</f>
        <v>0</v>
      </c>
      <c r="AE471" s="548"/>
      <c r="AF471" s="548"/>
      <c r="AG471" s="548"/>
      <c r="AH471" s="548"/>
      <c r="AI471" s="548"/>
      <c r="AJ471" s="548"/>
      <c r="AK471" s="548"/>
      <c r="AL471" s="548"/>
      <c r="AM471" s="548"/>
      <c r="AN471" s="373">
        <f>IF(S471=0,0,(AD471-S471)/S471*100)</f>
        <v>0</v>
      </c>
      <c r="AO471" s="548"/>
      <c r="AP471" s="548"/>
      <c r="AQ471" s="548"/>
      <c r="AR471" s="548"/>
      <c r="AS471" s="548"/>
      <c r="AT471" s="548"/>
      <c r="AU471" s="548"/>
      <c r="AV471" s="548"/>
      <c r="AW471" s="548"/>
      <c r="AX471" s="549"/>
      <c r="AY471" s="549"/>
      <c r="AZ471" s="549"/>
    </row>
    <row r="472" spans="1:52" s="104" customFormat="1" ht="33.75" outlineLevel="1">
      <c r="A472" s="578" t="str">
        <f t="shared" si="90"/>
        <v>1</v>
      </c>
      <c r="C472" s="607"/>
      <c r="D472" s="607" t="s">
        <v>1576</v>
      </c>
      <c r="L472" s="375" t="s">
        <v>543</v>
      </c>
      <c r="M472" s="383" t="s">
        <v>544</v>
      </c>
      <c r="N472" s="377" t="s">
        <v>351</v>
      </c>
      <c r="O472" s="378"/>
      <c r="P472" s="378"/>
      <c r="Q472" s="378"/>
      <c r="R472" s="379">
        <f t="shared" si="86"/>
        <v>0</v>
      </c>
      <c r="S472" s="378"/>
      <c r="T472" s="378"/>
      <c r="U472" s="403"/>
      <c r="V472" s="403"/>
      <c r="W472" s="403"/>
      <c r="X472" s="403"/>
      <c r="Y472" s="403"/>
      <c r="Z472" s="403"/>
      <c r="AA472" s="403"/>
      <c r="AB472" s="403"/>
      <c r="AC472" s="403"/>
      <c r="AD472" s="378"/>
      <c r="AE472" s="403"/>
      <c r="AF472" s="403"/>
      <c r="AG472" s="403"/>
      <c r="AH472" s="403"/>
      <c r="AI472" s="403"/>
      <c r="AJ472" s="403"/>
      <c r="AK472" s="403"/>
      <c r="AL472" s="403"/>
      <c r="AM472" s="403"/>
      <c r="AN472" s="379">
        <f t="shared" si="91"/>
        <v>0</v>
      </c>
      <c r="AO472" s="403"/>
      <c r="AP472" s="403"/>
      <c r="AQ472" s="403"/>
      <c r="AR472" s="403"/>
      <c r="AS472" s="403"/>
      <c r="AT472" s="403"/>
      <c r="AU472" s="403"/>
      <c r="AV472" s="403"/>
      <c r="AW472" s="403"/>
      <c r="AX472" s="183"/>
      <c r="AY472" s="183"/>
      <c r="AZ472" s="183"/>
    </row>
    <row r="473" spans="1:52" s="104" customFormat="1" ht="33.75" outlineLevel="1">
      <c r="A473" s="578" t="str">
        <f t="shared" si="90"/>
        <v>1</v>
      </c>
      <c r="C473" s="607"/>
      <c r="D473" s="607" t="s">
        <v>1577</v>
      </c>
      <c r="L473" s="375" t="s">
        <v>545</v>
      </c>
      <c r="M473" s="388" t="s">
        <v>546</v>
      </c>
      <c r="N473" s="377" t="s">
        <v>351</v>
      </c>
      <c r="O473" s="378"/>
      <c r="P473" s="378"/>
      <c r="Q473" s="378"/>
      <c r="R473" s="379">
        <f t="shared" si="86"/>
        <v>0</v>
      </c>
      <c r="S473" s="378"/>
      <c r="T473" s="378"/>
      <c r="U473" s="403"/>
      <c r="V473" s="403"/>
      <c r="W473" s="403"/>
      <c r="X473" s="403"/>
      <c r="Y473" s="403"/>
      <c r="Z473" s="403"/>
      <c r="AA473" s="403"/>
      <c r="AB473" s="403"/>
      <c r="AC473" s="403"/>
      <c r="AD473" s="378"/>
      <c r="AE473" s="403"/>
      <c r="AF473" s="403"/>
      <c r="AG473" s="403"/>
      <c r="AH473" s="403"/>
      <c r="AI473" s="403"/>
      <c r="AJ473" s="403"/>
      <c r="AK473" s="403"/>
      <c r="AL473" s="403"/>
      <c r="AM473" s="403"/>
      <c r="AN473" s="379">
        <f t="shared" si="91"/>
        <v>0</v>
      </c>
      <c r="AO473" s="403"/>
      <c r="AP473" s="403"/>
      <c r="AQ473" s="403"/>
      <c r="AR473" s="403"/>
      <c r="AS473" s="403"/>
      <c r="AT473" s="403"/>
      <c r="AU473" s="403"/>
      <c r="AV473" s="403"/>
      <c r="AW473" s="403"/>
      <c r="AX473" s="183"/>
      <c r="AY473" s="183"/>
      <c r="AZ473" s="183"/>
    </row>
    <row r="474" spans="1:52" s="104" customFormat="1" ht="22.5" outlineLevel="1">
      <c r="A474" s="578" t="str">
        <f t="shared" si="90"/>
        <v>1</v>
      </c>
      <c r="C474" s="607"/>
      <c r="D474" s="607" t="s">
        <v>1578</v>
      </c>
      <c r="L474" s="375" t="s">
        <v>547</v>
      </c>
      <c r="M474" s="388" t="s">
        <v>1469</v>
      </c>
      <c r="N474" s="377" t="s">
        <v>351</v>
      </c>
      <c r="O474" s="387">
        <f>O475+O476</f>
        <v>0</v>
      </c>
      <c r="P474" s="387">
        <f>P475+P476</f>
        <v>0</v>
      </c>
      <c r="Q474" s="387">
        <f>Q475+Q476</f>
        <v>0</v>
      </c>
      <c r="R474" s="379">
        <f t="shared" si="86"/>
        <v>0</v>
      </c>
      <c r="S474" s="387">
        <f>S475+S476</f>
        <v>0</v>
      </c>
      <c r="T474" s="387">
        <f>T475+T476</f>
        <v>0</v>
      </c>
      <c r="U474" s="403"/>
      <c r="V474" s="403"/>
      <c r="W474" s="403"/>
      <c r="X474" s="403"/>
      <c r="Y474" s="403"/>
      <c r="Z474" s="403"/>
      <c r="AA474" s="403"/>
      <c r="AB474" s="403"/>
      <c r="AC474" s="403"/>
      <c r="AD474" s="387">
        <f>AD475+AD476</f>
        <v>0</v>
      </c>
      <c r="AE474" s="403"/>
      <c r="AF474" s="403"/>
      <c r="AG474" s="403"/>
      <c r="AH474" s="403"/>
      <c r="AI474" s="403"/>
      <c r="AJ474" s="403"/>
      <c r="AK474" s="403"/>
      <c r="AL474" s="403"/>
      <c r="AM474" s="403"/>
      <c r="AN474" s="379">
        <f>IF(S474=0,0,(AD474-S474)/S474*100)</f>
        <v>0</v>
      </c>
      <c r="AO474" s="403"/>
      <c r="AP474" s="403"/>
      <c r="AQ474" s="403"/>
      <c r="AR474" s="403"/>
      <c r="AS474" s="403"/>
      <c r="AT474" s="403"/>
      <c r="AU474" s="403"/>
      <c r="AV474" s="403"/>
      <c r="AW474" s="403"/>
      <c r="AX474" s="183"/>
      <c r="AY474" s="183"/>
      <c r="AZ474" s="183"/>
    </row>
    <row r="475" spans="1:52" s="104" customFormat="1" ht="15" outlineLevel="1">
      <c r="A475" s="578" t="str">
        <f t="shared" si="90"/>
        <v>1</v>
      </c>
      <c r="B475" s="531" t="s">
        <v>1286</v>
      </c>
      <c r="C475" s="607"/>
      <c r="D475" s="607" t="s">
        <v>1641</v>
      </c>
      <c r="L475" s="375" t="s">
        <v>1146</v>
      </c>
      <c r="M475" s="385" t="s">
        <v>548</v>
      </c>
      <c r="N475" s="377" t="s">
        <v>351</v>
      </c>
      <c r="O475" s="530">
        <f>SUMIFS(ФОТ!O$15:O$35,ФОТ!$A$15:$A$35,$A475,ФОТ!$B$15:$B$35,$B475)</f>
        <v>0</v>
      </c>
      <c r="P475" s="530">
        <f>SUMIFS(ФОТ!P$15:P$35,ФОТ!$A$15:$A$35,$A475,ФОТ!$B$15:$B$35,$B475)</f>
        <v>0</v>
      </c>
      <c r="Q475" s="530">
        <f>SUMIFS(ФОТ!Q$15:Q$35,ФОТ!$A$15:$A$35,$A475,ФОТ!$B$15:$B$35,$B475)</f>
        <v>0</v>
      </c>
      <c r="R475" s="379">
        <f t="shared" si="86"/>
        <v>0</v>
      </c>
      <c r="S475" s="530">
        <f>SUMIFS(ФОТ!R$15:R$35,ФОТ!$A$15:$A$35,$A475,ФОТ!$B$15:$B$35,$B475)</f>
        <v>0</v>
      </c>
      <c r="T475" s="530">
        <f>SUMIFS(ФОТ!S$15:S$35,ФОТ!$A$15:$A$35,$A475,ФОТ!$B$15:$B$35,$B475)</f>
        <v>0</v>
      </c>
      <c r="U475" s="403"/>
      <c r="V475" s="403"/>
      <c r="W475" s="403"/>
      <c r="X475" s="403"/>
      <c r="Y475" s="403"/>
      <c r="Z475" s="403"/>
      <c r="AA475" s="403"/>
      <c r="AB475" s="403"/>
      <c r="AC475" s="403"/>
      <c r="AD475" s="530">
        <f>SUMIFS(ФОТ!T$15:T$35,ФОТ!$A$15:$A$35,$A475,ФОТ!$B$15:$B$35,$B475)</f>
        <v>0</v>
      </c>
      <c r="AE475" s="403"/>
      <c r="AF475" s="403"/>
      <c r="AG475" s="403"/>
      <c r="AH475" s="403"/>
      <c r="AI475" s="403"/>
      <c r="AJ475" s="403"/>
      <c r="AK475" s="403"/>
      <c r="AL475" s="403"/>
      <c r="AM475" s="403"/>
      <c r="AN475" s="379">
        <f>IF(S475=0,0,(AD475-S475)/S475*100)</f>
        <v>0</v>
      </c>
      <c r="AO475" s="403"/>
      <c r="AP475" s="403"/>
      <c r="AQ475" s="403"/>
      <c r="AR475" s="403"/>
      <c r="AS475" s="403"/>
      <c r="AT475" s="403"/>
      <c r="AU475" s="403"/>
      <c r="AV475" s="403"/>
      <c r="AW475" s="403"/>
      <c r="AX475" s="183"/>
      <c r="AY475" s="183"/>
      <c r="AZ475" s="183"/>
    </row>
    <row r="476" spans="1:52" s="104" customFormat="1" ht="22.5" outlineLevel="1">
      <c r="A476" s="578" t="str">
        <f t="shared" si="90"/>
        <v>1</v>
      </c>
      <c r="B476" s="531" t="s">
        <v>1288</v>
      </c>
      <c r="C476" s="607"/>
      <c r="D476" s="607" t="s">
        <v>1642</v>
      </c>
      <c r="L476" s="375" t="s">
        <v>1147</v>
      </c>
      <c r="M476" s="385" t="s">
        <v>1470</v>
      </c>
      <c r="N476" s="377" t="s">
        <v>351</v>
      </c>
      <c r="O476" s="530">
        <f>SUMIFS(ФОТ!O$15:O$35,ФОТ!$A$15:$A$35,$A476,ФОТ!$B$15:$B$35,$B476)</f>
        <v>0</v>
      </c>
      <c r="P476" s="530">
        <f>SUMIFS(ФОТ!P$15:P$35,ФОТ!$A$15:$A$35,$A476,ФОТ!$B$15:$B$35,$B476)</f>
        <v>0</v>
      </c>
      <c r="Q476" s="530">
        <f>SUMIFS(ФОТ!Q$15:Q$35,ФОТ!$A$15:$A$35,$A476,ФОТ!$B$15:$B$35,$B476)</f>
        <v>0</v>
      </c>
      <c r="R476" s="379">
        <f t="shared" si="86"/>
        <v>0</v>
      </c>
      <c r="S476" s="530">
        <f>SUMIFS(ФОТ!R$15:R$35,ФОТ!$A$15:$A$35,$A476,ФОТ!$B$15:$B$35,$B476)</f>
        <v>0</v>
      </c>
      <c r="T476" s="530">
        <f>SUMIFS(ФОТ!S$15:S$35,ФОТ!$A$15:$A$35,$A476,ФОТ!$B$15:$B$35,$B476)</f>
        <v>0</v>
      </c>
      <c r="U476" s="403"/>
      <c r="V476" s="403"/>
      <c r="W476" s="403"/>
      <c r="X476" s="403"/>
      <c r="Y476" s="403"/>
      <c r="Z476" s="403"/>
      <c r="AA476" s="403"/>
      <c r="AB476" s="403"/>
      <c r="AC476" s="403"/>
      <c r="AD476" s="530">
        <f>SUMIFS(ФОТ!T$15:T$35,ФОТ!$A$15:$A$35,$A476,ФОТ!$B$15:$B$35,$B476)</f>
        <v>0</v>
      </c>
      <c r="AE476" s="403"/>
      <c r="AF476" s="403"/>
      <c r="AG476" s="403"/>
      <c r="AH476" s="403"/>
      <c r="AI476" s="403"/>
      <c r="AJ476" s="403"/>
      <c r="AK476" s="403"/>
      <c r="AL476" s="403"/>
      <c r="AM476" s="403"/>
      <c r="AN476" s="379">
        <f>IF(S476=0,0,(AD476-S476)/S476*100)</f>
        <v>0</v>
      </c>
      <c r="AO476" s="403"/>
      <c r="AP476" s="403"/>
      <c r="AQ476" s="403"/>
      <c r="AR476" s="403"/>
      <c r="AS476" s="403"/>
      <c r="AT476" s="403"/>
      <c r="AU476" s="403"/>
      <c r="AV476" s="403"/>
      <c r="AW476" s="403"/>
      <c r="AX476" s="183"/>
      <c r="AY476" s="183"/>
      <c r="AZ476" s="183"/>
    </row>
    <row r="477" spans="1:52" s="109" customFormat="1" outlineLevel="1">
      <c r="A477" s="578" t="str">
        <f t="shared" si="90"/>
        <v>1</v>
      </c>
      <c r="C477" s="607"/>
      <c r="D477" s="607" t="s">
        <v>1488</v>
      </c>
      <c r="L477" s="395" t="s">
        <v>361</v>
      </c>
      <c r="M477" s="550" t="s">
        <v>549</v>
      </c>
      <c r="N477" s="396" t="s">
        <v>351</v>
      </c>
      <c r="O477" s="399">
        <f>O478+O486+O489+O490+O491+O492+O493</f>
        <v>0</v>
      </c>
      <c r="P477" s="399">
        <f>P478+P486+P489+P490+P491+P492+P493</f>
        <v>0</v>
      </c>
      <c r="Q477" s="399">
        <f>Q478+Q486+Q489+Q490+Q491+Q492+Q493</f>
        <v>0</v>
      </c>
      <c r="R477" s="373">
        <f t="shared" si="86"/>
        <v>0</v>
      </c>
      <c r="S477" s="399">
        <f>S478+S486+S489+S490+S491+S492+S493</f>
        <v>0</v>
      </c>
      <c r="T477" s="399">
        <f>T478+T486+T489+T490+T491+T492+T493</f>
        <v>314.02800000000002</v>
      </c>
      <c r="U477" s="548"/>
      <c r="V477" s="548"/>
      <c r="W477" s="548"/>
      <c r="X477" s="548"/>
      <c r="Y477" s="548"/>
      <c r="Z477" s="548"/>
      <c r="AA477" s="548"/>
      <c r="AB477" s="548"/>
      <c r="AC477" s="548"/>
      <c r="AD477" s="399">
        <f>AD478+AD486+AD489+AD490+AD491+AD492+AD493</f>
        <v>314.02800000000002</v>
      </c>
      <c r="AE477" s="548"/>
      <c r="AF477" s="548"/>
      <c r="AG477" s="548"/>
      <c r="AH477" s="548"/>
      <c r="AI477" s="548"/>
      <c r="AJ477" s="548"/>
      <c r="AK477" s="548"/>
      <c r="AL477" s="548"/>
      <c r="AM477" s="548"/>
      <c r="AN477" s="373">
        <f>IF(S477=0,0,(AD477-S477)/S477*100)</f>
        <v>0</v>
      </c>
      <c r="AO477" s="548"/>
      <c r="AP477" s="548"/>
      <c r="AQ477" s="548"/>
      <c r="AR477" s="548"/>
      <c r="AS477" s="548"/>
      <c r="AT477" s="548"/>
      <c r="AU477" s="548"/>
      <c r="AV477" s="548"/>
      <c r="AW477" s="548"/>
      <c r="AX477" s="549"/>
      <c r="AY477" s="549"/>
      <c r="AZ477" s="549"/>
    </row>
    <row r="478" spans="1:52" s="104" customFormat="1" ht="22.5" outlineLevel="1">
      <c r="A478" s="578" t="str">
        <f t="shared" si="90"/>
        <v>1</v>
      </c>
      <c r="B478" s="104" t="s">
        <v>1298</v>
      </c>
      <c r="C478" s="607"/>
      <c r="D478" s="607" t="s">
        <v>1579</v>
      </c>
      <c r="L478" s="375" t="s">
        <v>550</v>
      </c>
      <c r="M478" s="383" t="s">
        <v>551</v>
      </c>
      <c r="N478" s="377" t="s">
        <v>351</v>
      </c>
      <c r="O478" s="530">
        <f>SUMIFS(Административные!O$15:O$35,Административные!$A$15:$A$35,$A478,Административные!$B$15:$B$35,$B478)</f>
        <v>0</v>
      </c>
      <c r="P478" s="530">
        <f>SUMIFS(Административные!P$15:P$35,Административные!$A$15:$A$35,$A478,Административные!$B$15:$B$35,$B478)</f>
        <v>0</v>
      </c>
      <c r="Q478" s="530">
        <f>SUMIFS(Административные!Q$15:Q$35,Административные!$A$15:$A$35,$A478,Административные!$B$15:$B$35,$B478)</f>
        <v>0</v>
      </c>
      <c r="R478" s="379">
        <f t="shared" si="86"/>
        <v>0</v>
      </c>
      <c r="S478" s="530">
        <f>SUMIFS(Административные!R$15:R$35,Административные!$A$15:$A$35,$A478,Административные!$B$15:$B$35,$B478)</f>
        <v>0</v>
      </c>
      <c r="T478" s="530">
        <f>SUMIFS(Административные!S$15:S$35,Административные!$A$15:$A$35,$A478,Административные!$B$15:$B$35,$B478)</f>
        <v>0</v>
      </c>
      <c r="U478" s="403"/>
      <c r="V478" s="403"/>
      <c r="W478" s="403"/>
      <c r="X478" s="403"/>
      <c r="Y478" s="403"/>
      <c r="Z478" s="403"/>
      <c r="AA478" s="403"/>
      <c r="AB478" s="403"/>
      <c r="AC478" s="403"/>
      <c r="AD478" s="530">
        <f>SUMIFS(Административные!T$15:T$35,Административные!$A$15:$A$35,$A478,Административные!$B$15:$B$35,$B478)</f>
        <v>0</v>
      </c>
      <c r="AE478" s="403"/>
      <c r="AF478" s="403"/>
      <c r="AG478" s="403"/>
      <c r="AH478" s="403"/>
      <c r="AI478" s="403"/>
      <c r="AJ478" s="403"/>
      <c r="AK478" s="403"/>
      <c r="AL478" s="403"/>
      <c r="AM478" s="403"/>
      <c r="AN478" s="379">
        <f t="shared" si="91"/>
        <v>0</v>
      </c>
      <c r="AO478" s="403"/>
      <c r="AP478" s="403"/>
      <c r="AQ478" s="403"/>
      <c r="AR478" s="403"/>
      <c r="AS478" s="403"/>
      <c r="AT478" s="403"/>
      <c r="AU478" s="403"/>
      <c r="AV478" s="403"/>
      <c r="AW478" s="403"/>
      <c r="AX478" s="183"/>
      <c r="AY478" s="183"/>
      <c r="AZ478" s="183"/>
    </row>
    <row r="479" spans="1:52" s="104" customFormat="1" outlineLevel="1">
      <c r="A479" s="578" t="str">
        <f t="shared" si="90"/>
        <v>1</v>
      </c>
      <c r="B479" s="104" t="s">
        <v>1346</v>
      </c>
      <c r="C479" s="607"/>
      <c r="D479" s="607" t="s">
        <v>1643</v>
      </c>
      <c r="L479" s="375" t="s">
        <v>552</v>
      </c>
      <c r="M479" s="385" t="s">
        <v>553</v>
      </c>
      <c r="N479" s="377" t="s">
        <v>351</v>
      </c>
      <c r="O479" s="530">
        <f>SUMIFS(Административные!O$15:O$35,Административные!$A$15:$A$35,$A479,Административные!$B$15:$B$35,$B479)</f>
        <v>0</v>
      </c>
      <c r="P479" s="530">
        <f>SUMIFS(Административные!P$15:P$35,Административные!$A$15:$A$35,$A479,Административные!$B$15:$B$35,$B479)</f>
        <v>0</v>
      </c>
      <c r="Q479" s="530">
        <f>SUMIFS(Административные!Q$15:Q$35,Административные!$A$15:$A$35,$A479,Административные!$B$15:$B$35,$B479)</f>
        <v>0</v>
      </c>
      <c r="R479" s="379">
        <f t="shared" si="86"/>
        <v>0</v>
      </c>
      <c r="S479" s="530">
        <f>SUMIFS(Административные!R$15:R$35,Административные!$A$15:$A$35,$A479,Административные!$B$15:$B$35,$B479)</f>
        <v>0</v>
      </c>
      <c r="T479" s="530">
        <f>SUMIFS(Административные!S$15:S$35,Административные!$A$15:$A$35,$A479,Административные!$B$15:$B$35,$B479)</f>
        <v>0</v>
      </c>
      <c r="U479" s="403"/>
      <c r="V479" s="403"/>
      <c r="W479" s="403"/>
      <c r="X479" s="403"/>
      <c r="Y479" s="403"/>
      <c r="Z479" s="403"/>
      <c r="AA479" s="403"/>
      <c r="AB479" s="403"/>
      <c r="AC479" s="403"/>
      <c r="AD479" s="530">
        <f>SUMIFS(Административные!T$15:T$35,Административные!$A$15:$A$35,$A479,Административные!$B$15:$B$35,$B479)</f>
        <v>0</v>
      </c>
      <c r="AE479" s="403"/>
      <c r="AF479" s="403"/>
      <c r="AG479" s="403"/>
      <c r="AH479" s="403"/>
      <c r="AI479" s="403"/>
      <c r="AJ479" s="403"/>
      <c r="AK479" s="403"/>
      <c r="AL479" s="403"/>
      <c r="AM479" s="403"/>
      <c r="AN479" s="379">
        <f t="shared" si="91"/>
        <v>0</v>
      </c>
      <c r="AO479" s="403"/>
      <c r="AP479" s="403"/>
      <c r="AQ479" s="403"/>
      <c r="AR479" s="403"/>
      <c r="AS479" s="403"/>
      <c r="AT479" s="403"/>
      <c r="AU479" s="403"/>
      <c r="AV479" s="403"/>
      <c r="AW479" s="403"/>
      <c r="AX479" s="183"/>
      <c r="AY479" s="183"/>
      <c r="AZ479" s="183"/>
    </row>
    <row r="480" spans="1:52" s="104" customFormat="1" outlineLevel="1">
      <c r="A480" s="578" t="str">
        <f t="shared" si="90"/>
        <v>1</v>
      </c>
      <c r="B480" s="104" t="s">
        <v>1345</v>
      </c>
      <c r="C480" s="607"/>
      <c r="D480" s="607" t="s">
        <v>1644</v>
      </c>
      <c r="L480" s="375" t="s">
        <v>554</v>
      </c>
      <c r="M480" s="385" t="s">
        <v>555</v>
      </c>
      <c r="N480" s="377" t="s">
        <v>351</v>
      </c>
      <c r="O480" s="530">
        <f>SUMIFS(Административные!O$15:O$35,Административные!$A$15:$A$35,$A480,Административные!$B$15:$B$35,$B480)</f>
        <v>0</v>
      </c>
      <c r="P480" s="530">
        <f>SUMIFS(Административные!P$15:P$35,Административные!$A$15:$A$35,$A480,Административные!$B$15:$B$35,$B480)</f>
        <v>0</v>
      </c>
      <c r="Q480" s="530">
        <f>SUMIFS(Административные!Q$15:Q$35,Административные!$A$15:$A$35,$A480,Административные!$B$15:$B$35,$B480)</f>
        <v>0</v>
      </c>
      <c r="R480" s="379">
        <f t="shared" si="86"/>
        <v>0</v>
      </c>
      <c r="S480" s="530">
        <f>SUMIFS(Административные!R$15:R$35,Административные!$A$15:$A$35,$A480,Административные!$B$15:$B$35,$B480)</f>
        <v>0</v>
      </c>
      <c r="T480" s="530">
        <f>SUMIFS(Административные!S$15:S$35,Административные!$A$15:$A$35,$A480,Административные!$B$15:$B$35,$B480)</f>
        <v>0</v>
      </c>
      <c r="U480" s="403"/>
      <c r="V480" s="403"/>
      <c r="W480" s="403"/>
      <c r="X480" s="403"/>
      <c r="Y480" s="403"/>
      <c r="Z480" s="403"/>
      <c r="AA480" s="403"/>
      <c r="AB480" s="403"/>
      <c r="AC480" s="403"/>
      <c r="AD480" s="530">
        <f>SUMIFS(Административные!T$15:T$35,Административные!$A$15:$A$35,$A480,Административные!$B$15:$B$35,$B480)</f>
        <v>0</v>
      </c>
      <c r="AE480" s="403"/>
      <c r="AF480" s="403"/>
      <c r="AG480" s="403"/>
      <c r="AH480" s="403"/>
      <c r="AI480" s="403"/>
      <c r="AJ480" s="403"/>
      <c r="AK480" s="403"/>
      <c r="AL480" s="403"/>
      <c r="AM480" s="403"/>
      <c r="AN480" s="379">
        <f t="shared" si="91"/>
        <v>0</v>
      </c>
      <c r="AO480" s="403"/>
      <c r="AP480" s="403"/>
      <c r="AQ480" s="403"/>
      <c r="AR480" s="403"/>
      <c r="AS480" s="403"/>
      <c r="AT480" s="403"/>
      <c r="AU480" s="403"/>
      <c r="AV480" s="403"/>
      <c r="AW480" s="403"/>
      <c r="AX480" s="183"/>
      <c r="AY480" s="183"/>
      <c r="AZ480" s="183"/>
    </row>
    <row r="481" spans="1:52" s="104" customFormat="1" outlineLevel="1">
      <c r="A481" s="578" t="str">
        <f t="shared" si="90"/>
        <v>1</v>
      </c>
      <c r="B481" s="104" t="s">
        <v>1347</v>
      </c>
      <c r="C481" s="607"/>
      <c r="D481" s="607" t="s">
        <v>1645</v>
      </c>
      <c r="L481" s="375" t="s">
        <v>556</v>
      </c>
      <c r="M481" s="385" t="s">
        <v>557</v>
      </c>
      <c r="N481" s="377" t="s">
        <v>351</v>
      </c>
      <c r="O481" s="530">
        <f>SUMIFS(Административные!O$15:O$35,Административные!$A$15:$A$35,$A481,Административные!$B$15:$B$35,$B481)</f>
        <v>0</v>
      </c>
      <c r="P481" s="530">
        <f>SUMIFS(Административные!P$15:P$35,Административные!$A$15:$A$35,$A481,Административные!$B$15:$B$35,$B481)</f>
        <v>0</v>
      </c>
      <c r="Q481" s="530">
        <f>SUMIFS(Административные!Q$15:Q$35,Административные!$A$15:$A$35,$A481,Административные!$B$15:$B$35,$B481)</f>
        <v>0</v>
      </c>
      <c r="R481" s="379">
        <f t="shared" si="86"/>
        <v>0</v>
      </c>
      <c r="S481" s="530">
        <f>SUMIFS(Административные!R$15:R$35,Административные!$A$15:$A$35,$A481,Административные!$B$15:$B$35,$B481)</f>
        <v>0</v>
      </c>
      <c r="T481" s="530">
        <f>SUMIFS(Административные!S$15:S$35,Административные!$A$15:$A$35,$A481,Административные!$B$15:$B$35,$B481)</f>
        <v>0</v>
      </c>
      <c r="U481" s="403"/>
      <c r="V481" s="403"/>
      <c r="W481" s="403"/>
      <c r="X481" s="403"/>
      <c r="Y481" s="403"/>
      <c r="Z481" s="403"/>
      <c r="AA481" s="403"/>
      <c r="AB481" s="403"/>
      <c r="AC481" s="403"/>
      <c r="AD481" s="530">
        <f>SUMIFS(Административные!T$15:T$35,Административные!$A$15:$A$35,$A481,Административные!$B$15:$B$35,$B481)</f>
        <v>0</v>
      </c>
      <c r="AE481" s="403"/>
      <c r="AF481" s="403"/>
      <c r="AG481" s="403"/>
      <c r="AH481" s="403"/>
      <c r="AI481" s="403"/>
      <c r="AJ481" s="403"/>
      <c r="AK481" s="403"/>
      <c r="AL481" s="403"/>
      <c r="AM481" s="403"/>
      <c r="AN481" s="379">
        <f t="shared" si="91"/>
        <v>0</v>
      </c>
      <c r="AO481" s="403"/>
      <c r="AP481" s="403"/>
      <c r="AQ481" s="403"/>
      <c r="AR481" s="403"/>
      <c r="AS481" s="403"/>
      <c r="AT481" s="403"/>
      <c r="AU481" s="403"/>
      <c r="AV481" s="403"/>
      <c r="AW481" s="403"/>
      <c r="AX481" s="183"/>
      <c r="AY481" s="183"/>
      <c r="AZ481" s="183"/>
    </row>
    <row r="482" spans="1:52" s="104" customFormat="1" outlineLevel="1">
      <c r="A482" s="578" t="str">
        <f t="shared" si="90"/>
        <v>1</v>
      </c>
      <c r="B482" s="104" t="s">
        <v>1348</v>
      </c>
      <c r="C482" s="607"/>
      <c r="D482" s="607" t="s">
        <v>1646</v>
      </c>
      <c r="L482" s="375" t="s">
        <v>558</v>
      </c>
      <c r="M482" s="385" t="s">
        <v>559</v>
      </c>
      <c r="N482" s="377" t="s">
        <v>351</v>
      </c>
      <c r="O482" s="530">
        <f>SUMIFS(Административные!O$15:O$35,Административные!$A$15:$A$35,$A482,Административные!$B$15:$B$35,$B482)</f>
        <v>0</v>
      </c>
      <c r="P482" s="530">
        <f>SUMIFS(Административные!P$15:P$35,Административные!$A$15:$A$35,$A482,Административные!$B$15:$B$35,$B482)</f>
        <v>0</v>
      </c>
      <c r="Q482" s="530">
        <f>SUMIFS(Административные!Q$15:Q$35,Административные!$A$15:$A$35,$A482,Административные!$B$15:$B$35,$B482)</f>
        <v>0</v>
      </c>
      <c r="R482" s="379">
        <f t="shared" si="86"/>
        <v>0</v>
      </c>
      <c r="S482" s="530">
        <f>SUMIFS(Административные!R$15:R$35,Административные!$A$15:$A$35,$A482,Административные!$B$15:$B$35,$B482)</f>
        <v>0</v>
      </c>
      <c r="T482" s="530">
        <f>SUMIFS(Административные!S$15:S$35,Административные!$A$15:$A$35,$A482,Административные!$B$15:$B$35,$B482)</f>
        <v>0</v>
      </c>
      <c r="U482" s="403"/>
      <c r="V482" s="403"/>
      <c r="W482" s="403"/>
      <c r="X482" s="403"/>
      <c r="Y482" s="403"/>
      <c r="Z482" s="403"/>
      <c r="AA482" s="403"/>
      <c r="AB482" s="403"/>
      <c r="AC482" s="403"/>
      <c r="AD482" s="530">
        <f>SUMIFS(Административные!T$15:T$35,Административные!$A$15:$A$35,$A482,Административные!$B$15:$B$35,$B482)</f>
        <v>0</v>
      </c>
      <c r="AE482" s="403"/>
      <c r="AF482" s="403"/>
      <c r="AG482" s="403"/>
      <c r="AH482" s="403"/>
      <c r="AI482" s="403"/>
      <c r="AJ482" s="403"/>
      <c r="AK482" s="403"/>
      <c r="AL482" s="403"/>
      <c r="AM482" s="403"/>
      <c r="AN482" s="379">
        <f t="shared" si="91"/>
        <v>0</v>
      </c>
      <c r="AO482" s="403"/>
      <c r="AP482" s="403"/>
      <c r="AQ482" s="403"/>
      <c r="AR482" s="403"/>
      <c r="AS482" s="403"/>
      <c r="AT482" s="403"/>
      <c r="AU482" s="403"/>
      <c r="AV482" s="403"/>
      <c r="AW482" s="403"/>
      <c r="AX482" s="183"/>
      <c r="AY482" s="183"/>
      <c r="AZ482" s="183"/>
    </row>
    <row r="483" spans="1:52" s="104" customFormat="1" outlineLevel="1">
      <c r="A483" s="578" t="str">
        <f t="shared" si="90"/>
        <v>1</v>
      </c>
      <c r="B483" s="104" t="s">
        <v>1349</v>
      </c>
      <c r="C483" s="607"/>
      <c r="D483" s="607" t="s">
        <v>1647</v>
      </c>
      <c r="L483" s="375" t="s">
        <v>560</v>
      </c>
      <c r="M483" s="385" t="s">
        <v>561</v>
      </c>
      <c r="N483" s="377" t="s">
        <v>351</v>
      </c>
      <c r="O483" s="530">
        <f>SUMIFS(Административные!O$15:O$35,Административные!$A$15:$A$35,$A483,Административные!$B$15:$B$35,$B483)</f>
        <v>0</v>
      </c>
      <c r="P483" s="530">
        <f>SUMIFS(Административные!P$15:P$35,Административные!$A$15:$A$35,$A483,Административные!$B$15:$B$35,$B483)</f>
        <v>0</v>
      </c>
      <c r="Q483" s="530">
        <f>SUMIFS(Административные!Q$15:Q$35,Административные!$A$15:$A$35,$A483,Административные!$B$15:$B$35,$B483)</f>
        <v>0</v>
      </c>
      <c r="R483" s="379">
        <f t="shared" si="86"/>
        <v>0</v>
      </c>
      <c r="S483" s="530">
        <f>SUMIFS(Административные!R$15:R$35,Административные!$A$15:$A$35,$A483,Административные!$B$15:$B$35,$B483)</f>
        <v>0</v>
      </c>
      <c r="T483" s="530">
        <f>SUMIFS(Административные!S$15:S$35,Административные!$A$15:$A$35,$A483,Административные!$B$15:$B$35,$B483)</f>
        <v>0</v>
      </c>
      <c r="U483" s="403"/>
      <c r="V483" s="403"/>
      <c r="W483" s="403"/>
      <c r="X483" s="403"/>
      <c r="Y483" s="403"/>
      <c r="Z483" s="403"/>
      <c r="AA483" s="403"/>
      <c r="AB483" s="403"/>
      <c r="AC483" s="403"/>
      <c r="AD483" s="530">
        <f>SUMIFS(Административные!T$15:T$35,Административные!$A$15:$A$35,$A483,Административные!$B$15:$B$35,$B483)</f>
        <v>0</v>
      </c>
      <c r="AE483" s="403"/>
      <c r="AF483" s="403"/>
      <c r="AG483" s="403"/>
      <c r="AH483" s="403"/>
      <c r="AI483" s="403"/>
      <c r="AJ483" s="403"/>
      <c r="AK483" s="403"/>
      <c r="AL483" s="403"/>
      <c r="AM483" s="403"/>
      <c r="AN483" s="379">
        <f t="shared" si="91"/>
        <v>0</v>
      </c>
      <c r="AO483" s="403"/>
      <c r="AP483" s="403"/>
      <c r="AQ483" s="403"/>
      <c r="AR483" s="403"/>
      <c r="AS483" s="403"/>
      <c r="AT483" s="403"/>
      <c r="AU483" s="403"/>
      <c r="AV483" s="403"/>
      <c r="AW483" s="403"/>
      <c r="AX483" s="183"/>
      <c r="AY483" s="183"/>
      <c r="AZ483" s="183"/>
    </row>
    <row r="484" spans="1:52" s="104" customFormat="1" outlineLevel="1">
      <c r="A484" s="578" t="str">
        <f t="shared" si="90"/>
        <v>1</v>
      </c>
      <c r="B484" s="104" t="s">
        <v>1350</v>
      </c>
      <c r="C484" s="607"/>
      <c r="D484" s="607" t="s">
        <v>1648</v>
      </c>
      <c r="L484" s="375" t="s">
        <v>562</v>
      </c>
      <c r="M484" s="385" t="s">
        <v>563</v>
      </c>
      <c r="N484" s="377" t="s">
        <v>351</v>
      </c>
      <c r="O484" s="530">
        <f>SUMIFS(Административные!O$15:O$35,Административные!$A$15:$A$35,$A484,Административные!$B$15:$B$35,$B484)</f>
        <v>0</v>
      </c>
      <c r="P484" s="530">
        <f>SUMIFS(Административные!P$15:P$35,Административные!$A$15:$A$35,$A484,Административные!$B$15:$B$35,$B484)</f>
        <v>0</v>
      </c>
      <c r="Q484" s="530">
        <f>SUMIFS(Административные!Q$15:Q$35,Административные!$A$15:$A$35,$A484,Административные!$B$15:$B$35,$B484)</f>
        <v>0</v>
      </c>
      <c r="R484" s="379">
        <f t="shared" si="86"/>
        <v>0</v>
      </c>
      <c r="S484" s="530">
        <f>SUMIFS(Административные!R$15:R$35,Административные!$A$15:$A$35,$A484,Административные!$B$15:$B$35,$B484)</f>
        <v>0</v>
      </c>
      <c r="T484" s="530">
        <f>SUMIFS(Административные!S$15:S$35,Административные!$A$15:$A$35,$A484,Административные!$B$15:$B$35,$B484)</f>
        <v>0</v>
      </c>
      <c r="U484" s="403"/>
      <c r="V484" s="403"/>
      <c r="W484" s="403"/>
      <c r="X484" s="403"/>
      <c r="Y484" s="403"/>
      <c r="Z484" s="403"/>
      <c r="AA484" s="403"/>
      <c r="AB484" s="403"/>
      <c r="AC484" s="403"/>
      <c r="AD484" s="530">
        <f>SUMIFS(Административные!T$15:T$35,Административные!$A$15:$A$35,$A484,Административные!$B$15:$B$35,$B484)</f>
        <v>0</v>
      </c>
      <c r="AE484" s="403"/>
      <c r="AF484" s="403"/>
      <c r="AG484" s="403"/>
      <c r="AH484" s="403"/>
      <c r="AI484" s="403"/>
      <c r="AJ484" s="403"/>
      <c r="AK484" s="403"/>
      <c r="AL484" s="403"/>
      <c r="AM484" s="403"/>
      <c r="AN484" s="379">
        <f t="shared" si="91"/>
        <v>0</v>
      </c>
      <c r="AO484" s="403"/>
      <c r="AP484" s="403"/>
      <c r="AQ484" s="403"/>
      <c r="AR484" s="403"/>
      <c r="AS484" s="403"/>
      <c r="AT484" s="403"/>
      <c r="AU484" s="403"/>
      <c r="AV484" s="403"/>
      <c r="AW484" s="403"/>
      <c r="AX484" s="183"/>
      <c r="AY484" s="183"/>
      <c r="AZ484" s="183"/>
    </row>
    <row r="485" spans="1:52" s="104" customFormat="1" outlineLevel="1">
      <c r="A485" s="578" t="str">
        <f t="shared" si="90"/>
        <v>1</v>
      </c>
      <c r="B485" s="104" t="s">
        <v>1457</v>
      </c>
      <c r="C485" s="607"/>
      <c r="D485" s="607" t="s">
        <v>1649</v>
      </c>
      <c r="L485" s="375" t="s">
        <v>1463</v>
      </c>
      <c r="M485" s="385" t="s">
        <v>1459</v>
      </c>
      <c r="N485" s="377" t="s">
        <v>351</v>
      </c>
      <c r="O485" s="530">
        <f>SUMIFS(Административные!O$15:O$35,Административные!$A$15:$A$35,$A485,Административные!$B$15:$B$35,$B485)</f>
        <v>0</v>
      </c>
      <c r="P485" s="530">
        <f>SUMIFS(Административные!P$15:P$35,Административные!$A$15:$A$35,$A485,Административные!$B$15:$B$35,$B485)</f>
        <v>0</v>
      </c>
      <c r="Q485" s="530">
        <f>SUMIFS(Административные!Q$15:Q$35,Административные!$A$15:$A$35,$A485,Административные!$B$15:$B$35,$B485)</f>
        <v>0</v>
      </c>
      <c r="R485" s="379">
        <f t="shared" si="86"/>
        <v>0</v>
      </c>
      <c r="S485" s="530">
        <f>SUMIFS(Административные!R$15:R$35,Административные!$A$15:$A$35,$A485,Административные!$B$15:$B$35,$B485)</f>
        <v>0</v>
      </c>
      <c r="T485" s="530">
        <f>SUMIFS(Административные!S$15:S$35,Административные!$A$15:$A$35,$A485,Административные!$B$15:$B$35,$B485)</f>
        <v>0</v>
      </c>
      <c r="U485" s="403"/>
      <c r="V485" s="403"/>
      <c r="W485" s="403"/>
      <c r="X485" s="403"/>
      <c r="Y485" s="403"/>
      <c r="Z485" s="403"/>
      <c r="AA485" s="403"/>
      <c r="AB485" s="403"/>
      <c r="AC485" s="403"/>
      <c r="AD485" s="530">
        <f>SUMIFS(Административные!T$15:T$35,Административные!$A$15:$A$35,$A485,Административные!$B$15:$B$35,$B485)</f>
        <v>0</v>
      </c>
      <c r="AE485" s="403"/>
      <c r="AF485" s="403"/>
      <c r="AG485" s="403"/>
      <c r="AH485" s="403"/>
      <c r="AI485" s="403"/>
      <c r="AJ485" s="403"/>
      <c r="AK485" s="403"/>
      <c r="AL485" s="403"/>
      <c r="AM485" s="403"/>
      <c r="AN485" s="379">
        <f>IF(S485=0,0,(AD485-S485)/S485*100)</f>
        <v>0</v>
      </c>
      <c r="AO485" s="403"/>
      <c r="AP485" s="403"/>
      <c r="AQ485" s="403"/>
      <c r="AR485" s="403"/>
      <c r="AS485" s="403"/>
      <c r="AT485" s="403"/>
      <c r="AU485" s="403"/>
      <c r="AV485" s="403"/>
      <c r="AW485" s="403"/>
      <c r="AX485" s="183"/>
      <c r="AY485" s="183"/>
      <c r="AZ485" s="183"/>
    </row>
    <row r="486" spans="1:52" s="104" customFormat="1" ht="33.75" outlineLevel="1">
      <c r="A486" s="578" t="str">
        <f t="shared" si="90"/>
        <v>1</v>
      </c>
      <c r="C486" s="607"/>
      <c r="D486" s="607" t="s">
        <v>1580</v>
      </c>
      <c r="L486" s="375" t="s">
        <v>564</v>
      </c>
      <c r="M486" s="383" t="s">
        <v>1471</v>
      </c>
      <c r="N486" s="377" t="s">
        <v>351</v>
      </c>
      <c r="O486" s="387">
        <f>O487+O488</f>
        <v>0</v>
      </c>
      <c r="P486" s="387">
        <f>P487+P488</f>
        <v>0</v>
      </c>
      <c r="Q486" s="387">
        <f>Q487+Q488</f>
        <v>0</v>
      </c>
      <c r="R486" s="379">
        <f t="shared" si="86"/>
        <v>0</v>
      </c>
      <c r="S486" s="387">
        <f>S487+S488</f>
        <v>0</v>
      </c>
      <c r="T486" s="387">
        <f>T487+T488</f>
        <v>314.02800000000002</v>
      </c>
      <c r="U486" s="403"/>
      <c r="V486" s="403"/>
      <c r="W486" s="403"/>
      <c r="X486" s="403"/>
      <c r="Y486" s="403"/>
      <c r="Z486" s="403"/>
      <c r="AA486" s="403"/>
      <c r="AB486" s="403"/>
      <c r="AC486" s="403"/>
      <c r="AD486" s="387">
        <f>AD487+AD488</f>
        <v>314.02800000000002</v>
      </c>
      <c r="AE486" s="403"/>
      <c r="AF486" s="403"/>
      <c r="AG486" s="403"/>
      <c r="AH486" s="403"/>
      <c r="AI486" s="403"/>
      <c r="AJ486" s="403"/>
      <c r="AK486" s="403"/>
      <c r="AL486" s="403"/>
      <c r="AM486" s="403"/>
      <c r="AN486" s="379">
        <f>IF(S486=0,0,(AD486-S486)/S486*100)</f>
        <v>0</v>
      </c>
      <c r="AO486" s="403"/>
      <c r="AP486" s="403"/>
      <c r="AQ486" s="403"/>
      <c r="AR486" s="403"/>
      <c r="AS486" s="403"/>
      <c r="AT486" s="403"/>
      <c r="AU486" s="403"/>
      <c r="AV486" s="403"/>
      <c r="AW486" s="403"/>
      <c r="AX486" s="183"/>
      <c r="AY486" s="183"/>
      <c r="AZ486" s="183"/>
    </row>
    <row r="487" spans="1:52" s="104" customFormat="1" ht="22.5" outlineLevel="1">
      <c r="A487" s="578" t="str">
        <f t="shared" si="90"/>
        <v>1</v>
      </c>
      <c r="B487" s="104" t="s">
        <v>1289</v>
      </c>
      <c r="C487" s="607"/>
      <c r="D487" s="607" t="s">
        <v>1650</v>
      </c>
      <c r="L487" s="375" t="s">
        <v>565</v>
      </c>
      <c r="M487" s="385" t="s">
        <v>566</v>
      </c>
      <c r="N487" s="390" t="s">
        <v>351</v>
      </c>
      <c r="O487" s="530">
        <f>SUMIFS(ФОТ!O$15:O$35,ФОТ!$A$15:$A$35,$A487,ФОТ!$B$15:$B$35,$B487)</f>
        <v>0</v>
      </c>
      <c r="P487" s="530">
        <f>SUMIFS(ФОТ!P$15:P$35,ФОТ!$A$15:$A$35,$A487,ФОТ!$B$15:$B$35,$B487)</f>
        <v>0</v>
      </c>
      <c r="Q487" s="530">
        <f>SUMIFS(ФОТ!Q$15:Q$35,ФОТ!$A$15:$A$35,$A487,ФОТ!$B$15:$B$35,$B487)</f>
        <v>0</v>
      </c>
      <c r="R487" s="379">
        <f t="shared" si="86"/>
        <v>0</v>
      </c>
      <c r="S487" s="530">
        <f>SUMIFS(ФОТ!R$15:R$35,ФОТ!$A$15:$A$35,$A487,ФОТ!$B$15:$B$35,$B487)</f>
        <v>0</v>
      </c>
      <c r="T487" s="530">
        <f>SUMIFS(ФОТ!S$15:S$35,ФОТ!$A$15:$A$35,$A487,ФОТ!$B$15:$B$35,$B487)</f>
        <v>241.56</v>
      </c>
      <c r="U487" s="403"/>
      <c r="V487" s="403"/>
      <c r="W487" s="403"/>
      <c r="X487" s="403"/>
      <c r="Y487" s="403"/>
      <c r="Z487" s="403"/>
      <c r="AA487" s="403"/>
      <c r="AB487" s="403"/>
      <c r="AC487" s="403"/>
      <c r="AD487" s="530">
        <f>SUMIFS(ФОТ!T$15:T$35,ФОТ!$A$15:$A$35,$A487,ФОТ!$B$15:$B$35,$B487)</f>
        <v>241.56</v>
      </c>
      <c r="AE487" s="403"/>
      <c r="AF487" s="403"/>
      <c r="AG487" s="403"/>
      <c r="AH487" s="403"/>
      <c r="AI487" s="403"/>
      <c r="AJ487" s="403"/>
      <c r="AK487" s="403"/>
      <c r="AL487" s="403"/>
      <c r="AM487" s="403"/>
      <c r="AN487" s="379">
        <f>IF(S487=0,0,(AD487-S487)/S487*100)</f>
        <v>0</v>
      </c>
      <c r="AO487" s="403"/>
      <c r="AP487" s="403"/>
      <c r="AQ487" s="403"/>
      <c r="AR487" s="403"/>
      <c r="AS487" s="403"/>
      <c r="AT487" s="403"/>
      <c r="AU487" s="403"/>
      <c r="AV487" s="403"/>
      <c r="AW487" s="403"/>
      <c r="AX487" s="183"/>
      <c r="AY487" s="183"/>
      <c r="AZ487" s="183"/>
    </row>
    <row r="488" spans="1:52" s="104" customFormat="1" ht="22.5" outlineLevel="1">
      <c r="A488" s="578" t="str">
        <f t="shared" si="90"/>
        <v>1</v>
      </c>
      <c r="B488" s="104" t="s">
        <v>1292</v>
      </c>
      <c r="C488" s="607"/>
      <c r="D488" s="607" t="s">
        <v>1651</v>
      </c>
      <c r="L488" s="375" t="s">
        <v>567</v>
      </c>
      <c r="M488" s="385" t="s">
        <v>1472</v>
      </c>
      <c r="N488" s="377" t="s">
        <v>351</v>
      </c>
      <c r="O488" s="530">
        <f>SUMIFS(ФОТ!O$15:O$35,ФОТ!$A$15:$A$35,$A488,ФОТ!$B$15:$B$35,$B488)</f>
        <v>0</v>
      </c>
      <c r="P488" s="530">
        <f>SUMIFS(ФОТ!P$15:P$35,ФОТ!$A$15:$A$35,$A488,ФОТ!$B$15:$B$35,$B488)</f>
        <v>0</v>
      </c>
      <c r="Q488" s="530">
        <f>SUMIFS(ФОТ!Q$15:Q$35,ФОТ!$A$15:$A$35,$A488,ФОТ!$B$15:$B$35,$B488)</f>
        <v>0</v>
      </c>
      <c r="R488" s="379">
        <f t="shared" si="86"/>
        <v>0</v>
      </c>
      <c r="S488" s="530">
        <f>SUMIFS(ФОТ!R$15:R$35,ФОТ!$A$15:$A$35,$A488,ФОТ!$B$15:$B$35,$B488)</f>
        <v>0</v>
      </c>
      <c r="T488" s="530">
        <f>SUMIFS(ФОТ!S$15:S$35,ФОТ!$A$15:$A$35,$A488,ФОТ!$B$15:$B$35,$B488)</f>
        <v>72.468000000000004</v>
      </c>
      <c r="U488" s="403"/>
      <c r="V488" s="403"/>
      <c r="W488" s="403"/>
      <c r="X488" s="403"/>
      <c r="Y488" s="403"/>
      <c r="Z488" s="403"/>
      <c r="AA488" s="403"/>
      <c r="AB488" s="403"/>
      <c r="AC488" s="403"/>
      <c r="AD488" s="530">
        <f>SUMIFS(ФОТ!T$15:T$35,ФОТ!$A$15:$A$35,$A488,ФОТ!$B$15:$B$35,$B488)</f>
        <v>72.468000000000004</v>
      </c>
      <c r="AE488" s="403"/>
      <c r="AF488" s="403"/>
      <c r="AG488" s="403"/>
      <c r="AH488" s="403"/>
      <c r="AI488" s="403"/>
      <c r="AJ488" s="403"/>
      <c r="AK488" s="403"/>
      <c r="AL488" s="403"/>
      <c r="AM488" s="403"/>
      <c r="AN488" s="379">
        <f>IF(S488=0,0,(AD488-S488)/S488*100)</f>
        <v>0</v>
      </c>
      <c r="AO488" s="403"/>
      <c r="AP488" s="403"/>
      <c r="AQ488" s="403"/>
      <c r="AR488" s="403"/>
      <c r="AS488" s="403"/>
      <c r="AT488" s="403"/>
      <c r="AU488" s="403"/>
      <c r="AV488" s="403"/>
      <c r="AW488" s="403"/>
      <c r="AX488" s="183"/>
      <c r="AY488" s="183"/>
      <c r="AZ488" s="183"/>
    </row>
    <row r="489" spans="1:52" s="104" customFormat="1" ht="33.75" outlineLevel="1">
      <c r="A489" s="578" t="str">
        <f t="shared" si="90"/>
        <v>1</v>
      </c>
      <c r="B489" s="531" t="s">
        <v>1301</v>
      </c>
      <c r="C489" s="607"/>
      <c r="D489" s="607" t="s">
        <v>1581</v>
      </c>
      <c r="L489" s="375" t="s">
        <v>568</v>
      </c>
      <c r="M489" s="383" t="s">
        <v>569</v>
      </c>
      <c r="N489" s="377" t="s">
        <v>351</v>
      </c>
      <c r="O489" s="530">
        <f>SUMIFS(Административные!O$15:O$35,Административные!$A$15:$A$35,$A489,Административные!$B$15:$B$35,$B489)</f>
        <v>0</v>
      </c>
      <c r="P489" s="530">
        <f>SUMIFS(Административные!P$15:P$35,Административные!$A$15:$A$35,$A489,Административные!$B$15:$B$35,$B489)</f>
        <v>0</v>
      </c>
      <c r="Q489" s="530">
        <f>SUMIFS(Административные!Q$15:Q$35,Административные!$A$15:$A$35,$A489,Административные!$B$15:$B$35,$B489)</f>
        <v>0</v>
      </c>
      <c r="R489" s="379">
        <f t="shared" si="86"/>
        <v>0</v>
      </c>
      <c r="S489" s="530">
        <f>SUMIFS(Административные!R$15:R$35,Административные!$A$15:$A$35,$A489,Административные!$B$15:$B$35,$B489)</f>
        <v>0</v>
      </c>
      <c r="T489" s="530">
        <f>SUMIFS(Административные!S$15:S$35,Административные!$A$15:$A$35,$A489,Административные!$B$15:$B$35,$B489)</f>
        <v>0</v>
      </c>
      <c r="U489" s="403"/>
      <c r="V489" s="403"/>
      <c r="W489" s="403"/>
      <c r="X489" s="403"/>
      <c r="Y489" s="403"/>
      <c r="Z489" s="403"/>
      <c r="AA489" s="403"/>
      <c r="AB489" s="403"/>
      <c r="AC489" s="403"/>
      <c r="AD489" s="530">
        <f>SUMIFS(Административные!T$15:T$35,Административные!$A$15:$A$35,$A489,Административные!$B$15:$B$35,$B489)</f>
        <v>0</v>
      </c>
      <c r="AE489" s="403"/>
      <c r="AF489" s="403"/>
      <c r="AG489" s="403"/>
      <c r="AH489" s="403"/>
      <c r="AI489" s="403"/>
      <c r="AJ489" s="403"/>
      <c r="AK489" s="403"/>
      <c r="AL489" s="403"/>
      <c r="AM489" s="403"/>
      <c r="AN489" s="379">
        <f t="shared" si="91"/>
        <v>0</v>
      </c>
      <c r="AO489" s="403"/>
      <c r="AP489" s="403"/>
      <c r="AQ489" s="403"/>
      <c r="AR489" s="403"/>
      <c r="AS489" s="403"/>
      <c r="AT489" s="403"/>
      <c r="AU489" s="403"/>
      <c r="AV489" s="403"/>
      <c r="AW489" s="403"/>
      <c r="AX489" s="183"/>
      <c r="AY489" s="183"/>
      <c r="AZ489" s="183"/>
    </row>
    <row r="490" spans="1:52" s="104" customFormat="1" ht="15" outlineLevel="1">
      <c r="A490" s="578" t="str">
        <f t="shared" si="90"/>
        <v>1</v>
      </c>
      <c r="B490" s="531" t="s">
        <v>1303</v>
      </c>
      <c r="C490" s="607"/>
      <c r="D490" s="607" t="s">
        <v>1582</v>
      </c>
      <c r="L490" s="375" t="s">
        <v>570</v>
      </c>
      <c r="M490" s="383" t="s">
        <v>571</v>
      </c>
      <c r="N490" s="377" t="s">
        <v>351</v>
      </c>
      <c r="O490" s="530">
        <f>SUMIFS(Административные!O$15:O$35,Административные!$A$15:$A$35,$A490,Административные!$B$15:$B$35,$B490)</f>
        <v>0</v>
      </c>
      <c r="P490" s="530">
        <f>SUMIFS(Административные!P$15:P$35,Административные!$A$15:$A$35,$A490,Административные!$B$15:$B$35,$B490)</f>
        <v>0</v>
      </c>
      <c r="Q490" s="530">
        <f>SUMIFS(Административные!Q$15:Q$35,Административные!$A$15:$A$35,$A490,Административные!$B$15:$B$35,$B490)</f>
        <v>0</v>
      </c>
      <c r="R490" s="379">
        <f t="shared" si="86"/>
        <v>0</v>
      </c>
      <c r="S490" s="530">
        <f>SUMIFS(Административные!R$15:R$35,Административные!$A$15:$A$35,$A490,Административные!$B$15:$B$35,$B490)</f>
        <v>0</v>
      </c>
      <c r="T490" s="530">
        <f>SUMIFS(Административные!S$15:S$35,Административные!$A$15:$A$35,$A490,Административные!$B$15:$B$35,$B490)</f>
        <v>0</v>
      </c>
      <c r="U490" s="403"/>
      <c r="V490" s="403"/>
      <c r="W490" s="403"/>
      <c r="X490" s="403"/>
      <c r="Y490" s="403"/>
      <c r="Z490" s="403"/>
      <c r="AA490" s="403"/>
      <c r="AB490" s="403"/>
      <c r="AC490" s="403"/>
      <c r="AD490" s="530">
        <f>SUMIFS(Административные!T$15:T$35,Административные!$A$15:$A$35,$A490,Административные!$B$15:$B$35,$B490)</f>
        <v>0</v>
      </c>
      <c r="AE490" s="403"/>
      <c r="AF490" s="403"/>
      <c r="AG490" s="403"/>
      <c r="AH490" s="403"/>
      <c r="AI490" s="403"/>
      <c r="AJ490" s="403"/>
      <c r="AK490" s="403"/>
      <c r="AL490" s="403"/>
      <c r="AM490" s="403"/>
      <c r="AN490" s="379">
        <f t="shared" si="91"/>
        <v>0</v>
      </c>
      <c r="AO490" s="403"/>
      <c r="AP490" s="403"/>
      <c r="AQ490" s="403"/>
      <c r="AR490" s="403"/>
      <c r="AS490" s="403"/>
      <c r="AT490" s="403"/>
      <c r="AU490" s="403"/>
      <c r="AV490" s="403"/>
      <c r="AW490" s="403"/>
      <c r="AX490" s="183"/>
      <c r="AY490" s="183"/>
      <c r="AZ490" s="183"/>
    </row>
    <row r="491" spans="1:52" s="104" customFormat="1" ht="15" outlineLevel="1">
      <c r="A491" s="578" t="str">
        <f t="shared" si="90"/>
        <v>1</v>
      </c>
      <c r="B491" s="531" t="s">
        <v>1305</v>
      </c>
      <c r="C491" s="607"/>
      <c r="D491" s="607" t="s">
        <v>1652</v>
      </c>
      <c r="L491" s="375" t="s">
        <v>572</v>
      </c>
      <c r="M491" s="383" t="s">
        <v>573</v>
      </c>
      <c r="N491" s="377" t="s">
        <v>351</v>
      </c>
      <c r="O491" s="530">
        <f>SUMIFS(Административные!O$15:O$35,Административные!$A$15:$A$35,$A491,Административные!$B$15:$B$35,$B491)</f>
        <v>0</v>
      </c>
      <c r="P491" s="530">
        <f>SUMIFS(Административные!P$15:P$35,Административные!$A$15:$A$35,$A491,Административные!$B$15:$B$35,$B491)</f>
        <v>0</v>
      </c>
      <c r="Q491" s="530">
        <f>SUMIFS(Административные!Q$15:Q$35,Административные!$A$15:$A$35,$A491,Административные!$B$15:$B$35,$B491)</f>
        <v>0</v>
      </c>
      <c r="R491" s="379">
        <f t="shared" si="86"/>
        <v>0</v>
      </c>
      <c r="S491" s="530">
        <f>SUMIFS(Административные!R$15:R$35,Административные!$A$15:$A$35,$A491,Административные!$B$15:$B$35,$B491)</f>
        <v>0</v>
      </c>
      <c r="T491" s="530">
        <f>SUMIFS(Административные!S$15:S$35,Административные!$A$15:$A$35,$A491,Административные!$B$15:$B$35,$B491)</f>
        <v>0</v>
      </c>
      <c r="U491" s="403"/>
      <c r="V491" s="403"/>
      <c r="W491" s="403"/>
      <c r="X491" s="403"/>
      <c r="Y491" s="403"/>
      <c r="Z491" s="403"/>
      <c r="AA491" s="403"/>
      <c r="AB491" s="403"/>
      <c r="AC491" s="403"/>
      <c r="AD491" s="530">
        <f>SUMIFS(Административные!T$15:T$35,Административные!$A$15:$A$35,$A491,Административные!$B$15:$B$35,$B491)</f>
        <v>0</v>
      </c>
      <c r="AE491" s="403"/>
      <c r="AF491" s="403"/>
      <c r="AG491" s="403"/>
      <c r="AH491" s="403"/>
      <c r="AI491" s="403"/>
      <c r="AJ491" s="403"/>
      <c r="AK491" s="403"/>
      <c r="AL491" s="403"/>
      <c r="AM491" s="403"/>
      <c r="AN491" s="379">
        <f t="shared" si="91"/>
        <v>0</v>
      </c>
      <c r="AO491" s="403"/>
      <c r="AP491" s="403"/>
      <c r="AQ491" s="403"/>
      <c r="AR491" s="403"/>
      <c r="AS491" s="403"/>
      <c r="AT491" s="403"/>
      <c r="AU491" s="403"/>
      <c r="AV491" s="403"/>
      <c r="AW491" s="403"/>
      <c r="AX491" s="183"/>
      <c r="AY491" s="183"/>
      <c r="AZ491" s="183"/>
    </row>
    <row r="492" spans="1:52" s="104" customFormat="1" ht="15" outlineLevel="1">
      <c r="A492" s="578" t="str">
        <f t="shared" si="90"/>
        <v>1</v>
      </c>
      <c r="B492" s="531" t="s">
        <v>1307</v>
      </c>
      <c r="C492" s="607"/>
      <c r="D492" s="607" t="s">
        <v>1653</v>
      </c>
      <c r="L492" s="375" t="s">
        <v>574</v>
      </c>
      <c r="M492" s="383" t="s">
        <v>575</v>
      </c>
      <c r="N492" s="377" t="s">
        <v>351</v>
      </c>
      <c r="O492" s="530">
        <f>SUMIFS(Административные!O$15:O$35,Административные!$A$15:$A$35,$A492,Административные!$B$15:$B$35,$B492)</f>
        <v>0</v>
      </c>
      <c r="P492" s="530">
        <f>SUMIFS(Административные!P$15:P$35,Административные!$A$15:$A$35,$A492,Административные!$B$15:$B$35,$B492)</f>
        <v>0</v>
      </c>
      <c r="Q492" s="530">
        <f>SUMIFS(Административные!Q$15:Q$35,Административные!$A$15:$A$35,$A492,Административные!$B$15:$B$35,$B492)</f>
        <v>0</v>
      </c>
      <c r="R492" s="379">
        <f t="shared" si="86"/>
        <v>0</v>
      </c>
      <c r="S492" s="530">
        <f>SUMIFS(Административные!R$15:R$35,Административные!$A$15:$A$35,$A492,Административные!$B$15:$B$35,$B492)</f>
        <v>0</v>
      </c>
      <c r="T492" s="530">
        <f>SUMIFS(Административные!S$15:S$35,Административные!$A$15:$A$35,$A492,Административные!$B$15:$B$35,$B492)</f>
        <v>0</v>
      </c>
      <c r="U492" s="403"/>
      <c r="V492" s="403"/>
      <c r="W492" s="403"/>
      <c r="X492" s="403"/>
      <c r="Y492" s="403"/>
      <c r="Z492" s="403"/>
      <c r="AA492" s="403"/>
      <c r="AB492" s="403"/>
      <c r="AC492" s="403"/>
      <c r="AD492" s="530">
        <f>SUMIFS(Административные!T$15:T$35,Административные!$A$15:$A$35,$A492,Административные!$B$15:$B$35,$B492)</f>
        <v>0</v>
      </c>
      <c r="AE492" s="403"/>
      <c r="AF492" s="403"/>
      <c r="AG492" s="403"/>
      <c r="AH492" s="403"/>
      <c r="AI492" s="403"/>
      <c r="AJ492" s="403"/>
      <c r="AK492" s="403"/>
      <c r="AL492" s="403"/>
      <c r="AM492" s="403"/>
      <c r="AN492" s="379">
        <f t="shared" si="91"/>
        <v>0</v>
      </c>
      <c r="AO492" s="403"/>
      <c r="AP492" s="403"/>
      <c r="AQ492" s="403"/>
      <c r="AR492" s="403"/>
      <c r="AS492" s="403"/>
      <c r="AT492" s="403"/>
      <c r="AU492" s="403"/>
      <c r="AV492" s="403"/>
      <c r="AW492" s="403"/>
      <c r="AX492" s="183"/>
      <c r="AY492" s="183"/>
      <c r="AZ492" s="183"/>
    </row>
    <row r="493" spans="1:52" s="104" customFormat="1" ht="15" outlineLevel="1">
      <c r="A493" s="578" t="str">
        <f t="shared" si="90"/>
        <v>1</v>
      </c>
      <c r="B493" s="531" t="s">
        <v>1309</v>
      </c>
      <c r="C493" s="607"/>
      <c r="D493" s="607" t="s">
        <v>1654</v>
      </c>
      <c r="L493" s="375" t="s">
        <v>576</v>
      </c>
      <c r="M493" s="383" t="s">
        <v>577</v>
      </c>
      <c r="N493" s="377" t="s">
        <v>351</v>
      </c>
      <c r="O493" s="530">
        <f>SUMIFS(Административные!O$15:O$35,Административные!$A$15:$A$35,$A493,Административные!$B$15:$B$35,$B493)</f>
        <v>0</v>
      </c>
      <c r="P493" s="530">
        <f>SUMIFS(Административные!P$15:P$35,Административные!$A$15:$A$35,$A493,Административные!$B$15:$B$35,$B493)</f>
        <v>0</v>
      </c>
      <c r="Q493" s="530">
        <f>SUMIFS(Административные!Q$15:Q$35,Административные!$A$15:$A$35,$A493,Административные!$B$15:$B$35,$B493)</f>
        <v>0</v>
      </c>
      <c r="R493" s="379">
        <f t="shared" si="86"/>
        <v>0</v>
      </c>
      <c r="S493" s="530">
        <f>SUMIFS(Административные!R$15:R$35,Административные!$A$15:$A$35,$A493,Административные!$B$15:$B$35,$B493)</f>
        <v>0</v>
      </c>
      <c r="T493" s="530">
        <f>SUMIFS(Административные!S$15:S$35,Административные!$A$15:$A$35,$A493,Административные!$B$15:$B$35,$B493)</f>
        <v>0</v>
      </c>
      <c r="U493" s="403"/>
      <c r="V493" s="403"/>
      <c r="W493" s="403"/>
      <c r="X493" s="403"/>
      <c r="Y493" s="403"/>
      <c r="Z493" s="403"/>
      <c r="AA493" s="403"/>
      <c r="AB493" s="403"/>
      <c r="AC493" s="403"/>
      <c r="AD493" s="530">
        <f>SUMIFS(Административные!T$15:T$35,Административные!$A$15:$A$35,$A493,Административные!$B$15:$B$35,$B493)</f>
        <v>0</v>
      </c>
      <c r="AE493" s="403"/>
      <c r="AF493" s="403"/>
      <c r="AG493" s="403"/>
      <c r="AH493" s="403"/>
      <c r="AI493" s="403"/>
      <c r="AJ493" s="403"/>
      <c r="AK493" s="403"/>
      <c r="AL493" s="403"/>
      <c r="AM493" s="403"/>
      <c r="AN493" s="379">
        <f t="shared" si="91"/>
        <v>0</v>
      </c>
      <c r="AO493" s="403"/>
      <c r="AP493" s="403"/>
      <c r="AQ493" s="403"/>
      <c r="AR493" s="403"/>
      <c r="AS493" s="403"/>
      <c r="AT493" s="403"/>
      <c r="AU493" s="403"/>
      <c r="AV493" s="403"/>
      <c r="AW493" s="403"/>
      <c r="AX493" s="183"/>
      <c r="AY493" s="183"/>
      <c r="AZ493" s="183"/>
    </row>
    <row r="494" spans="1:52" s="104" customFormat="1" ht="15" outlineLevel="1">
      <c r="A494" s="578" t="str">
        <f t="shared" si="90"/>
        <v>1</v>
      </c>
      <c r="B494" s="531" t="s">
        <v>1311</v>
      </c>
      <c r="C494" s="607"/>
      <c r="D494" s="607" t="s">
        <v>1655</v>
      </c>
      <c r="L494" s="375" t="s">
        <v>1366</v>
      </c>
      <c r="M494" s="386" t="s">
        <v>578</v>
      </c>
      <c r="N494" s="377" t="s">
        <v>351</v>
      </c>
      <c r="O494" s="530">
        <f>SUMIFS(Административные!O$15:O$35,Административные!$A$15:$A$35,$A494,Административные!$B$15:$B$35,$B494)</f>
        <v>0</v>
      </c>
      <c r="P494" s="530">
        <f>SUMIFS(Административные!P$15:P$35,Административные!$A$15:$A$35,$A494,Административные!$B$15:$B$35,$B494)</f>
        <v>0</v>
      </c>
      <c r="Q494" s="530">
        <f>SUMIFS(Административные!Q$15:Q$35,Административные!$A$15:$A$35,$A494,Административные!$B$15:$B$35,$B494)</f>
        <v>0</v>
      </c>
      <c r="R494" s="379">
        <f t="shared" si="86"/>
        <v>0</v>
      </c>
      <c r="S494" s="530">
        <f>SUMIFS(Административные!R$15:R$35,Административные!$A$15:$A$35,$A494,Административные!$B$15:$B$35,$B494)</f>
        <v>0</v>
      </c>
      <c r="T494" s="530">
        <f>SUMIFS(Административные!S$15:S$35,Административные!$A$15:$A$35,$A494,Административные!$B$15:$B$35,$B494)</f>
        <v>0</v>
      </c>
      <c r="U494" s="403"/>
      <c r="V494" s="403"/>
      <c r="W494" s="403"/>
      <c r="X494" s="403"/>
      <c r="Y494" s="403"/>
      <c r="Z494" s="403"/>
      <c r="AA494" s="403"/>
      <c r="AB494" s="403"/>
      <c r="AC494" s="403"/>
      <c r="AD494" s="530">
        <f>SUMIFS(Административные!T$15:T$35,Административные!$A$15:$A$35,$A494,Административные!$B$15:$B$35,$B494)</f>
        <v>0</v>
      </c>
      <c r="AE494" s="403"/>
      <c r="AF494" s="403"/>
      <c r="AG494" s="403"/>
      <c r="AH494" s="403"/>
      <c r="AI494" s="403"/>
      <c r="AJ494" s="403"/>
      <c r="AK494" s="403"/>
      <c r="AL494" s="403"/>
      <c r="AM494" s="403"/>
      <c r="AN494" s="379">
        <f t="shared" si="91"/>
        <v>0</v>
      </c>
      <c r="AO494" s="403"/>
      <c r="AP494" s="403"/>
      <c r="AQ494" s="403"/>
      <c r="AR494" s="403"/>
      <c r="AS494" s="403"/>
      <c r="AT494" s="403"/>
      <c r="AU494" s="403"/>
      <c r="AV494" s="403"/>
      <c r="AW494" s="403"/>
      <c r="AX494" s="183"/>
      <c r="AY494" s="183"/>
      <c r="AZ494" s="183"/>
    </row>
    <row r="495" spans="1:52" s="104" customFormat="1" ht="15" outlineLevel="1">
      <c r="A495" s="578" t="str">
        <f t="shared" si="90"/>
        <v>1</v>
      </c>
      <c r="B495" s="531" t="s">
        <v>1313</v>
      </c>
      <c r="C495" s="607"/>
      <c r="D495" s="607" t="s">
        <v>1656</v>
      </c>
      <c r="L495" s="375" t="s">
        <v>1367</v>
      </c>
      <c r="M495" s="386" t="s">
        <v>579</v>
      </c>
      <c r="N495" s="377" t="s">
        <v>351</v>
      </c>
      <c r="O495" s="530">
        <f>SUMIFS(Административные!O$15:O$35,Административные!$A$15:$A$35,$A495,Административные!$B$15:$B$35,$B495)</f>
        <v>0</v>
      </c>
      <c r="P495" s="530">
        <f>SUMIFS(Административные!P$15:P$35,Административные!$A$15:$A$35,$A495,Административные!$B$15:$B$35,$B495)</f>
        <v>0</v>
      </c>
      <c r="Q495" s="530">
        <f>SUMIFS(Административные!Q$15:Q$35,Административные!$A$15:$A$35,$A495,Административные!$B$15:$B$35,$B495)</f>
        <v>0</v>
      </c>
      <c r="R495" s="379">
        <f t="shared" si="86"/>
        <v>0</v>
      </c>
      <c r="S495" s="530">
        <f>SUMIFS(Административные!R$15:R$35,Административные!$A$15:$A$35,$A495,Административные!$B$15:$B$35,$B495)</f>
        <v>0</v>
      </c>
      <c r="T495" s="530">
        <f>SUMIFS(Административные!S$15:S$35,Административные!$A$15:$A$35,$A495,Административные!$B$15:$B$35,$B495)</f>
        <v>0</v>
      </c>
      <c r="U495" s="403"/>
      <c r="V495" s="403"/>
      <c r="W495" s="403"/>
      <c r="X495" s="403"/>
      <c r="Y495" s="403"/>
      <c r="Z495" s="403"/>
      <c r="AA495" s="403"/>
      <c r="AB495" s="403"/>
      <c r="AC495" s="403"/>
      <c r="AD495" s="530">
        <f>SUMIFS(Административные!T$15:T$35,Административные!$A$15:$A$35,$A495,Административные!$B$15:$B$35,$B495)</f>
        <v>0</v>
      </c>
      <c r="AE495" s="403"/>
      <c r="AF495" s="403"/>
      <c r="AG495" s="403"/>
      <c r="AH495" s="403"/>
      <c r="AI495" s="403"/>
      <c r="AJ495" s="403"/>
      <c r="AK495" s="403"/>
      <c r="AL495" s="403"/>
      <c r="AM495" s="403"/>
      <c r="AN495" s="379">
        <f t="shared" si="91"/>
        <v>0</v>
      </c>
      <c r="AO495" s="403"/>
      <c r="AP495" s="403"/>
      <c r="AQ495" s="403"/>
      <c r="AR495" s="403"/>
      <c r="AS495" s="403"/>
      <c r="AT495" s="403"/>
      <c r="AU495" s="403"/>
      <c r="AV495" s="403"/>
      <c r="AW495" s="403"/>
      <c r="AX495" s="183"/>
      <c r="AY495" s="183"/>
      <c r="AZ495" s="183"/>
    </row>
    <row r="496" spans="1:52" s="104" customFormat="1" outlineLevel="1">
      <c r="A496" s="578" t="str">
        <f t="shared" si="90"/>
        <v>1</v>
      </c>
      <c r="B496" s="104" t="s">
        <v>1460</v>
      </c>
      <c r="C496" s="607"/>
      <c r="D496" s="607" t="s">
        <v>1657</v>
      </c>
      <c r="L496" s="375" t="s">
        <v>1462</v>
      </c>
      <c r="M496" s="385" t="s">
        <v>1461</v>
      </c>
      <c r="N496" s="377" t="s">
        <v>351</v>
      </c>
      <c r="O496" s="530">
        <f>SUMIFS(Административные!O$15:O$35,Административные!$A$15:$A$35,$A496,Административные!$B$15:$B$35,$B496)</f>
        <v>0</v>
      </c>
      <c r="P496" s="530">
        <f>SUMIFS(Административные!P$15:P$35,Административные!$A$15:$A$35,$A496,Административные!$B$15:$B$35,$B496)</f>
        <v>0</v>
      </c>
      <c r="Q496" s="530">
        <f>SUMIFS(Административные!Q$15:Q$35,Административные!$A$15:$A$35,$A496,Административные!$B$15:$B$35,$B496)</f>
        <v>0</v>
      </c>
      <c r="R496" s="379">
        <f t="shared" si="86"/>
        <v>0</v>
      </c>
      <c r="S496" s="530">
        <f>SUMIFS(Административные!R$15:R$35,Административные!$A$15:$A$35,$A496,Административные!$B$15:$B$35,$B496)</f>
        <v>0</v>
      </c>
      <c r="T496" s="530">
        <f>SUMIFS(Административные!S$15:S$35,Административные!$A$15:$A$35,$A496,Административные!$B$15:$B$35,$B496)</f>
        <v>0</v>
      </c>
      <c r="U496" s="403"/>
      <c r="V496" s="403"/>
      <c r="W496" s="403"/>
      <c r="X496" s="403"/>
      <c r="Y496" s="403"/>
      <c r="Z496" s="403"/>
      <c r="AA496" s="403"/>
      <c r="AB496" s="403"/>
      <c r="AC496" s="403"/>
      <c r="AD496" s="530">
        <f>SUMIFS(Административные!T$15:T$35,Административные!$A$15:$A$35,$A496,Административные!$B$15:$B$35,$B496)</f>
        <v>0</v>
      </c>
      <c r="AE496" s="403"/>
      <c r="AF496" s="403"/>
      <c r="AG496" s="403"/>
      <c r="AH496" s="403"/>
      <c r="AI496" s="403"/>
      <c r="AJ496" s="403"/>
      <c r="AK496" s="403"/>
      <c r="AL496" s="403"/>
      <c r="AM496" s="403"/>
      <c r="AN496" s="379">
        <f>IF(S496=0,0,(AD496-S496)/S496*100)</f>
        <v>0</v>
      </c>
      <c r="AO496" s="403"/>
      <c r="AP496" s="403"/>
      <c r="AQ496" s="403"/>
      <c r="AR496" s="403"/>
      <c r="AS496" s="403"/>
      <c r="AT496" s="403"/>
      <c r="AU496" s="403"/>
      <c r="AV496" s="403"/>
      <c r="AW496" s="403"/>
      <c r="AX496" s="183"/>
      <c r="AY496" s="183"/>
      <c r="AZ496" s="183"/>
    </row>
    <row r="497" spans="1:53" s="104" customFormat="1" ht="22.5" outlineLevel="1">
      <c r="A497" s="578" t="str">
        <f t="shared" si="90"/>
        <v>1</v>
      </c>
      <c r="C497" s="607"/>
      <c r="D497" s="607" t="s">
        <v>1551</v>
      </c>
      <c r="L497" s="375" t="s">
        <v>363</v>
      </c>
      <c r="M497" s="376" t="s">
        <v>1379</v>
      </c>
      <c r="N497" s="377" t="s">
        <v>351</v>
      </c>
      <c r="O497" s="530">
        <f>SUMIFS('Сбытовые расходы ГО'!O$15:O$27,'Сбытовые расходы ГО'!$A$15:$A$27,$A497,'Сбытовые расходы ГО'!$B$15:$B$27,"L0")-SUMIFS('Сбытовые расходы ГО'!O$15:O$27,'Сбытовые расходы ГО'!$A$15:$A$27,$A497,'Сбытовые расходы ГО'!$B$15:$B$27,"L1")</f>
        <v>0</v>
      </c>
      <c r="P497" s="530">
        <f>SUMIFS('Сбытовые расходы ГО'!P$15:P$27,'Сбытовые расходы ГО'!$A$15:$A$27,$A497,'Сбытовые расходы ГО'!$B$15:$B$27,"L0")-SUMIFS('Сбытовые расходы ГО'!P$15:P$27,'Сбытовые расходы ГО'!$A$15:$A$27,$A497,'Сбытовые расходы ГО'!$B$15:$B$27,"L1")</f>
        <v>0</v>
      </c>
      <c r="Q497" s="530">
        <f>SUMIFS('Сбытовые расходы ГО'!Q$15:Q$27,'Сбытовые расходы ГО'!$A$15:$A$27,$A497,'Сбытовые расходы ГО'!$B$15:$B$27,"L0")-SUMIFS('Сбытовые расходы ГО'!Q$15:Q$27,'Сбытовые расходы ГО'!$A$15:$A$27,$A497,'Сбытовые расходы ГО'!$B$15:$B$27,"L1")</f>
        <v>0</v>
      </c>
      <c r="R497" s="379">
        <f t="shared" si="86"/>
        <v>0</v>
      </c>
      <c r="S497" s="530">
        <f>SUMIFS('Сбытовые расходы ГО'!R$15:R$27,'Сбытовые расходы ГО'!$A$15:$A$27,$A497,'Сбытовые расходы ГО'!$B$15:$B$27,"L0")-SUMIFS('Сбытовые расходы ГО'!R$15:R$27,'Сбытовые расходы ГО'!$A$15:$A$27,$A497,'Сбытовые расходы ГО'!$B$15:$B$27,"L1")</f>
        <v>0</v>
      </c>
      <c r="T497" s="530">
        <f>SUMIFS('Сбытовые расходы ГО'!S$15:S$27,'Сбытовые расходы ГО'!$A$15:$A$27,$A497,'Сбытовые расходы ГО'!$B$15:$B$27,"L0")-SUMIFS('Сбытовые расходы ГО'!S$15:S$27,'Сбытовые расходы ГО'!$A$15:$A$27,$A497,'Сбытовые расходы ГО'!$B$15:$B$27,"L1")</f>
        <v>0</v>
      </c>
      <c r="U497" s="403"/>
      <c r="V497" s="403"/>
      <c r="W497" s="403"/>
      <c r="X497" s="403"/>
      <c r="Y497" s="403"/>
      <c r="Z497" s="403"/>
      <c r="AA497" s="403"/>
      <c r="AB497" s="403"/>
      <c r="AC497" s="403"/>
      <c r="AD497" s="530">
        <f>SUMIFS('Сбытовые расходы ГО'!T$15:T$27,'Сбытовые расходы ГО'!$A$15:$A$27,$A497,'Сбытовые расходы ГО'!$B$15:$B$27,"L0")-SUMIFS('Сбытовые расходы ГО'!T$15:T$27,'Сбытовые расходы ГО'!$A$15:$A$27,$A497,'Сбытовые расходы ГО'!$B$15:$B$27,"L1")</f>
        <v>0</v>
      </c>
      <c r="AE497" s="403"/>
      <c r="AF497" s="403"/>
      <c r="AG497" s="403"/>
      <c r="AH497" s="403"/>
      <c r="AI497" s="403"/>
      <c r="AJ497" s="403"/>
      <c r="AK497" s="403"/>
      <c r="AL497" s="403"/>
      <c r="AM497" s="403"/>
      <c r="AN497" s="379">
        <f>IF(S497=0,0,(AD497-S497)/S497*100)</f>
        <v>0</v>
      </c>
      <c r="AO497" s="403"/>
      <c r="AP497" s="403"/>
      <c r="AQ497" s="403"/>
      <c r="AR497" s="403"/>
      <c r="AS497" s="403"/>
      <c r="AT497" s="403"/>
      <c r="AU497" s="403"/>
      <c r="AV497" s="403"/>
      <c r="AW497" s="403"/>
      <c r="AX497" s="183"/>
      <c r="AY497" s="183"/>
      <c r="AZ497" s="183"/>
    </row>
    <row r="498" spans="1:53" s="104" customFormat="1" outlineLevel="1">
      <c r="A498" s="578" t="str">
        <f t="shared" si="90"/>
        <v>1</v>
      </c>
      <c r="C498" s="607"/>
      <c r="D498" s="607" t="s">
        <v>1658</v>
      </c>
      <c r="L498" s="375" t="s">
        <v>1199</v>
      </c>
      <c r="M498" s="376" t="s">
        <v>1200</v>
      </c>
      <c r="N498" s="377" t="s">
        <v>351</v>
      </c>
      <c r="O498" s="378"/>
      <c r="P498" s="378"/>
      <c r="Q498" s="378"/>
      <c r="R498" s="379">
        <f t="shared" si="86"/>
        <v>0</v>
      </c>
      <c r="S498" s="378"/>
      <c r="T498" s="378"/>
      <c r="U498" s="403"/>
      <c r="V498" s="403"/>
      <c r="W498" s="403"/>
      <c r="X498" s="403"/>
      <c r="Y498" s="403"/>
      <c r="Z498" s="403"/>
      <c r="AA498" s="403"/>
      <c r="AB498" s="403"/>
      <c r="AC498" s="403"/>
      <c r="AD498" s="378"/>
      <c r="AE498" s="403"/>
      <c r="AF498" s="403"/>
      <c r="AG498" s="403"/>
      <c r="AH498" s="403"/>
      <c r="AI498" s="403"/>
      <c r="AJ498" s="403"/>
      <c r="AK498" s="403"/>
      <c r="AL498" s="403"/>
      <c r="AM498" s="403"/>
      <c r="AN498" s="379">
        <f t="shared" si="91"/>
        <v>0</v>
      </c>
      <c r="AO498" s="403"/>
      <c r="AP498" s="403"/>
      <c r="AQ498" s="403"/>
      <c r="AR498" s="403"/>
      <c r="AS498" s="403"/>
      <c r="AT498" s="403"/>
      <c r="AU498" s="403"/>
      <c r="AV498" s="403"/>
      <c r="AW498" s="403"/>
      <c r="AX498" s="183"/>
      <c r="AY498" s="183"/>
      <c r="AZ498" s="183"/>
    </row>
    <row r="499" spans="1:53" s="109" customFormat="1" outlineLevel="1">
      <c r="A499" s="578" t="str">
        <f t="shared" si="90"/>
        <v>1</v>
      </c>
      <c r="C499" s="607"/>
      <c r="D499" s="607" t="s">
        <v>1659</v>
      </c>
      <c r="L499" s="395" t="s">
        <v>1382</v>
      </c>
      <c r="M499" s="550" t="s">
        <v>1384</v>
      </c>
      <c r="N499" s="396" t="s">
        <v>351</v>
      </c>
      <c r="O499" s="399">
        <f>SUM(O500:O501)</f>
        <v>0</v>
      </c>
      <c r="P499" s="399">
        <f>SUM(P500:P501)</f>
        <v>0</v>
      </c>
      <c r="Q499" s="399">
        <f>SUM(Q500:Q501)</f>
        <v>0</v>
      </c>
      <c r="R499" s="373">
        <f t="shared" si="86"/>
        <v>0</v>
      </c>
      <c r="S499" s="399">
        <f>SUM(S500:S501)</f>
        <v>0</v>
      </c>
      <c r="T499" s="399">
        <f>SUM(T500:T501)</f>
        <v>0</v>
      </c>
      <c r="U499" s="548"/>
      <c r="V499" s="548"/>
      <c r="W499" s="548"/>
      <c r="X499" s="548"/>
      <c r="Y499" s="548"/>
      <c r="Z499" s="548"/>
      <c r="AA499" s="548"/>
      <c r="AB499" s="548"/>
      <c r="AC499" s="548"/>
      <c r="AD499" s="399">
        <f>SUM(AD500:AD501)</f>
        <v>0</v>
      </c>
      <c r="AE499" s="548"/>
      <c r="AF499" s="548"/>
      <c r="AG499" s="548"/>
      <c r="AH499" s="548"/>
      <c r="AI499" s="548"/>
      <c r="AJ499" s="548"/>
      <c r="AK499" s="548"/>
      <c r="AL499" s="548"/>
      <c r="AM499" s="548"/>
      <c r="AN499" s="373">
        <f>IF(S499=0,0,(AD499-S499)/S499*100)</f>
        <v>0</v>
      </c>
      <c r="AO499" s="548"/>
      <c r="AP499" s="548"/>
      <c r="AQ499" s="548"/>
      <c r="AR499" s="548"/>
      <c r="AS499" s="548"/>
      <c r="AT499" s="548"/>
      <c r="AU499" s="548"/>
      <c r="AV499" s="548"/>
      <c r="AW499" s="548"/>
      <c r="AX499" s="549"/>
      <c r="AY499" s="549"/>
      <c r="AZ499" s="549"/>
    </row>
    <row r="500" spans="1:53" s="555" customFormat="1" hidden="1" outlineLevel="1">
      <c r="A500" s="578" t="str">
        <f t="shared" si="90"/>
        <v>1</v>
      </c>
      <c r="L500" s="556" t="s">
        <v>1383</v>
      </c>
      <c r="M500" s="557"/>
      <c r="N500" s="558"/>
      <c r="O500" s="403"/>
      <c r="P500" s="403"/>
      <c r="Q500" s="403"/>
      <c r="R500" s="403"/>
      <c r="S500" s="403"/>
      <c r="T500" s="403"/>
      <c r="U500" s="403"/>
      <c r="V500" s="403"/>
      <c r="W500" s="403"/>
      <c r="X500" s="403"/>
      <c r="Y500" s="403"/>
      <c r="Z500" s="403"/>
      <c r="AA500" s="403"/>
      <c r="AB500" s="403"/>
      <c r="AC500" s="403"/>
      <c r="AD500" s="403"/>
      <c r="AE500" s="403"/>
      <c r="AF500" s="403"/>
      <c r="AG500" s="403"/>
      <c r="AH500" s="403"/>
      <c r="AI500" s="403"/>
      <c r="AJ500" s="403"/>
      <c r="AK500" s="403"/>
      <c r="AL500" s="403"/>
      <c r="AM500" s="403"/>
      <c r="AN500" s="403"/>
      <c r="AO500" s="403"/>
      <c r="AP500" s="403"/>
      <c r="AQ500" s="403"/>
      <c r="AR500" s="403"/>
      <c r="AS500" s="403"/>
      <c r="AT500" s="403"/>
      <c r="AU500" s="403"/>
      <c r="AV500" s="403"/>
      <c r="AW500" s="403"/>
      <c r="AX500" s="559"/>
      <c r="AY500" s="559"/>
      <c r="AZ500" s="559"/>
    </row>
    <row r="501" spans="1:53" s="555" customFormat="1" ht="15" outlineLevel="1">
      <c r="A501" s="578" t="str">
        <f t="shared" si="90"/>
        <v>1</v>
      </c>
      <c r="B501" s="561"/>
      <c r="D501" s="555" t="str">
        <f>A501&amp;"pIns1"</f>
        <v>1pIns1</v>
      </c>
      <c r="L501" s="246"/>
      <c r="M501" s="560" t="s">
        <v>352</v>
      </c>
      <c r="N501" s="247"/>
      <c r="O501" s="247"/>
      <c r="P501" s="247"/>
      <c r="Q501" s="247"/>
      <c r="R501" s="247"/>
      <c r="S501" s="247"/>
      <c r="T501" s="247"/>
      <c r="U501" s="247"/>
      <c r="V501" s="247"/>
      <c r="W501" s="247"/>
      <c r="X501" s="247"/>
      <c r="Y501" s="247"/>
      <c r="Z501" s="247"/>
      <c r="AA501" s="247"/>
      <c r="AB501" s="247"/>
      <c r="AC501" s="247"/>
      <c r="AD501" s="247"/>
      <c r="AE501" s="247"/>
      <c r="AF501" s="247"/>
      <c r="AG501" s="247"/>
      <c r="AH501" s="247"/>
      <c r="AI501" s="247"/>
      <c r="AJ501" s="247"/>
      <c r="AK501" s="247"/>
      <c r="AL501" s="247"/>
      <c r="AM501" s="247"/>
      <c r="AN501" s="247"/>
      <c r="AO501" s="247"/>
      <c r="AP501" s="247"/>
      <c r="AQ501" s="247"/>
      <c r="AR501" s="247"/>
      <c r="AS501" s="247"/>
      <c r="AT501" s="247"/>
      <c r="AU501" s="247"/>
      <c r="AV501" s="247"/>
      <c r="AW501" s="247"/>
      <c r="AX501" s="247"/>
      <c r="AY501" s="247"/>
      <c r="AZ501" s="248"/>
    </row>
    <row r="502" spans="1:53" s="109" customFormat="1" outlineLevel="1">
      <c r="A502" s="578" t="str">
        <f t="shared" si="90"/>
        <v>1</v>
      </c>
      <c r="C502" s="104"/>
      <c r="D502" s="104" t="s">
        <v>1481</v>
      </c>
      <c r="L502" s="370" t="s">
        <v>102</v>
      </c>
      <c r="M502" s="371" t="s">
        <v>580</v>
      </c>
      <c r="N502" s="372" t="s">
        <v>351</v>
      </c>
      <c r="O502" s="374">
        <f>O503+O514+O515++O525+O526+O527+O529+O530+O531+O532+O535</f>
        <v>6</v>
      </c>
      <c r="P502" s="374">
        <f>P503+P514+P515++P525+P526+P527+P529+P530+P531+P532+P535</f>
        <v>15.27</v>
      </c>
      <c r="Q502" s="374">
        <f>Q503+Q514+Q515++Q525+Q526+Q527+Q529+Q530+Q531+Q532+Q535</f>
        <v>8.734</v>
      </c>
      <c r="R502" s="373">
        <f t="shared" ref="R502:R514" si="92">Q502-P502</f>
        <v>-6.5359999999999996</v>
      </c>
      <c r="S502" s="374">
        <f t="shared" ref="S502:AM502" si="93">S503+S514+S515++S525+S526+S527+S529+S530+S531+S532+S535</f>
        <v>15.27</v>
      </c>
      <c r="T502" s="374">
        <f t="shared" si="93"/>
        <v>9.8000000000000007</v>
      </c>
      <c r="U502" s="374">
        <f t="shared" si="93"/>
        <v>10</v>
      </c>
      <c r="V502" s="374">
        <f t="shared" si="93"/>
        <v>10.5</v>
      </c>
      <c r="W502" s="374">
        <f t="shared" si="93"/>
        <v>11</v>
      </c>
      <c r="X502" s="374">
        <f t="shared" si="93"/>
        <v>11.5</v>
      </c>
      <c r="Y502" s="374">
        <f t="shared" si="93"/>
        <v>0</v>
      </c>
      <c r="Z502" s="374">
        <f t="shared" si="93"/>
        <v>0</v>
      </c>
      <c r="AA502" s="374">
        <f t="shared" si="93"/>
        <v>0</v>
      </c>
      <c r="AB502" s="374">
        <f t="shared" si="93"/>
        <v>0</v>
      </c>
      <c r="AC502" s="374">
        <f t="shared" si="93"/>
        <v>0</v>
      </c>
      <c r="AD502" s="374">
        <f t="shared" si="93"/>
        <v>9.8000000000000007</v>
      </c>
      <c r="AE502" s="374">
        <f t="shared" si="93"/>
        <v>9.8000000000000007</v>
      </c>
      <c r="AF502" s="374">
        <f t="shared" si="93"/>
        <v>9.8000000000000007</v>
      </c>
      <c r="AG502" s="374">
        <f t="shared" si="93"/>
        <v>9.8000000000000007</v>
      </c>
      <c r="AH502" s="374">
        <f t="shared" si="93"/>
        <v>9.8000000000000007</v>
      </c>
      <c r="AI502" s="374">
        <f t="shared" si="93"/>
        <v>0</v>
      </c>
      <c r="AJ502" s="374">
        <f t="shared" si="93"/>
        <v>0</v>
      </c>
      <c r="AK502" s="374">
        <f t="shared" si="93"/>
        <v>0</v>
      </c>
      <c r="AL502" s="374">
        <f t="shared" si="93"/>
        <v>0</v>
      </c>
      <c r="AM502" s="374">
        <f t="shared" si="93"/>
        <v>0</v>
      </c>
      <c r="AN502" s="373">
        <f t="shared" ref="AN502:AN508" si="94">IF(S502=0,0,(AD502-S502)/S502*100)</f>
        <v>-35.8218729535036</v>
      </c>
      <c r="AO502" s="373">
        <f t="shared" ref="AO502:AW508" si="95">IF(AD502=0,0,(AE502-AD502)/AD502*100)</f>
        <v>0</v>
      </c>
      <c r="AP502" s="373">
        <f t="shared" si="95"/>
        <v>0</v>
      </c>
      <c r="AQ502" s="373">
        <f t="shared" si="95"/>
        <v>0</v>
      </c>
      <c r="AR502" s="373">
        <f t="shared" si="95"/>
        <v>0</v>
      </c>
      <c r="AS502" s="373">
        <f t="shared" si="95"/>
        <v>-100</v>
      </c>
      <c r="AT502" s="373">
        <f t="shared" si="95"/>
        <v>0</v>
      </c>
      <c r="AU502" s="373">
        <f t="shared" si="95"/>
        <v>0</v>
      </c>
      <c r="AV502" s="373">
        <f t="shared" si="95"/>
        <v>0</v>
      </c>
      <c r="AW502" s="373">
        <f t="shared" si="95"/>
        <v>0</v>
      </c>
      <c r="AX502" s="183"/>
      <c r="AY502" s="183"/>
      <c r="AZ502" s="183"/>
      <c r="BA502" s="106"/>
    </row>
    <row r="503" spans="1:53" s="109" customFormat="1" ht="22.5" outlineLevel="1">
      <c r="A503" s="578" t="str">
        <f t="shared" si="90"/>
        <v>1</v>
      </c>
      <c r="C503" s="104"/>
      <c r="D503" s="104" t="s">
        <v>1492</v>
      </c>
      <c r="L503" s="395" t="s">
        <v>17</v>
      </c>
      <c r="M503" s="550" t="s">
        <v>581</v>
      </c>
      <c r="N503" s="396" t="s">
        <v>351</v>
      </c>
      <c r="O503" s="374">
        <f>SUM(O504:O513)</f>
        <v>0</v>
      </c>
      <c r="P503" s="373">
        <f>SUM(P504:P513)</f>
        <v>0</v>
      </c>
      <c r="Q503" s="373">
        <f>SUM(Q504:Q513)</f>
        <v>0</v>
      </c>
      <c r="R503" s="373">
        <f t="shared" si="92"/>
        <v>0</v>
      </c>
      <c r="S503" s="373">
        <f t="shared" ref="S503:AM503" si="96">SUM(S504:S513)</f>
        <v>0</v>
      </c>
      <c r="T503" s="374">
        <f t="shared" si="96"/>
        <v>0</v>
      </c>
      <c r="U503" s="373">
        <f t="shared" si="96"/>
        <v>0</v>
      </c>
      <c r="V503" s="373">
        <f t="shared" si="96"/>
        <v>0</v>
      </c>
      <c r="W503" s="373">
        <f t="shared" si="96"/>
        <v>0</v>
      </c>
      <c r="X503" s="373">
        <f t="shared" si="96"/>
        <v>0</v>
      </c>
      <c r="Y503" s="373">
        <f t="shared" si="96"/>
        <v>0</v>
      </c>
      <c r="Z503" s="373">
        <f t="shared" si="96"/>
        <v>0</v>
      </c>
      <c r="AA503" s="373">
        <f t="shared" si="96"/>
        <v>0</v>
      </c>
      <c r="AB503" s="373">
        <f t="shared" si="96"/>
        <v>0</v>
      </c>
      <c r="AC503" s="373">
        <f t="shared" si="96"/>
        <v>0</v>
      </c>
      <c r="AD503" s="374">
        <f t="shared" si="96"/>
        <v>0</v>
      </c>
      <c r="AE503" s="373">
        <f t="shared" si="96"/>
        <v>0</v>
      </c>
      <c r="AF503" s="373">
        <f t="shared" si="96"/>
        <v>0</v>
      </c>
      <c r="AG503" s="373">
        <f t="shared" si="96"/>
        <v>0</v>
      </c>
      <c r="AH503" s="373">
        <f t="shared" si="96"/>
        <v>0</v>
      </c>
      <c r="AI503" s="373">
        <f t="shared" si="96"/>
        <v>0</v>
      </c>
      <c r="AJ503" s="373">
        <f t="shared" si="96"/>
        <v>0</v>
      </c>
      <c r="AK503" s="373">
        <f t="shared" si="96"/>
        <v>0</v>
      </c>
      <c r="AL503" s="373">
        <f t="shared" si="96"/>
        <v>0</v>
      </c>
      <c r="AM503" s="373">
        <f t="shared" si="96"/>
        <v>0</v>
      </c>
      <c r="AN503" s="373">
        <f t="shared" si="94"/>
        <v>0</v>
      </c>
      <c r="AO503" s="373">
        <f t="shared" si="95"/>
        <v>0</v>
      </c>
      <c r="AP503" s="373">
        <f t="shared" si="95"/>
        <v>0</v>
      </c>
      <c r="AQ503" s="373">
        <f t="shared" si="95"/>
        <v>0</v>
      </c>
      <c r="AR503" s="373">
        <f t="shared" si="95"/>
        <v>0</v>
      </c>
      <c r="AS503" s="373">
        <f t="shared" si="95"/>
        <v>0</v>
      </c>
      <c r="AT503" s="373">
        <f t="shared" si="95"/>
        <v>0</v>
      </c>
      <c r="AU503" s="373">
        <f t="shared" si="95"/>
        <v>0</v>
      </c>
      <c r="AV503" s="373">
        <f t="shared" si="95"/>
        <v>0</v>
      </c>
      <c r="AW503" s="373">
        <f t="shared" si="95"/>
        <v>0</v>
      </c>
      <c r="AX503" s="549"/>
      <c r="AY503" s="549"/>
      <c r="AZ503" s="549"/>
    </row>
    <row r="504" spans="1:53" s="104" customFormat="1" outlineLevel="1">
      <c r="A504" s="578" t="str">
        <f t="shared" si="90"/>
        <v>1</v>
      </c>
      <c r="B504" s="104" t="s">
        <v>407</v>
      </c>
      <c r="D504" s="104" t="s">
        <v>1604</v>
      </c>
      <c r="L504" s="375" t="s">
        <v>136</v>
      </c>
      <c r="M504" s="383" t="s">
        <v>582</v>
      </c>
      <c r="N504" s="377" t="s">
        <v>351</v>
      </c>
      <c r="O504" s="391">
        <f>SUMIFS(Покупка!O$15:O$30,Покупка!$A$15:$A$30,$A504,Покупка!$M$15:$M$30,$B504)</f>
        <v>0</v>
      </c>
      <c r="P504" s="391">
        <f>SUMIFS(Покупка!P$15:P$30,Покупка!$A$15:$A$30,$A504,Покупка!$M$15:$M$30,$B504)</f>
        <v>0</v>
      </c>
      <c r="Q504" s="391">
        <f>SUMIFS(Покупка!Q$15:Q$30,Покупка!$A$15:$A$30,$A504,Покупка!$M$15:$M$30,$B504)</f>
        <v>0</v>
      </c>
      <c r="R504" s="379">
        <f t="shared" si="92"/>
        <v>0</v>
      </c>
      <c r="S504" s="391">
        <f>SUMIFS(Покупка!R$15:R$30,Покупка!$A$15:$A$30,$A504,Покупка!$M$15:$M$30,$B504)</f>
        <v>0</v>
      </c>
      <c r="T504" s="391">
        <f>SUMIFS(Покупка!S$15:S$30,Покупка!$A$15:$A$30,$A504,Покупка!$M$15:$M$30,$B504)</f>
        <v>0</v>
      </c>
      <c r="U504" s="391">
        <f>SUMIFS(Покупка!T$15:T$30,Покупка!$A$15:$A$30,$A504,Покупка!$M$15:$M$30,$B504)</f>
        <v>0</v>
      </c>
      <c r="V504" s="391">
        <f>SUMIFS(Покупка!U$15:U$30,Покупка!$A$15:$A$30,$A504,Покупка!$M$15:$M$30,$B504)</f>
        <v>0</v>
      </c>
      <c r="W504" s="391">
        <f>SUMIFS(Покупка!V$15:V$30,Покупка!$A$15:$A$30,$A504,Покупка!$M$15:$M$30,$B504)</f>
        <v>0</v>
      </c>
      <c r="X504" s="391">
        <f>SUMIFS(Покупка!W$15:W$30,Покупка!$A$15:$A$30,$A504,Покупка!$M$15:$M$30,$B504)</f>
        <v>0</v>
      </c>
      <c r="Y504" s="391">
        <f>SUMIFS(Покупка!X$15:X$30,Покупка!$A$15:$A$30,$A504,Покупка!$M$15:$M$30,$B504)</f>
        <v>0</v>
      </c>
      <c r="Z504" s="391">
        <f>SUMIFS(Покупка!Y$15:Y$30,Покупка!$A$15:$A$30,$A504,Покупка!$M$15:$M$30,$B504)</f>
        <v>0</v>
      </c>
      <c r="AA504" s="391">
        <f>SUMIFS(Покупка!Z$15:Z$30,Покупка!$A$15:$A$30,$A504,Покупка!$M$15:$M$30,$B504)</f>
        <v>0</v>
      </c>
      <c r="AB504" s="391">
        <f>SUMIFS(Покупка!AA$15:AA$30,Покупка!$A$15:$A$30,$A504,Покупка!$M$15:$M$30,$B504)</f>
        <v>0</v>
      </c>
      <c r="AC504" s="391">
        <f>SUMIFS(Покупка!AB$15:AB$30,Покупка!$A$15:$A$30,$A504,Покупка!$M$15:$M$30,$B504)</f>
        <v>0</v>
      </c>
      <c r="AD504" s="391">
        <f>SUMIFS(Покупка!AC$15:AC$30,Покупка!$A$15:$A$30,$A504,Покупка!$M$15:$M$30,$B504)</f>
        <v>0</v>
      </c>
      <c r="AE504" s="391">
        <f>SUMIFS(Покупка!AD$15:AD$30,Покупка!$A$15:$A$30,$A504,Покупка!$M$15:$M$30,$B504)</f>
        <v>0</v>
      </c>
      <c r="AF504" s="391">
        <f>SUMIFS(Покупка!AE$15:AE$30,Покупка!$A$15:$A$30,$A504,Покупка!$M$15:$M$30,$B504)</f>
        <v>0</v>
      </c>
      <c r="AG504" s="391">
        <f>SUMIFS(Покупка!AF$15:AF$30,Покупка!$A$15:$A$30,$A504,Покупка!$M$15:$M$30,$B504)</f>
        <v>0</v>
      </c>
      <c r="AH504" s="391">
        <f>SUMIFS(Покупка!AG$15:AG$30,Покупка!$A$15:$A$30,$A504,Покупка!$M$15:$M$30,$B504)</f>
        <v>0</v>
      </c>
      <c r="AI504" s="391">
        <f>SUMIFS(Покупка!AH$15:AH$30,Покупка!$A$15:$A$30,$A504,Покупка!$M$15:$M$30,$B504)</f>
        <v>0</v>
      </c>
      <c r="AJ504" s="391">
        <f>SUMIFS(Покупка!AI$15:AI$30,Покупка!$A$15:$A$30,$A504,Покупка!$M$15:$M$30,$B504)</f>
        <v>0</v>
      </c>
      <c r="AK504" s="391">
        <f>SUMIFS(Покупка!AJ$15:AJ$30,Покупка!$A$15:$A$30,$A504,Покупка!$M$15:$M$30,$B504)</f>
        <v>0</v>
      </c>
      <c r="AL504" s="391">
        <f>SUMIFS(Покупка!AK$15:AK$30,Покупка!$A$15:$A$30,$A504,Покупка!$M$15:$M$30,$B504)</f>
        <v>0</v>
      </c>
      <c r="AM504" s="391">
        <f>SUMIFS(Покупка!AL$15:AL$30,Покупка!$A$15:$A$30,$A504,Покупка!$M$15:$M$30,$B504)</f>
        <v>0</v>
      </c>
      <c r="AN504" s="379">
        <f t="shared" si="94"/>
        <v>0</v>
      </c>
      <c r="AO504" s="379">
        <f t="shared" si="95"/>
        <v>0</v>
      </c>
      <c r="AP504" s="379">
        <f t="shared" si="95"/>
        <v>0</v>
      </c>
      <c r="AQ504" s="379">
        <f t="shared" si="95"/>
        <v>0</v>
      </c>
      <c r="AR504" s="379">
        <f t="shared" si="95"/>
        <v>0</v>
      </c>
      <c r="AS504" s="379">
        <f t="shared" si="95"/>
        <v>0</v>
      </c>
      <c r="AT504" s="379">
        <f t="shared" si="95"/>
        <v>0</v>
      </c>
      <c r="AU504" s="379">
        <f t="shared" si="95"/>
        <v>0</v>
      </c>
      <c r="AV504" s="379">
        <f t="shared" si="95"/>
        <v>0</v>
      </c>
      <c r="AW504" s="379">
        <f t="shared" si="95"/>
        <v>0</v>
      </c>
      <c r="AX504" s="183"/>
      <c r="AY504" s="183"/>
      <c r="AZ504" s="183"/>
    </row>
    <row r="505" spans="1:53" s="104" customFormat="1" outlineLevel="1">
      <c r="A505" s="578" t="str">
        <f t="shared" si="90"/>
        <v>1</v>
      </c>
      <c r="B505" s="104" t="s">
        <v>408</v>
      </c>
      <c r="D505" s="104" t="s">
        <v>1605</v>
      </c>
      <c r="L505" s="375" t="s">
        <v>583</v>
      </c>
      <c r="M505" s="383" t="s">
        <v>584</v>
      </c>
      <c r="N505" s="377" t="s">
        <v>351</v>
      </c>
      <c r="O505" s="391">
        <f>SUMIFS(Покупка!O$15:O$30,Покупка!$A$15:$A$30,$A505,Покупка!$M$15:$M$30,$B505)</f>
        <v>0</v>
      </c>
      <c r="P505" s="391">
        <f>SUMIFS(Покупка!P$15:P$30,Покупка!$A$15:$A$30,$A505,Покупка!$M$15:$M$30,$B505)</f>
        <v>0</v>
      </c>
      <c r="Q505" s="391">
        <f>SUMIFS(Покупка!Q$15:Q$30,Покупка!$A$15:$A$30,$A505,Покупка!$M$15:$M$30,$B505)</f>
        <v>0</v>
      </c>
      <c r="R505" s="379">
        <f t="shared" si="92"/>
        <v>0</v>
      </c>
      <c r="S505" s="391">
        <f>SUMIFS(Покупка!R$15:R$30,Покупка!$A$15:$A$30,$A505,Покупка!$M$15:$M$30,$B505)</f>
        <v>0</v>
      </c>
      <c r="T505" s="391">
        <f>SUMIFS(Покупка!S$15:S$30,Покупка!$A$15:$A$30,$A505,Покупка!$M$15:$M$30,$B505)</f>
        <v>0</v>
      </c>
      <c r="U505" s="391">
        <f>SUMIFS(Покупка!T$15:T$30,Покупка!$A$15:$A$30,$A505,Покупка!$M$15:$M$30,$B505)</f>
        <v>0</v>
      </c>
      <c r="V505" s="391">
        <f>SUMIFS(Покупка!U$15:U$30,Покупка!$A$15:$A$30,$A505,Покупка!$M$15:$M$30,$B505)</f>
        <v>0</v>
      </c>
      <c r="W505" s="391">
        <f>SUMIFS(Покупка!V$15:V$30,Покупка!$A$15:$A$30,$A505,Покупка!$M$15:$M$30,$B505)</f>
        <v>0</v>
      </c>
      <c r="X505" s="391">
        <f>SUMIFS(Покупка!W$15:W$30,Покупка!$A$15:$A$30,$A505,Покупка!$M$15:$M$30,$B505)</f>
        <v>0</v>
      </c>
      <c r="Y505" s="391">
        <f>SUMIFS(Покупка!X$15:X$30,Покупка!$A$15:$A$30,$A505,Покупка!$M$15:$M$30,$B505)</f>
        <v>0</v>
      </c>
      <c r="Z505" s="391">
        <f>SUMIFS(Покупка!Y$15:Y$30,Покупка!$A$15:$A$30,$A505,Покупка!$M$15:$M$30,$B505)</f>
        <v>0</v>
      </c>
      <c r="AA505" s="391">
        <f>SUMIFS(Покупка!Z$15:Z$30,Покупка!$A$15:$A$30,$A505,Покупка!$M$15:$M$30,$B505)</f>
        <v>0</v>
      </c>
      <c r="AB505" s="391">
        <f>SUMIFS(Покупка!AA$15:AA$30,Покупка!$A$15:$A$30,$A505,Покупка!$M$15:$M$30,$B505)</f>
        <v>0</v>
      </c>
      <c r="AC505" s="391">
        <f>SUMIFS(Покупка!AB$15:AB$30,Покупка!$A$15:$A$30,$A505,Покупка!$M$15:$M$30,$B505)</f>
        <v>0</v>
      </c>
      <c r="AD505" s="391">
        <f>SUMIFS(Покупка!AC$15:AC$30,Покупка!$A$15:$A$30,$A505,Покупка!$M$15:$M$30,$B505)</f>
        <v>0</v>
      </c>
      <c r="AE505" s="391">
        <f>SUMIFS(Покупка!AD$15:AD$30,Покупка!$A$15:$A$30,$A505,Покупка!$M$15:$M$30,$B505)</f>
        <v>0</v>
      </c>
      <c r="AF505" s="391">
        <f>SUMIFS(Покупка!AE$15:AE$30,Покупка!$A$15:$A$30,$A505,Покупка!$M$15:$M$30,$B505)</f>
        <v>0</v>
      </c>
      <c r="AG505" s="391">
        <f>SUMIFS(Покупка!AF$15:AF$30,Покупка!$A$15:$A$30,$A505,Покупка!$M$15:$M$30,$B505)</f>
        <v>0</v>
      </c>
      <c r="AH505" s="391">
        <f>SUMIFS(Покупка!AG$15:AG$30,Покупка!$A$15:$A$30,$A505,Покупка!$M$15:$M$30,$B505)</f>
        <v>0</v>
      </c>
      <c r="AI505" s="391">
        <f>SUMIFS(Покупка!AH$15:AH$30,Покупка!$A$15:$A$30,$A505,Покупка!$M$15:$M$30,$B505)</f>
        <v>0</v>
      </c>
      <c r="AJ505" s="391">
        <f>SUMIFS(Покупка!AI$15:AI$30,Покупка!$A$15:$A$30,$A505,Покупка!$M$15:$M$30,$B505)</f>
        <v>0</v>
      </c>
      <c r="AK505" s="391">
        <f>SUMIFS(Покупка!AJ$15:AJ$30,Покупка!$A$15:$A$30,$A505,Покупка!$M$15:$M$30,$B505)</f>
        <v>0</v>
      </c>
      <c r="AL505" s="391">
        <f>SUMIFS(Покупка!AK$15:AK$30,Покупка!$A$15:$A$30,$A505,Покупка!$M$15:$M$30,$B505)</f>
        <v>0</v>
      </c>
      <c r="AM505" s="391">
        <f>SUMIFS(Покупка!AL$15:AL$30,Покупка!$A$15:$A$30,$A505,Покупка!$M$15:$M$30,$B505)</f>
        <v>0</v>
      </c>
      <c r="AN505" s="379">
        <f t="shared" si="94"/>
        <v>0</v>
      </c>
      <c r="AO505" s="379">
        <f t="shared" si="95"/>
        <v>0</v>
      </c>
      <c r="AP505" s="379">
        <f t="shared" si="95"/>
        <v>0</v>
      </c>
      <c r="AQ505" s="379">
        <f t="shared" si="95"/>
        <v>0</v>
      </c>
      <c r="AR505" s="379">
        <f t="shared" si="95"/>
        <v>0</v>
      </c>
      <c r="AS505" s="379">
        <f t="shared" si="95"/>
        <v>0</v>
      </c>
      <c r="AT505" s="379">
        <f t="shared" si="95"/>
        <v>0</v>
      </c>
      <c r="AU505" s="379">
        <f t="shared" si="95"/>
        <v>0</v>
      </c>
      <c r="AV505" s="379">
        <f t="shared" si="95"/>
        <v>0</v>
      </c>
      <c r="AW505" s="379">
        <f t="shared" si="95"/>
        <v>0</v>
      </c>
      <c r="AX505" s="183"/>
      <c r="AY505" s="183"/>
      <c r="AZ505" s="183"/>
    </row>
    <row r="506" spans="1:53" s="104" customFormat="1" outlineLevel="1">
      <c r="A506" s="578" t="str">
        <f t="shared" si="90"/>
        <v>1</v>
      </c>
      <c r="B506" s="104" t="s">
        <v>403</v>
      </c>
      <c r="D506" s="104" t="s">
        <v>1660</v>
      </c>
      <c r="L506" s="375" t="s">
        <v>585</v>
      </c>
      <c r="M506" s="383" t="s">
        <v>586</v>
      </c>
      <c r="N506" s="377" t="s">
        <v>351</v>
      </c>
      <c r="O506" s="391">
        <f>SUMIFS(Покупка!O$15:O$30,Покупка!$A$15:$A$30,$A506,Покупка!$M$15:$M$30,$B506)</f>
        <v>0</v>
      </c>
      <c r="P506" s="391">
        <f>SUMIFS(Покупка!P$15:P$30,Покупка!$A$15:$A$30,$A506,Покупка!$M$15:$M$30,$B506)</f>
        <v>0</v>
      </c>
      <c r="Q506" s="391">
        <f>SUMIFS(Покупка!Q$15:Q$30,Покупка!$A$15:$A$30,$A506,Покупка!$M$15:$M$30,$B506)</f>
        <v>0</v>
      </c>
      <c r="R506" s="379">
        <f t="shared" si="92"/>
        <v>0</v>
      </c>
      <c r="S506" s="391">
        <f>SUMIFS(Покупка!R$15:R$30,Покупка!$A$15:$A$30,$A506,Покупка!$M$15:$M$30,$B506)</f>
        <v>0</v>
      </c>
      <c r="T506" s="391">
        <f>SUMIFS(Покупка!S$15:S$30,Покупка!$A$15:$A$30,$A506,Покупка!$M$15:$M$30,$B506)</f>
        <v>0</v>
      </c>
      <c r="U506" s="391">
        <f>SUMIFS(Покупка!T$15:T$30,Покупка!$A$15:$A$30,$A506,Покупка!$M$15:$M$30,$B506)</f>
        <v>0</v>
      </c>
      <c r="V506" s="391">
        <f>SUMIFS(Покупка!U$15:U$30,Покупка!$A$15:$A$30,$A506,Покупка!$M$15:$M$30,$B506)</f>
        <v>0</v>
      </c>
      <c r="W506" s="391">
        <f>SUMIFS(Покупка!V$15:V$30,Покупка!$A$15:$A$30,$A506,Покупка!$M$15:$M$30,$B506)</f>
        <v>0</v>
      </c>
      <c r="X506" s="391">
        <f>SUMIFS(Покупка!W$15:W$30,Покупка!$A$15:$A$30,$A506,Покупка!$M$15:$M$30,$B506)</f>
        <v>0</v>
      </c>
      <c r="Y506" s="391">
        <f>SUMIFS(Покупка!X$15:X$30,Покупка!$A$15:$A$30,$A506,Покупка!$M$15:$M$30,$B506)</f>
        <v>0</v>
      </c>
      <c r="Z506" s="391">
        <f>SUMIFS(Покупка!Y$15:Y$30,Покупка!$A$15:$A$30,$A506,Покупка!$M$15:$M$30,$B506)</f>
        <v>0</v>
      </c>
      <c r="AA506" s="391">
        <f>SUMIFS(Покупка!Z$15:Z$30,Покупка!$A$15:$A$30,$A506,Покупка!$M$15:$M$30,$B506)</f>
        <v>0</v>
      </c>
      <c r="AB506" s="391">
        <f>SUMIFS(Покупка!AA$15:AA$30,Покупка!$A$15:$A$30,$A506,Покупка!$M$15:$M$30,$B506)</f>
        <v>0</v>
      </c>
      <c r="AC506" s="391">
        <f>SUMIFS(Покупка!AB$15:AB$30,Покупка!$A$15:$A$30,$A506,Покупка!$M$15:$M$30,$B506)</f>
        <v>0</v>
      </c>
      <c r="AD506" s="391">
        <f>SUMIFS(Покупка!AC$15:AC$30,Покупка!$A$15:$A$30,$A506,Покупка!$M$15:$M$30,$B506)</f>
        <v>0</v>
      </c>
      <c r="AE506" s="391">
        <f>SUMIFS(Покупка!AD$15:AD$30,Покупка!$A$15:$A$30,$A506,Покупка!$M$15:$M$30,$B506)</f>
        <v>0</v>
      </c>
      <c r="AF506" s="391">
        <f>SUMIFS(Покупка!AE$15:AE$30,Покупка!$A$15:$A$30,$A506,Покупка!$M$15:$M$30,$B506)</f>
        <v>0</v>
      </c>
      <c r="AG506" s="391">
        <f>SUMIFS(Покупка!AF$15:AF$30,Покупка!$A$15:$A$30,$A506,Покупка!$M$15:$M$30,$B506)</f>
        <v>0</v>
      </c>
      <c r="AH506" s="391">
        <f>SUMIFS(Покупка!AG$15:AG$30,Покупка!$A$15:$A$30,$A506,Покупка!$M$15:$M$30,$B506)</f>
        <v>0</v>
      </c>
      <c r="AI506" s="391">
        <f>SUMIFS(Покупка!AH$15:AH$30,Покупка!$A$15:$A$30,$A506,Покупка!$M$15:$M$30,$B506)</f>
        <v>0</v>
      </c>
      <c r="AJ506" s="391">
        <f>SUMIFS(Покупка!AI$15:AI$30,Покупка!$A$15:$A$30,$A506,Покупка!$M$15:$M$30,$B506)</f>
        <v>0</v>
      </c>
      <c r="AK506" s="391">
        <f>SUMIFS(Покупка!AJ$15:AJ$30,Покупка!$A$15:$A$30,$A506,Покупка!$M$15:$M$30,$B506)</f>
        <v>0</v>
      </c>
      <c r="AL506" s="391">
        <f>SUMIFS(Покупка!AK$15:AK$30,Покупка!$A$15:$A$30,$A506,Покупка!$M$15:$M$30,$B506)</f>
        <v>0</v>
      </c>
      <c r="AM506" s="391">
        <f>SUMIFS(Покупка!AL$15:AL$30,Покупка!$A$15:$A$30,$A506,Покупка!$M$15:$M$30,$B506)</f>
        <v>0</v>
      </c>
      <c r="AN506" s="379">
        <f t="shared" si="94"/>
        <v>0</v>
      </c>
      <c r="AO506" s="379">
        <f t="shared" si="95"/>
        <v>0</v>
      </c>
      <c r="AP506" s="379">
        <f t="shared" si="95"/>
        <v>0</v>
      </c>
      <c r="AQ506" s="379">
        <f t="shared" si="95"/>
        <v>0</v>
      </c>
      <c r="AR506" s="379">
        <f t="shared" si="95"/>
        <v>0</v>
      </c>
      <c r="AS506" s="379">
        <f t="shared" si="95"/>
        <v>0</v>
      </c>
      <c r="AT506" s="379">
        <f t="shared" si="95"/>
        <v>0</v>
      </c>
      <c r="AU506" s="379">
        <f t="shared" si="95"/>
        <v>0</v>
      </c>
      <c r="AV506" s="379">
        <f t="shared" si="95"/>
        <v>0</v>
      </c>
      <c r="AW506" s="379">
        <f t="shared" si="95"/>
        <v>0</v>
      </c>
      <c r="AX506" s="183"/>
      <c r="AY506" s="183"/>
      <c r="AZ506" s="183"/>
    </row>
    <row r="507" spans="1:53" s="104" customFormat="1" outlineLevel="1">
      <c r="A507" s="578" t="str">
        <f t="shared" si="90"/>
        <v>1</v>
      </c>
      <c r="B507" s="104" t="s">
        <v>401</v>
      </c>
      <c r="D507" s="104" t="s">
        <v>1661</v>
      </c>
      <c r="L507" s="375" t="s">
        <v>587</v>
      </c>
      <c r="M507" s="383" t="s">
        <v>588</v>
      </c>
      <c r="N507" s="377" t="s">
        <v>351</v>
      </c>
      <c r="O507" s="391">
        <f>SUMIFS(Покупка!O$15:O$30,Покупка!$A$15:$A$30,$A507,Покупка!$M$15:$M$30,$B507)</f>
        <v>0</v>
      </c>
      <c r="P507" s="391">
        <f>SUMIFS(Покупка!P$15:P$30,Покупка!$A$15:$A$30,$A507,Покупка!$M$15:$M$30,$B507)</f>
        <v>0</v>
      </c>
      <c r="Q507" s="391">
        <f>SUMIFS(Покупка!Q$15:Q$30,Покупка!$A$15:$A$30,$A507,Покупка!$M$15:$M$30,$B507)</f>
        <v>0</v>
      </c>
      <c r="R507" s="379">
        <f t="shared" si="92"/>
        <v>0</v>
      </c>
      <c r="S507" s="391">
        <f>SUMIFS(Покупка!R$15:R$30,Покупка!$A$15:$A$30,$A507,Покупка!$M$15:$M$30,$B507)</f>
        <v>0</v>
      </c>
      <c r="T507" s="391">
        <f>SUMIFS(Покупка!S$15:S$30,Покупка!$A$15:$A$30,$A507,Покупка!$M$15:$M$30,$B507)</f>
        <v>0</v>
      </c>
      <c r="U507" s="391">
        <f>SUMIFS(Покупка!T$15:T$30,Покупка!$A$15:$A$30,$A507,Покупка!$M$15:$M$30,$B507)</f>
        <v>0</v>
      </c>
      <c r="V507" s="391">
        <f>SUMIFS(Покупка!U$15:U$30,Покупка!$A$15:$A$30,$A507,Покупка!$M$15:$M$30,$B507)</f>
        <v>0</v>
      </c>
      <c r="W507" s="391">
        <f>SUMIFS(Покупка!V$15:V$30,Покупка!$A$15:$A$30,$A507,Покупка!$M$15:$M$30,$B507)</f>
        <v>0</v>
      </c>
      <c r="X507" s="391">
        <f>SUMIFS(Покупка!W$15:W$30,Покупка!$A$15:$A$30,$A507,Покупка!$M$15:$M$30,$B507)</f>
        <v>0</v>
      </c>
      <c r="Y507" s="391">
        <f>SUMIFS(Покупка!X$15:X$30,Покупка!$A$15:$A$30,$A507,Покупка!$M$15:$M$30,$B507)</f>
        <v>0</v>
      </c>
      <c r="Z507" s="391">
        <f>SUMIFS(Покупка!Y$15:Y$30,Покупка!$A$15:$A$30,$A507,Покупка!$M$15:$M$30,$B507)</f>
        <v>0</v>
      </c>
      <c r="AA507" s="391">
        <f>SUMIFS(Покупка!Z$15:Z$30,Покупка!$A$15:$A$30,$A507,Покупка!$M$15:$M$30,$B507)</f>
        <v>0</v>
      </c>
      <c r="AB507" s="391">
        <f>SUMIFS(Покупка!AA$15:AA$30,Покупка!$A$15:$A$30,$A507,Покупка!$M$15:$M$30,$B507)</f>
        <v>0</v>
      </c>
      <c r="AC507" s="391">
        <f>SUMIFS(Покупка!AB$15:AB$30,Покупка!$A$15:$A$30,$A507,Покупка!$M$15:$M$30,$B507)</f>
        <v>0</v>
      </c>
      <c r="AD507" s="391">
        <f>SUMIFS(Покупка!AC$15:AC$30,Покупка!$A$15:$A$30,$A507,Покупка!$M$15:$M$30,$B507)</f>
        <v>0</v>
      </c>
      <c r="AE507" s="391">
        <f>SUMIFS(Покупка!AD$15:AD$30,Покупка!$A$15:$A$30,$A507,Покупка!$M$15:$M$30,$B507)</f>
        <v>0</v>
      </c>
      <c r="AF507" s="391">
        <f>SUMIFS(Покупка!AE$15:AE$30,Покупка!$A$15:$A$30,$A507,Покупка!$M$15:$M$30,$B507)</f>
        <v>0</v>
      </c>
      <c r="AG507" s="391">
        <f>SUMIFS(Покупка!AF$15:AF$30,Покупка!$A$15:$A$30,$A507,Покупка!$M$15:$M$30,$B507)</f>
        <v>0</v>
      </c>
      <c r="AH507" s="391">
        <f>SUMIFS(Покупка!AG$15:AG$30,Покупка!$A$15:$A$30,$A507,Покупка!$M$15:$M$30,$B507)</f>
        <v>0</v>
      </c>
      <c r="AI507" s="391">
        <f>SUMIFS(Покупка!AH$15:AH$30,Покупка!$A$15:$A$30,$A507,Покупка!$M$15:$M$30,$B507)</f>
        <v>0</v>
      </c>
      <c r="AJ507" s="391">
        <f>SUMIFS(Покупка!AI$15:AI$30,Покупка!$A$15:$A$30,$A507,Покупка!$M$15:$M$30,$B507)</f>
        <v>0</v>
      </c>
      <c r="AK507" s="391">
        <f>SUMIFS(Покупка!AJ$15:AJ$30,Покупка!$A$15:$A$30,$A507,Покупка!$M$15:$M$30,$B507)</f>
        <v>0</v>
      </c>
      <c r="AL507" s="391">
        <f>SUMIFS(Покупка!AK$15:AK$30,Покупка!$A$15:$A$30,$A507,Покупка!$M$15:$M$30,$B507)</f>
        <v>0</v>
      </c>
      <c r="AM507" s="391">
        <f>SUMIFS(Покупка!AL$15:AL$30,Покупка!$A$15:$A$30,$A507,Покупка!$M$15:$M$30,$B507)</f>
        <v>0</v>
      </c>
      <c r="AN507" s="379">
        <f t="shared" si="94"/>
        <v>0</v>
      </c>
      <c r="AO507" s="379">
        <f t="shared" si="95"/>
        <v>0</v>
      </c>
      <c r="AP507" s="379">
        <f t="shared" si="95"/>
        <v>0</v>
      </c>
      <c r="AQ507" s="379">
        <f t="shared" si="95"/>
        <v>0</v>
      </c>
      <c r="AR507" s="379">
        <f t="shared" si="95"/>
        <v>0</v>
      </c>
      <c r="AS507" s="379">
        <f t="shared" si="95"/>
        <v>0</v>
      </c>
      <c r="AT507" s="379">
        <f t="shared" si="95"/>
        <v>0</v>
      </c>
      <c r="AU507" s="379">
        <f t="shared" si="95"/>
        <v>0</v>
      </c>
      <c r="AV507" s="379">
        <f t="shared" si="95"/>
        <v>0</v>
      </c>
      <c r="AW507" s="379">
        <f t="shared" si="95"/>
        <v>0</v>
      </c>
      <c r="AX507" s="183"/>
      <c r="AY507" s="183"/>
      <c r="AZ507" s="183"/>
    </row>
    <row r="508" spans="1:53" s="104" customFormat="1" outlineLevel="1">
      <c r="A508" s="578" t="str">
        <f t="shared" si="90"/>
        <v>1</v>
      </c>
      <c r="B508" s="104" t="s">
        <v>409</v>
      </c>
      <c r="D508" s="104" t="s">
        <v>1662</v>
      </c>
      <c r="L508" s="375" t="s">
        <v>589</v>
      </c>
      <c r="M508" s="383" t="s">
        <v>590</v>
      </c>
      <c r="N508" s="377" t="s">
        <v>351</v>
      </c>
      <c r="O508" s="391">
        <f>SUMIFS(Покупка!O$15:O$30,Покупка!$A$15:$A$30,$A508,Покупка!$M$15:$M$30,$B508)</f>
        <v>0</v>
      </c>
      <c r="P508" s="391">
        <f>SUMIFS(Покупка!P$15:P$30,Покупка!$A$15:$A$30,$A508,Покупка!$M$15:$M$30,$B508)</f>
        <v>0</v>
      </c>
      <c r="Q508" s="391">
        <f>SUMIFS(Покупка!Q$15:Q$30,Покупка!$A$15:$A$30,$A508,Покупка!$M$15:$M$30,$B508)</f>
        <v>0</v>
      </c>
      <c r="R508" s="379">
        <f t="shared" si="92"/>
        <v>0</v>
      </c>
      <c r="S508" s="391">
        <f>SUMIFS(Покупка!R$15:R$30,Покупка!$A$15:$A$30,$A508,Покупка!$M$15:$M$30,$B508)</f>
        <v>0</v>
      </c>
      <c r="T508" s="391">
        <f>SUMIFS(Покупка!S$15:S$30,Покупка!$A$15:$A$30,$A508,Покупка!$M$15:$M$30,$B508)</f>
        <v>0</v>
      </c>
      <c r="U508" s="391">
        <f>SUMIFS(Покупка!T$15:T$30,Покупка!$A$15:$A$30,$A508,Покупка!$M$15:$M$30,$B508)</f>
        <v>0</v>
      </c>
      <c r="V508" s="391">
        <f>SUMIFS(Покупка!U$15:U$30,Покупка!$A$15:$A$30,$A508,Покупка!$M$15:$M$30,$B508)</f>
        <v>0</v>
      </c>
      <c r="W508" s="391">
        <f>SUMIFS(Покупка!V$15:V$30,Покупка!$A$15:$A$30,$A508,Покупка!$M$15:$M$30,$B508)</f>
        <v>0</v>
      </c>
      <c r="X508" s="391">
        <f>SUMIFS(Покупка!W$15:W$30,Покупка!$A$15:$A$30,$A508,Покупка!$M$15:$M$30,$B508)</f>
        <v>0</v>
      </c>
      <c r="Y508" s="391">
        <f>SUMIFS(Покупка!X$15:X$30,Покупка!$A$15:$A$30,$A508,Покупка!$M$15:$M$30,$B508)</f>
        <v>0</v>
      </c>
      <c r="Z508" s="391">
        <f>SUMIFS(Покупка!Y$15:Y$30,Покупка!$A$15:$A$30,$A508,Покупка!$M$15:$M$30,$B508)</f>
        <v>0</v>
      </c>
      <c r="AA508" s="391">
        <f>SUMIFS(Покупка!Z$15:Z$30,Покупка!$A$15:$A$30,$A508,Покупка!$M$15:$M$30,$B508)</f>
        <v>0</v>
      </c>
      <c r="AB508" s="391">
        <f>SUMIFS(Покупка!AA$15:AA$30,Покупка!$A$15:$A$30,$A508,Покупка!$M$15:$M$30,$B508)</f>
        <v>0</v>
      </c>
      <c r="AC508" s="391">
        <f>SUMIFS(Покупка!AB$15:AB$30,Покупка!$A$15:$A$30,$A508,Покупка!$M$15:$M$30,$B508)</f>
        <v>0</v>
      </c>
      <c r="AD508" s="391">
        <f>SUMIFS(Покупка!AC$15:AC$30,Покупка!$A$15:$A$30,$A508,Покупка!$M$15:$M$30,$B508)</f>
        <v>0</v>
      </c>
      <c r="AE508" s="391">
        <f>SUMIFS(Покупка!AD$15:AD$30,Покупка!$A$15:$A$30,$A508,Покупка!$M$15:$M$30,$B508)</f>
        <v>0</v>
      </c>
      <c r="AF508" s="391">
        <f>SUMIFS(Покупка!AE$15:AE$30,Покупка!$A$15:$A$30,$A508,Покупка!$M$15:$M$30,$B508)</f>
        <v>0</v>
      </c>
      <c r="AG508" s="391">
        <f>SUMIFS(Покупка!AF$15:AF$30,Покупка!$A$15:$A$30,$A508,Покупка!$M$15:$M$30,$B508)</f>
        <v>0</v>
      </c>
      <c r="AH508" s="391">
        <f>SUMIFS(Покупка!AG$15:AG$30,Покупка!$A$15:$A$30,$A508,Покупка!$M$15:$M$30,$B508)</f>
        <v>0</v>
      </c>
      <c r="AI508" s="391">
        <f>SUMIFS(Покупка!AH$15:AH$30,Покупка!$A$15:$A$30,$A508,Покупка!$M$15:$M$30,$B508)</f>
        <v>0</v>
      </c>
      <c r="AJ508" s="391">
        <f>SUMIFS(Покупка!AI$15:AI$30,Покупка!$A$15:$A$30,$A508,Покупка!$M$15:$M$30,$B508)</f>
        <v>0</v>
      </c>
      <c r="AK508" s="391">
        <f>SUMIFS(Покупка!AJ$15:AJ$30,Покупка!$A$15:$A$30,$A508,Покупка!$M$15:$M$30,$B508)</f>
        <v>0</v>
      </c>
      <c r="AL508" s="391">
        <f>SUMIFS(Покупка!AK$15:AK$30,Покупка!$A$15:$A$30,$A508,Покупка!$M$15:$M$30,$B508)</f>
        <v>0</v>
      </c>
      <c r="AM508" s="391">
        <f>SUMIFS(Покупка!AL$15:AL$30,Покупка!$A$15:$A$30,$A508,Покупка!$M$15:$M$30,$B508)</f>
        <v>0</v>
      </c>
      <c r="AN508" s="379">
        <f t="shared" si="94"/>
        <v>0</v>
      </c>
      <c r="AO508" s="379">
        <f t="shared" si="95"/>
        <v>0</v>
      </c>
      <c r="AP508" s="379">
        <f t="shared" si="95"/>
        <v>0</v>
      </c>
      <c r="AQ508" s="379">
        <f t="shared" si="95"/>
        <v>0</v>
      </c>
      <c r="AR508" s="379">
        <f t="shared" si="95"/>
        <v>0</v>
      </c>
      <c r="AS508" s="379">
        <f t="shared" si="95"/>
        <v>0</v>
      </c>
      <c r="AT508" s="379">
        <f t="shared" si="95"/>
        <v>0</v>
      </c>
      <c r="AU508" s="379">
        <f t="shared" si="95"/>
        <v>0</v>
      </c>
      <c r="AV508" s="379">
        <f t="shared" si="95"/>
        <v>0</v>
      </c>
      <c r="AW508" s="379">
        <f t="shared" si="95"/>
        <v>0</v>
      </c>
      <c r="AX508" s="183"/>
      <c r="AY508" s="183"/>
      <c r="AZ508" s="183"/>
    </row>
    <row r="509" spans="1:53" s="104" customFormat="1" ht="22.5" outlineLevel="1">
      <c r="A509" s="578" t="str">
        <f t="shared" si="90"/>
        <v>1</v>
      </c>
      <c r="D509" s="104" t="s">
        <v>1663</v>
      </c>
      <c r="L509" s="375" t="s">
        <v>591</v>
      </c>
      <c r="M509" s="383" t="s">
        <v>592</v>
      </c>
      <c r="N509" s="377" t="s">
        <v>351</v>
      </c>
      <c r="O509" s="378"/>
      <c r="P509" s="378"/>
      <c r="Q509" s="378"/>
      <c r="R509" s="379">
        <f t="shared" si="92"/>
        <v>0</v>
      </c>
      <c r="S509" s="378"/>
      <c r="T509" s="378"/>
      <c r="U509" s="378"/>
      <c r="V509" s="378"/>
      <c r="W509" s="378"/>
      <c r="X509" s="378"/>
      <c r="Y509" s="378"/>
      <c r="Z509" s="378"/>
      <c r="AA509" s="378"/>
      <c r="AB509" s="378"/>
      <c r="AC509" s="378"/>
      <c r="AD509" s="378"/>
      <c r="AE509" s="378"/>
      <c r="AF509" s="378"/>
      <c r="AG509" s="378"/>
      <c r="AH509" s="378"/>
      <c r="AI509" s="378"/>
      <c r="AJ509" s="378"/>
      <c r="AK509" s="378"/>
      <c r="AL509" s="378"/>
      <c r="AM509" s="378"/>
      <c r="AN509" s="379">
        <f t="shared" si="91"/>
        <v>0</v>
      </c>
      <c r="AO509" s="379">
        <f t="shared" ref="AO509:AW524" si="97">IF(AD509=0,0,(AE509-AD509)/AD509*100)</f>
        <v>0</v>
      </c>
      <c r="AP509" s="379">
        <f t="shared" si="97"/>
        <v>0</v>
      </c>
      <c r="AQ509" s="379">
        <f t="shared" si="97"/>
        <v>0</v>
      </c>
      <c r="AR509" s="379">
        <f t="shared" si="97"/>
        <v>0</v>
      </c>
      <c r="AS509" s="379">
        <f t="shared" si="97"/>
        <v>0</v>
      </c>
      <c r="AT509" s="379">
        <f t="shared" si="97"/>
        <v>0</v>
      </c>
      <c r="AU509" s="379">
        <f t="shared" si="97"/>
        <v>0</v>
      </c>
      <c r="AV509" s="379">
        <f t="shared" si="97"/>
        <v>0</v>
      </c>
      <c r="AW509" s="379">
        <f t="shared" si="97"/>
        <v>0</v>
      </c>
      <c r="AX509" s="183"/>
      <c r="AY509" s="183"/>
      <c r="AZ509" s="183"/>
    </row>
    <row r="510" spans="1:53" s="104" customFormat="1" outlineLevel="1">
      <c r="A510" s="578" t="str">
        <f t="shared" si="90"/>
        <v>1</v>
      </c>
      <c r="D510" s="104" t="s">
        <v>1664</v>
      </c>
      <c r="L510" s="375" t="s">
        <v>593</v>
      </c>
      <c r="M510" s="383" t="s">
        <v>594</v>
      </c>
      <c r="N510" s="377" t="s">
        <v>351</v>
      </c>
      <c r="O510" s="378"/>
      <c r="P510" s="378"/>
      <c r="Q510" s="378"/>
      <c r="R510" s="379">
        <f t="shared" si="92"/>
        <v>0</v>
      </c>
      <c r="S510" s="378"/>
      <c r="T510" s="378"/>
      <c r="U510" s="378"/>
      <c r="V510" s="378"/>
      <c r="W510" s="378"/>
      <c r="X510" s="378"/>
      <c r="Y510" s="378"/>
      <c r="Z510" s="378"/>
      <c r="AA510" s="378"/>
      <c r="AB510" s="378"/>
      <c r="AC510" s="378"/>
      <c r="AD510" s="378"/>
      <c r="AE510" s="378"/>
      <c r="AF510" s="378"/>
      <c r="AG510" s="378"/>
      <c r="AH510" s="378"/>
      <c r="AI510" s="378"/>
      <c r="AJ510" s="378"/>
      <c r="AK510" s="378"/>
      <c r="AL510" s="378"/>
      <c r="AM510" s="378"/>
      <c r="AN510" s="379">
        <f t="shared" si="91"/>
        <v>0</v>
      </c>
      <c r="AO510" s="379">
        <f t="shared" si="97"/>
        <v>0</v>
      </c>
      <c r="AP510" s="379">
        <f t="shared" si="97"/>
        <v>0</v>
      </c>
      <c r="AQ510" s="379">
        <f t="shared" si="97"/>
        <v>0</v>
      </c>
      <c r="AR510" s="379">
        <f t="shared" si="97"/>
        <v>0</v>
      </c>
      <c r="AS510" s="379">
        <f t="shared" si="97"/>
        <v>0</v>
      </c>
      <c r="AT510" s="379">
        <f t="shared" si="97"/>
        <v>0</v>
      </c>
      <c r="AU510" s="379">
        <f t="shared" si="97"/>
        <v>0</v>
      </c>
      <c r="AV510" s="379">
        <f t="shared" si="97"/>
        <v>0</v>
      </c>
      <c r="AW510" s="379">
        <f t="shared" si="97"/>
        <v>0</v>
      </c>
      <c r="AX510" s="183"/>
      <c r="AY510" s="183"/>
      <c r="AZ510" s="183"/>
    </row>
    <row r="511" spans="1:53" s="104" customFormat="1" outlineLevel="1">
      <c r="A511" s="578" t="str">
        <f t="shared" si="90"/>
        <v>1</v>
      </c>
      <c r="B511" s="104" t="s">
        <v>405</v>
      </c>
      <c r="D511" s="104" t="s">
        <v>1665</v>
      </c>
      <c r="L511" s="375" t="s">
        <v>595</v>
      </c>
      <c r="M511" s="383" t="s">
        <v>596</v>
      </c>
      <c r="N511" s="377" t="s">
        <v>351</v>
      </c>
      <c r="O511" s="391">
        <f>SUMIFS(Покупка!O$15:O$30,Покупка!$A$15:$A$30,$A511,Покупка!$M$15:$M$30,$B511)</f>
        <v>0</v>
      </c>
      <c r="P511" s="391">
        <f>SUMIFS(Покупка!P$15:P$30,Покупка!$A$15:$A$30,$A511,Покупка!$M$15:$M$30,$B511)</f>
        <v>0</v>
      </c>
      <c r="Q511" s="391">
        <f>SUMIFS(Покупка!Q$15:Q$30,Покупка!$A$15:$A$30,$A511,Покупка!$M$15:$M$30,$B511)</f>
        <v>0</v>
      </c>
      <c r="R511" s="379">
        <f t="shared" si="92"/>
        <v>0</v>
      </c>
      <c r="S511" s="391">
        <f>SUMIFS(Покупка!R$15:R$30,Покупка!$A$15:$A$30,$A511,Покупка!$M$15:$M$30,$B511)</f>
        <v>0</v>
      </c>
      <c r="T511" s="391">
        <f>SUMIFS(Покупка!S$15:S$30,Покупка!$A$15:$A$30,$A511,Покупка!$M$15:$M$30,$B511)</f>
        <v>0</v>
      </c>
      <c r="U511" s="391">
        <f>SUMIFS(Покупка!T$15:T$30,Покупка!$A$15:$A$30,$A511,Покупка!$M$15:$M$30,$B511)</f>
        <v>0</v>
      </c>
      <c r="V511" s="391">
        <f>SUMIFS(Покупка!U$15:U$30,Покупка!$A$15:$A$30,$A511,Покупка!$M$15:$M$30,$B511)</f>
        <v>0</v>
      </c>
      <c r="W511" s="391">
        <f>SUMIFS(Покупка!V$15:V$30,Покупка!$A$15:$A$30,$A511,Покупка!$M$15:$M$30,$B511)</f>
        <v>0</v>
      </c>
      <c r="X511" s="391">
        <f>SUMIFS(Покупка!W$15:W$30,Покупка!$A$15:$A$30,$A511,Покупка!$M$15:$M$30,$B511)</f>
        <v>0</v>
      </c>
      <c r="Y511" s="391">
        <f>SUMIFS(Покупка!X$15:X$30,Покупка!$A$15:$A$30,$A511,Покупка!$M$15:$M$30,$B511)</f>
        <v>0</v>
      </c>
      <c r="Z511" s="391">
        <f>SUMIFS(Покупка!Y$15:Y$30,Покупка!$A$15:$A$30,$A511,Покупка!$M$15:$M$30,$B511)</f>
        <v>0</v>
      </c>
      <c r="AA511" s="391">
        <f>SUMIFS(Покупка!Z$15:Z$30,Покупка!$A$15:$A$30,$A511,Покупка!$M$15:$M$30,$B511)</f>
        <v>0</v>
      </c>
      <c r="AB511" s="391">
        <f>SUMIFS(Покупка!AA$15:AA$30,Покупка!$A$15:$A$30,$A511,Покупка!$M$15:$M$30,$B511)</f>
        <v>0</v>
      </c>
      <c r="AC511" s="391">
        <f>SUMIFS(Покупка!AB$15:AB$30,Покупка!$A$15:$A$30,$A511,Покупка!$M$15:$M$30,$B511)</f>
        <v>0</v>
      </c>
      <c r="AD511" s="391">
        <f>SUMIFS(Покупка!AC$15:AC$30,Покупка!$A$15:$A$30,$A511,Покупка!$M$15:$M$30,$B511)</f>
        <v>0</v>
      </c>
      <c r="AE511" s="391">
        <f>SUMIFS(Покупка!AD$15:AD$30,Покупка!$A$15:$A$30,$A511,Покупка!$M$15:$M$30,$B511)</f>
        <v>0</v>
      </c>
      <c r="AF511" s="391">
        <f>SUMIFS(Покупка!AE$15:AE$30,Покупка!$A$15:$A$30,$A511,Покупка!$M$15:$M$30,$B511)</f>
        <v>0</v>
      </c>
      <c r="AG511" s="391">
        <f>SUMIFS(Покупка!AF$15:AF$30,Покупка!$A$15:$A$30,$A511,Покупка!$M$15:$M$30,$B511)</f>
        <v>0</v>
      </c>
      <c r="AH511" s="391">
        <f>SUMIFS(Покупка!AG$15:AG$30,Покупка!$A$15:$A$30,$A511,Покупка!$M$15:$M$30,$B511)</f>
        <v>0</v>
      </c>
      <c r="AI511" s="391">
        <f>SUMIFS(Покупка!AH$15:AH$30,Покупка!$A$15:$A$30,$A511,Покупка!$M$15:$M$30,$B511)</f>
        <v>0</v>
      </c>
      <c r="AJ511" s="391">
        <f>SUMIFS(Покупка!AI$15:AI$30,Покупка!$A$15:$A$30,$A511,Покупка!$M$15:$M$30,$B511)</f>
        <v>0</v>
      </c>
      <c r="AK511" s="391">
        <f>SUMIFS(Покупка!AJ$15:AJ$30,Покупка!$A$15:$A$30,$A511,Покупка!$M$15:$M$30,$B511)</f>
        <v>0</v>
      </c>
      <c r="AL511" s="391">
        <f>SUMIFS(Покупка!AK$15:AK$30,Покупка!$A$15:$A$30,$A511,Покупка!$M$15:$M$30,$B511)</f>
        <v>0</v>
      </c>
      <c r="AM511" s="391">
        <f>SUMIFS(Покупка!AL$15:AL$30,Покупка!$A$15:$A$30,$A511,Покупка!$M$15:$M$30,$B511)</f>
        <v>0</v>
      </c>
      <c r="AN511" s="379">
        <f>IF(S511=0,0,(AD511-S511)/S511*100)</f>
        <v>0</v>
      </c>
      <c r="AO511" s="379">
        <f t="shared" ref="AO511:AW514" si="98">IF(AD511=0,0,(AE511-AD511)/AD511*100)</f>
        <v>0</v>
      </c>
      <c r="AP511" s="379">
        <f t="shared" si="98"/>
        <v>0</v>
      </c>
      <c r="AQ511" s="379">
        <f t="shared" si="98"/>
        <v>0</v>
      </c>
      <c r="AR511" s="379">
        <f t="shared" si="98"/>
        <v>0</v>
      </c>
      <c r="AS511" s="379">
        <f t="shared" si="98"/>
        <v>0</v>
      </c>
      <c r="AT511" s="379">
        <f t="shared" si="98"/>
        <v>0</v>
      </c>
      <c r="AU511" s="379">
        <f t="shared" si="98"/>
        <v>0</v>
      </c>
      <c r="AV511" s="379">
        <f t="shared" si="98"/>
        <v>0</v>
      </c>
      <c r="AW511" s="379">
        <f t="shared" si="98"/>
        <v>0</v>
      </c>
      <c r="AX511" s="183"/>
      <c r="AY511" s="183"/>
      <c r="AZ511" s="183"/>
    </row>
    <row r="512" spans="1:53" s="104" customFormat="1" outlineLevel="1">
      <c r="A512" s="578" t="str">
        <f t="shared" si="90"/>
        <v>1</v>
      </c>
      <c r="B512" s="104" t="s">
        <v>406</v>
      </c>
      <c r="D512" s="104" t="s">
        <v>1666</v>
      </c>
      <c r="L512" s="375" t="s">
        <v>597</v>
      </c>
      <c r="M512" s="383" t="s">
        <v>598</v>
      </c>
      <c r="N512" s="377" t="s">
        <v>351</v>
      </c>
      <c r="O512" s="391">
        <f>SUMIFS(Покупка!O$15:O$30,Покупка!$A$15:$A$30,$A512,Покупка!$M$15:$M$30,$B512)</f>
        <v>0</v>
      </c>
      <c r="P512" s="391">
        <f>SUMIFS(Покупка!P$15:P$30,Покупка!$A$15:$A$30,$A512,Покупка!$M$15:$M$30,$B512)</f>
        <v>0</v>
      </c>
      <c r="Q512" s="391">
        <f>SUMIFS(Покупка!Q$15:Q$30,Покупка!$A$15:$A$30,$A512,Покупка!$M$15:$M$30,$B512)</f>
        <v>0</v>
      </c>
      <c r="R512" s="379">
        <f t="shared" si="92"/>
        <v>0</v>
      </c>
      <c r="S512" s="391">
        <f>SUMIFS(Покупка!R$15:R$30,Покупка!$A$15:$A$30,$A512,Покупка!$M$15:$M$30,$B512)</f>
        <v>0</v>
      </c>
      <c r="T512" s="391">
        <f>SUMIFS(Покупка!S$15:S$30,Покупка!$A$15:$A$30,$A512,Покупка!$M$15:$M$30,$B512)</f>
        <v>0</v>
      </c>
      <c r="U512" s="391">
        <f>SUMIFS(Покупка!T$15:T$30,Покупка!$A$15:$A$30,$A512,Покупка!$M$15:$M$30,$B512)</f>
        <v>0</v>
      </c>
      <c r="V512" s="391">
        <f>SUMIFS(Покупка!U$15:U$30,Покупка!$A$15:$A$30,$A512,Покупка!$M$15:$M$30,$B512)</f>
        <v>0</v>
      </c>
      <c r="W512" s="391">
        <f>SUMIFS(Покупка!V$15:V$30,Покупка!$A$15:$A$30,$A512,Покупка!$M$15:$M$30,$B512)</f>
        <v>0</v>
      </c>
      <c r="X512" s="391">
        <f>SUMIFS(Покупка!W$15:W$30,Покупка!$A$15:$A$30,$A512,Покупка!$M$15:$M$30,$B512)</f>
        <v>0</v>
      </c>
      <c r="Y512" s="391">
        <f>SUMIFS(Покупка!X$15:X$30,Покупка!$A$15:$A$30,$A512,Покупка!$M$15:$M$30,$B512)</f>
        <v>0</v>
      </c>
      <c r="Z512" s="391">
        <f>SUMIFS(Покупка!Y$15:Y$30,Покупка!$A$15:$A$30,$A512,Покупка!$M$15:$M$30,$B512)</f>
        <v>0</v>
      </c>
      <c r="AA512" s="391">
        <f>SUMIFS(Покупка!Z$15:Z$30,Покупка!$A$15:$A$30,$A512,Покупка!$M$15:$M$30,$B512)</f>
        <v>0</v>
      </c>
      <c r="AB512" s="391">
        <f>SUMIFS(Покупка!AA$15:AA$30,Покупка!$A$15:$A$30,$A512,Покупка!$M$15:$M$30,$B512)</f>
        <v>0</v>
      </c>
      <c r="AC512" s="391">
        <f>SUMIFS(Покупка!AB$15:AB$30,Покупка!$A$15:$A$30,$A512,Покупка!$M$15:$M$30,$B512)</f>
        <v>0</v>
      </c>
      <c r="AD512" s="391">
        <f>SUMIFS(Покупка!AC$15:AC$30,Покупка!$A$15:$A$30,$A512,Покупка!$M$15:$M$30,$B512)</f>
        <v>0</v>
      </c>
      <c r="AE512" s="391">
        <f>SUMIFS(Покупка!AD$15:AD$30,Покупка!$A$15:$A$30,$A512,Покупка!$M$15:$M$30,$B512)</f>
        <v>0</v>
      </c>
      <c r="AF512" s="391">
        <f>SUMIFS(Покупка!AE$15:AE$30,Покупка!$A$15:$A$30,$A512,Покупка!$M$15:$M$30,$B512)</f>
        <v>0</v>
      </c>
      <c r="AG512" s="391">
        <f>SUMIFS(Покупка!AF$15:AF$30,Покупка!$A$15:$A$30,$A512,Покупка!$M$15:$M$30,$B512)</f>
        <v>0</v>
      </c>
      <c r="AH512" s="391">
        <f>SUMIFS(Покупка!AG$15:AG$30,Покупка!$A$15:$A$30,$A512,Покупка!$M$15:$M$30,$B512)</f>
        <v>0</v>
      </c>
      <c r="AI512" s="391">
        <f>SUMIFS(Покупка!AH$15:AH$30,Покупка!$A$15:$A$30,$A512,Покупка!$M$15:$M$30,$B512)</f>
        <v>0</v>
      </c>
      <c r="AJ512" s="391">
        <f>SUMIFS(Покупка!AI$15:AI$30,Покупка!$A$15:$A$30,$A512,Покупка!$M$15:$M$30,$B512)</f>
        <v>0</v>
      </c>
      <c r="AK512" s="391">
        <f>SUMIFS(Покупка!AJ$15:AJ$30,Покупка!$A$15:$A$30,$A512,Покупка!$M$15:$M$30,$B512)</f>
        <v>0</v>
      </c>
      <c r="AL512" s="391">
        <f>SUMIFS(Покупка!AK$15:AK$30,Покупка!$A$15:$A$30,$A512,Покупка!$M$15:$M$30,$B512)</f>
        <v>0</v>
      </c>
      <c r="AM512" s="391">
        <f>SUMIFS(Покупка!AL$15:AL$30,Покупка!$A$15:$A$30,$A512,Покупка!$M$15:$M$30,$B512)</f>
        <v>0</v>
      </c>
      <c r="AN512" s="379">
        <f>IF(S512=0,0,(AD512-S512)/S512*100)</f>
        <v>0</v>
      </c>
      <c r="AO512" s="379">
        <f t="shared" si="98"/>
        <v>0</v>
      </c>
      <c r="AP512" s="379">
        <f t="shared" si="98"/>
        <v>0</v>
      </c>
      <c r="AQ512" s="379">
        <f t="shared" si="98"/>
        <v>0</v>
      </c>
      <c r="AR512" s="379">
        <f t="shared" si="98"/>
        <v>0</v>
      </c>
      <c r="AS512" s="379">
        <f t="shared" si="98"/>
        <v>0</v>
      </c>
      <c r="AT512" s="379">
        <f t="shared" si="98"/>
        <v>0</v>
      </c>
      <c r="AU512" s="379">
        <f t="shared" si="98"/>
        <v>0</v>
      </c>
      <c r="AV512" s="379">
        <f t="shared" si="98"/>
        <v>0</v>
      </c>
      <c r="AW512" s="379">
        <f t="shared" si="98"/>
        <v>0</v>
      </c>
      <c r="AX512" s="183"/>
      <c r="AY512" s="183"/>
      <c r="AZ512" s="183"/>
    </row>
    <row r="513" spans="1:52" s="104" customFormat="1" outlineLevel="1">
      <c r="A513" s="578" t="str">
        <f t="shared" si="90"/>
        <v>1</v>
      </c>
      <c r="B513" s="104" t="s">
        <v>1276</v>
      </c>
      <c r="D513" s="104" t="s">
        <v>1667</v>
      </c>
      <c r="L513" s="375" t="s">
        <v>1364</v>
      </c>
      <c r="M513" s="383" t="s">
        <v>1365</v>
      </c>
      <c r="N513" s="377" t="s">
        <v>351</v>
      </c>
      <c r="O513" s="391">
        <f>SUMIFS(Покупка!O$15:O$30,Покупка!$A$15:$A$30,$A513,Покупка!$M$15:$M$30,$B513)</f>
        <v>0</v>
      </c>
      <c r="P513" s="391">
        <f>SUMIFS(Покупка!P$15:P$30,Покупка!$A$15:$A$30,$A513,Покупка!$M$15:$M$30,$B513)</f>
        <v>0</v>
      </c>
      <c r="Q513" s="391">
        <f>SUMIFS(Покупка!Q$15:Q$30,Покупка!$A$15:$A$30,$A513,Покупка!$M$15:$M$30,$B513)</f>
        <v>0</v>
      </c>
      <c r="R513" s="379">
        <f t="shared" si="92"/>
        <v>0</v>
      </c>
      <c r="S513" s="391">
        <f>SUMIFS(Покупка!R$15:R$30,Покупка!$A$15:$A$30,$A513,Покупка!$M$15:$M$30,$B513)</f>
        <v>0</v>
      </c>
      <c r="T513" s="391">
        <f>SUMIFS(Покупка!S$15:S$30,Покупка!$A$15:$A$30,$A513,Покупка!$M$15:$M$30,$B513)</f>
        <v>0</v>
      </c>
      <c r="U513" s="391">
        <f>SUMIFS(Покупка!T$15:T$30,Покупка!$A$15:$A$30,$A513,Покупка!$M$15:$M$30,$B513)</f>
        <v>0</v>
      </c>
      <c r="V513" s="391">
        <f>SUMIFS(Покупка!U$15:U$30,Покупка!$A$15:$A$30,$A513,Покупка!$M$15:$M$30,$B513)</f>
        <v>0</v>
      </c>
      <c r="W513" s="391">
        <f>SUMIFS(Покупка!V$15:V$30,Покупка!$A$15:$A$30,$A513,Покупка!$M$15:$M$30,$B513)</f>
        <v>0</v>
      </c>
      <c r="X513" s="391">
        <f>SUMIFS(Покупка!W$15:W$30,Покупка!$A$15:$A$30,$A513,Покупка!$M$15:$M$30,$B513)</f>
        <v>0</v>
      </c>
      <c r="Y513" s="391">
        <f>SUMIFS(Покупка!X$15:X$30,Покупка!$A$15:$A$30,$A513,Покупка!$M$15:$M$30,$B513)</f>
        <v>0</v>
      </c>
      <c r="Z513" s="391">
        <f>SUMIFS(Покупка!Y$15:Y$30,Покупка!$A$15:$A$30,$A513,Покупка!$M$15:$M$30,$B513)</f>
        <v>0</v>
      </c>
      <c r="AA513" s="391">
        <f>SUMIFS(Покупка!Z$15:Z$30,Покупка!$A$15:$A$30,$A513,Покупка!$M$15:$M$30,$B513)</f>
        <v>0</v>
      </c>
      <c r="AB513" s="391">
        <f>SUMIFS(Покупка!AA$15:AA$30,Покупка!$A$15:$A$30,$A513,Покупка!$M$15:$M$30,$B513)</f>
        <v>0</v>
      </c>
      <c r="AC513" s="391">
        <f>SUMIFS(Покупка!AB$15:AB$30,Покупка!$A$15:$A$30,$A513,Покупка!$M$15:$M$30,$B513)</f>
        <v>0</v>
      </c>
      <c r="AD513" s="391">
        <f>SUMIFS(Покупка!AC$15:AC$30,Покупка!$A$15:$A$30,$A513,Покупка!$M$15:$M$30,$B513)</f>
        <v>0</v>
      </c>
      <c r="AE513" s="391">
        <f>SUMIFS(Покупка!AD$15:AD$30,Покупка!$A$15:$A$30,$A513,Покупка!$M$15:$M$30,$B513)</f>
        <v>0</v>
      </c>
      <c r="AF513" s="391">
        <f>SUMIFS(Покупка!AE$15:AE$30,Покупка!$A$15:$A$30,$A513,Покупка!$M$15:$M$30,$B513)</f>
        <v>0</v>
      </c>
      <c r="AG513" s="391">
        <f>SUMIFS(Покупка!AF$15:AF$30,Покупка!$A$15:$A$30,$A513,Покупка!$M$15:$M$30,$B513)</f>
        <v>0</v>
      </c>
      <c r="AH513" s="391">
        <f>SUMIFS(Покупка!AG$15:AG$30,Покупка!$A$15:$A$30,$A513,Покупка!$M$15:$M$30,$B513)</f>
        <v>0</v>
      </c>
      <c r="AI513" s="391">
        <f>SUMIFS(Покупка!AH$15:AH$30,Покупка!$A$15:$A$30,$A513,Покупка!$M$15:$M$30,$B513)</f>
        <v>0</v>
      </c>
      <c r="AJ513" s="391">
        <f>SUMIFS(Покупка!AI$15:AI$30,Покупка!$A$15:$A$30,$A513,Покупка!$M$15:$M$30,$B513)</f>
        <v>0</v>
      </c>
      <c r="AK513" s="391">
        <f>SUMIFS(Покупка!AJ$15:AJ$30,Покупка!$A$15:$A$30,$A513,Покупка!$M$15:$M$30,$B513)</f>
        <v>0</v>
      </c>
      <c r="AL513" s="391">
        <f>SUMIFS(Покупка!AK$15:AK$30,Покупка!$A$15:$A$30,$A513,Покупка!$M$15:$M$30,$B513)</f>
        <v>0</v>
      </c>
      <c r="AM513" s="391">
        <f>SUMIFS(Покупка!AL$15:AL$30,Покупка!$A$15:$A$30,$A513,Покупка!$M$15:$M$30,$B513)</f>
        <v>0</v>
      </c>
      <c r="AN513" s="379">
        <f>IF(S513=0,0,(AD513-S513)/S513*100)</f>
        <v>0</v>
      </c>
      <c r="AO513" s="379">
        <f t="shared" si="98"/>
        <v>0</v>
      </c>
      <c r="AP513" s="379">
        <f t="shared" si="98"/>
        <v>0</v>
      </c>
      <c r="AQ513" s="379">
        <f t="shared" si="98"/>
        <v>0</v>
      </c>
      <c r="AR513" s="379">
        <f t="shared" si="98"/>
        <v>0</v>
      </c>
      <c r="AS513" s="379">
        <f t="shared" si="98"/>
        <v>0</v>
      </c>
      <c r="AT513" s="379">
        <f t="shared" si="98"/>
        <v>0</v>
      </c>
      <c r="AU513" s="379">
        <f t="shared" si="98"/>
        <v>0</v>
      </c>
      <c r="AV513" s="379">
        <f t="shared" si="98"/>
        <v>0</v>
      </c>
      <c r="AW513" s="379">
        <f t="shared" si="98"/>
        <v>0</v>
      </c>
      <c r="AX513" s="183"/>
      <c r="AY513" s="183"/>
      <c r="AZ513" s="183"/>
    </row>
    <row r="514" spans="1:52" s="104" customFormat="1" outlineLevel="1">
      <c r="A514" s="578" t="str">
        <f t="shared" si="90"/>
        <v>1</v>
      </c>
      <c r="D514" s="104" t="s">
        <v>1493</v>
      </c>
      <c r="L514" s="375" t="s">
        <v>138</v>
      </c>
      <c r="M514" s="376" t="s">
        <v>599</v>
      </c>
      <c r="N514" s="597" t="s">
        <v>351</v>
      </c>
      <c r="O514" s="391">
        <f>SUMIFS(Реагенты!O$15:O$19,Реагенты!$A$15:$A$19,$A514,Реагенты!$M$15:$M$19,"Всего по тарифу")</f>
        <v>0</v>
      </c>
      <c r="P514" s="391">
        <f>SUMIFS(Реагенты!P$15:P$19,Реагенты!$A$15:$A$19,$A514,Реагенты!$M$15:$M$19,"Всего по тарифу")</f>
        <v>0</v>
      </c>
      <c r="Q514" s="391">
        <f>SUMIFS(Реагенты!Q$15:Q$19,Реагенты!$A$15:$A$19,$A514,Реагенты!$M$15:$M$19,"Всего по тарифу")</f>
        <v>0</v>
      </c>
      <c r="R514" s="379">
        <f t="shared" si="92"/>
        <v>0</v>
      </c>
      <c r="S514" s="391">
        <f>SUMIFS(Реагенты!R$15:R$19,Реагенты!$A$15:$A$19,$A514,Реагенты!$M$15:$M$19,"Всего по тарифу")</f>
        <v>0</v>
      </c>
      <c r="T514" s="391">
        <f>SUMIFS(Реагенты!S$15:S$19,Реагенты!$A$15:$A$19,$A514,Реагенты!$M$15:$M$19,"Всего по тарифу")</f>
        <v>0</v>
      </c>
      <c r="U514" s="391">
        <f>SUMIFS(Реагенты!T$15:T$19,Реагенты!$A$15:$A$19,$A514,Реагенты!$M$15:$M$19,"Всего по тарифу")</f>
        <v>0</v>
      </c>
      <c r="V514" s="391">
        <f>SUMIFS(Реагенты!U$15:U$19,Реагенты!$A$15:$A$19,$A514,Реагенты!$M$15:$M$19,"Всего по тарифу")</f>
        <v>0</v>
      </c>
      <c r="W514" s="391">
        <f>SUMIFS(Реагенты!V$15:V$19,Реагенты!$A$15:$A$19,$A514,Реагенты!$M$15:$M$19,"Всего по тарифу")</f>
        <v>0</v>
      </c>
      <c r="X514" s="391">
        <f>SUMIFS(Реагенты!W$15:W$19,Реагенты!$A$15:$A$19,$A514,Реагенты!$M$15:$M$19,"Всего по тарифу")</f>
        <v>0</v>
      </c>
      <c r="Y514" s="391">
        <f>SUMIFS(Реагенты!X$15:X$19,Реагенты!$A$15:$A$19,$A514,Реагенты!$M$15:$M$19,"Всего по тарифу")</f>
        <v>0</v>
      </c>
      <c r="Z514" s="391">
        <f>SUMIFS(Реагенты!Y$15:Y$19,Реагенты!$A$15:$A$19,$A514,Реагенты!$M$15:$M$19,"Всего по тарифу")</f>
        <v>0</v>
      </c>
      <c r="AA514" s="391">
        <f>SUMIFS(Реагенты!Z$15:Z$19,Реагенты!$A$15:$A$19,$A514,Реагенты!$M$15:$M$19,"Всего по тарифу")</f>
        <v>0</v>
      </c>
      <c r="AB514" s="391">
        <f>SUMIFS(Реагенты!AA$15:AA$19,Реагенты!$A$15:$A$19,$A514,Реагенты!$M$15:$M$19,"Всего по тарифу")</f>
        <v>0</v>
      </c>
      <c r="AC514" s="391">
        <f>SUMIFS(Реагенты!AB$15:AB$19,Реагенты!$A$15:$A$19,$A514,Реагенты!$M$15:$M$19,"Всего по тарифу")</f>
        <v>0</v>
      </c>
      <c r="AD514" s="391">
        <f>SUMIFS(Реагенты!AC$15:AC$19,Реагенты!$A$15:$A$19,$A514,Реагенты!$M$15:$M$19,"Всего по тарифу")</f>
        <v>0</v>
      </c>
      <c r="AE514" s="391">
        <f>SUMIFS(Реагенты!AD$15:AD$19,Реагенты!$A$15:$A$19,$A514,Реагенты!$M$15:$M$19,"Всего по тарифу")</f>
        <v>0</v>
      </c>
      <c r="AF514" s="391">
        <f>SUMIFS(Реагенты!AE$15:AE$19,Реагенты!$A$15:$A$19,$A514,Реагенты!$M$15:$M$19,"Всего по тарифу")</f>
        <v>0</v>
      </c>
      <c r="AG514" s="391">
        <f>SUMIFS(Реагенты!AF$15:AF$19,Реагенты!$A$15:$A$19,$A514,Реагенты!$M$15:$M$19,"Всего по тарифу")</f>
        <v>0</v>
      </c>
      <c r="AH514" s="391">
        <f>SUMIFS(Реагенты!AG$15:AG$19,Реагенты!$A$15:$A$19,$A514,Реагенты!$M$15:$M$19,"Всего по тарифу")</f>
        <v>0</v>
      </c>
      <c r="AI514" s="391">
        <f>SUMIFS(Реагенты!AH$15:AH$19,Реагенты!$A$15:$A$19,$A514,Реагенты!$M$15:$M$19,"Всего по тарифу")</f>
        <v>0</v>
      </c>
      <c r="AJ514" s="391">
        <f>SUMIFS(Реагенты!AI$15:AI$19,Реагенты!$A$15:$A$19,$A514,Реагенты!$M$15:$M$19,"Всего по тарифу")</f>
        <v>0</v>
      </c>
      <c r="AK514" s="391">
        <f>SUMIFS(Реагенты!AJ$15:AJ$19,Реагенты!$A$15:$A$19,$A514,Реагенты!$M$15:$M$19,"Всего по тарифу")</f>
        <v>0</v>
      </c>
      <c r="AL514" s="391">
        <f>SUMIFS(Реагенты!AK$15:AK$19,Реагенты!$A$15:$A$19,$A514,Реагенты!$M$15:$M$19,"Всего по тарифу")</f>
        <v>0</v>
      </c>
      <c r="AM514" s="391">
        <f>SUMIFS(Реагенты!AL$15:AL$19,Реагенты!$A$15:$A$19,$A514,Реагенты!$M$15:$M$19,"Всего по тарифу")</f>
        <v>0</v>
      </c>
      <c r="AN514" s="379">
        <f>IF(S514=0,0,(AD514-S514)/S514*100)</f>
        <v>0</v>
      </c>
      <c r="AO514" s="379">
        <f t="shared" si="98"/>
        <v>0</v>
      </c>
      <c r="AP514" s="379">
        <f t="shared" si="98"/>
        <v>0</v>
      </c>
      <c r="AQ514" s="379">
        <f t="shared" si="98"/>
        <v>0</v>
      </c>
      <c r="AR514" s="379">
        <f t="shared" si="98"/>
        <v>0</v>
      </c>
      <c r="AS514" s="379">
        <f t="shared" si="98"/>
        <v>0</v>
      </c>
      <c r="AT514" s="379">
        <f t="shared" si="98"/>
        <v>0</v>
      </c>
      <c r="AU514" s="379">
        <f t="shared" si="98"/>
        <v>0</v>
      </c>
      <c r="AV514" s="379">
        <f t="shared" si="98"/>
        <v>0</v>
      </c>
      <c r="AW514" s="379">
        <f t="shared" si="98"/>
        <v>0</v>
      </c>
      <c r="AX514" s="183"/>
      <c r="AY514" s="183"/>
      <c r="AZ514" s="183"/>
    </row>
    <row r="515" spans="1:52" s="109" customFormat="1" outlineLevel="1">
      <c r="A515" s="578" t="str">
        <f t="shared" si="90"/>
        <v>1</v>
      </c>
      <c r="C515" s="104"/>
      <c r="D515" s="104" t="s">
        <v>1552</v>
      </c>
      <c r="L515" s="395" t="s">
        <v>151</v>
      </c>
      <c r="M515" s="550" t="s">
        <v>600</v>
      </c>
      <c r="N515" s="396" t="s">
        <v>351</v>
      </c>
      <c r="O515" s="373">
        <f>SUM(O516:O524)</f>
        <v>6</v>
      </c>
      <c r="P515" s="373">
        <f t="shared" ref="P515:AM515" si="99">SUM(P516:P524)</f>
        <v>15.27</v>
      </c>
      <c r="Q515" s="373">
        <f t="shared" si="99"/>
        <v>8.734</v>
      </c>
      <c r="R515" s="373">
        <f t="shared" ref="R515:R570" si="100">Q515-P515</f>
        <v>-6.5359999999999996</v>
      </c>
      <c r="S515" s="373">
        <f t="shared" si="99"/>
        <v>15.27</v>
      </c>
      <c r="T515" s="374">
        <f t="shared" si="99"/>
        <v>9.8000000000000007</v>
      </c>
      <c r="U515" s="373">
        <f t="shared" si="99"/>
        <v>10</v>
      </c>
      <c r="V515" s="373">
        <f t="shared" si="99"/>
        <v>10.5</v>
      </c>
      <c r="W515" s="373">
        <f t="shared" si="99"/>
        <v>11</v>
      </c>
      <c r="X515" s="373">
        <f t="shared" si="99"/>
        <v>11.5</v>
      </c>
      <c r="Y515" s="373">
        <f t="shared" si="99"/>
        <v>0</v>
      </c>
      <c r="Z515" s="373">
        <f t="shared" si="99"/>
        <v>0</v>
      </c>
      <c r="AA515" s="373">
        <f t="shared" si="99"/>
        <v>0</v>
      </c>
      <c r="AB515" s="373">
        <f t="shared" si="99"/>
        <v>0</v>
      </c>
      <c r="AC515" s="373">
        <f t="shared" si="99"/>
        <v>0</v>
      </c>
      <c r="AD515" s="374">
        <f t="shared" si="99"/>
        <v>9.8000000000000007</v>
      </c>
      <c r="AE515" s="373">
        <f t="shared" si="99"/>
        <v>9.8000000000000007</v>
      </c>
      <c r="AF515" s="373">
        <f t="shared" si="99"/>
        <v>9.8000000000000007</v>
      </c>
      <c r="AG515" s="373">
        <f t="shared" si="99"/>
        <v>9.8000000000000007</v>
      </c>
      <c r="AH515" s="373">
        <f t="shared" si="99"/>
        <v>9.8000000000000007</v>
      </c>
      <c r="AI515" s="373">
        <f t="shared" si="99"/>
        <v>0</v>
      </c>
      <c r="AJ515" s="373">
        <f t="shared" si="99"/>
        <v>0</v>
      </c>
      <c r="AK515" s="373">
        <f t="shared" si="99"/>
        <v>0</v>
      </c>
      <c r="AL515" s="373">
        <f t="shared" si="99"/>
        <v>0</v>
      </c>
      <c r="AM515" s="373">
        <f t="shared" si="99"/>
        <v>0</v>
      </c>
      <c r="AN515" s="373">
        <f t="shared" si="91"/>
        <v>-35.8218729535036</v>
      </c>
      <c r="AO515" s="373">
        <f t="shared" si="97"/>
        <v>0</v>
      </c>
      <c r="AP515" s="373">
        <f t="shared" si="97"/>
        <v>0</v>
      </c>
      <c r="AQ515" s="373">
        <f t="shared" si="97"/>
        <v>0</v>
      </c>
      <c r="AR515" s="373">
        <f t="shared" si="97"/>
        <v>0</v>
      </c>
      <c r="AS515" s="373">
        <f t="shared" si="97"/>
        <v>-100</v>
      </c>
      <c r="AT515" s="373">
        <f t="shared" si="97"/>
        <v>0</v>
      </c>
      <c r="AU515" s="373">
        <f t="shared" si="97"/>
        <v>0</v>
      </c>
      <c r="AV515" s="373">
        <f t="shared" si="97"/>
        <v>0</v>
      </c>
      <c r="AW515" s="373">
        <f t="shared" si="97"/>
        <v>0</v>
      </c>
      <c r="AX515" s="549"/>
      <c r="AY515" s="549"/>
      <c r="AZ515" s="549"/>
    </row>
    <row r="516" spans="1:52" s="104" customFormat="1" outlineLevel="1">
      <c r="A516" s="578" t="str">
        <f t="shared" si="90"/>
        <v>1</v>
      </c>
      <c r="B516" s="104" t="s">
        <v>132</v>
      </c>
      <c r="D516" s="104" t="s">
        <v>1668</v>
      </c>
      <c r="L516" s="375" t="s">
        <v>152</v>
      </c>
      <c r="M516" s="383" t="s">
        <v>601</v>
      </c>
      <c r="N516" s="377" t="s">
        <v>351</v>
      </c>
      <c r="O516" s="391">
        <f>SUMIFS(Налоги!O$15:O$28,Налоги!$A$15:$A$28,$A516,Налоги!$M$15:$M$28,$B516)</f>
        <v>0</v>
      </c>
      <c r="P516" s="391">
        <f>SUMIFS(Налоги!P$15:P$28,Налоги!$A$15:$A$28,$A516,Налоги!$M$15:$M$28,$B516)</f>
        <v>0</v>
      </c>
      <c r="Q516" s="391">
        <f>SUMIFS(Налоги!Q$15:Q$28,Налоги!$A$15:$A$28,$A516,Налоги!$M$15:$M$28,$B516)</f>
        <v>0</v>
      </c>
      <c r="R516" s="379">
        <f t="shared" si="100"/>
        <v>0</v>
      </c>
      <c r="S516" s="391">
        <f>SUMIFS(Налоги!R$15:R$28,Налоги!$A$15:$A$28,$A516,Налоги!$M$15:$M$28,$B516)</f>
        <v>0</v>
      </c>
      <c r="T516" s="391">
        <f>SUMIFS(Налоги!S$15:S$28,Налоги!$A$15:$A$28,$A516,Налоги!$M$15:$M$28,$B516)</f>
        <v>0</v>
      </c>
      <c r="U516" s="391">
        <f>SUMIFS(Налоги!T$15:T$28,Налоги!$A$15:$A$28,$A516,Налоги!$M$15:$M$28,$B516)</f>
        <v>0</v>
      </c>
      <c r="V516" s="391">
        <f>SUMIFS(Налоги!U$15:U$28,Налоги!$A$15:$A$28,$A516,Налоги!$M$15:$M$28,$B516)</f>
        <v>0</v>
      </c>
      <c r="W516" s="391">
        <f>SUMIFS(Налоги!V$15:V$28,Налоги!$A$15:$A$28,$A516,Налоги!$M$15:$M$28,$B516)</f>
        <v>0</v>
      </c>
      <c r="X516" s="391">
        <f>SUMIFS(Налоги!W$15:W$28,Налоги!$A$15:$A$28,$A516,Налоги!$M$15:$M$28,$B516)</f>
        <v>0</v>
      </c>
      <c r="Y516" s="391">
        <f>SUMIFS(Налоги!X$15:X$28,Налоги!$A$15:$A$28,$A516,Налоги!$M$15:$M$28,$B516)</f>
        <v>0</v>
      </c>
      <c r="Z516" s="391">
        <f>SUMIFS(Налоги!Y$15:Y$28,Налоги!$A$15:$A$28,$A516,Налоги!$M$15:$M$28,$B516)</f>
        <v>0</v>
      </c>
      <c r="AA516" s="391">
        <f>SUMIFS(Налоги!Z$15:Z$28,Налоги!$A$15:$A$28,$A516,Налоги!$M$15:$M$28,$B516)</f>
        <v>0</v>
      </c>
      <c r="AB516" s="391">
        <f>SUMIFS(Налоги!AA$15:AA$28,Налоги!$A$15:$A$28,$A516,Налоги!$M$15:$M$28,$B516)</f>
        <v>0</v>
      </c>
      <c r="AC516" s="391">
        <f>SUMIFS(Налоги!AB$15:AB$28,Налоги!$A$15:$A$28,$A516,Налоги!$M$15:$M$28,$B516)</f>
        <v>0</v>
      </c>
      <c r="AD516" s="391">
        <f>SUMIFS(Налоги!AC$15:AC$28,Налоги!$A$15:$A$28,$A516,Налоги!$M$15:$M$28,$B516)</f>
        <v>0</v>
      </c>
      <c r="AE516" s="391">
        <f>SUMIFS(Налоги!AD$15:AD$28,Налоги!$A$15:$A$28,$A516,Налоги!$M$15:$M$28,$B516)</f>
        <v>0</v>
      </c>
      <c r="AF516" s="391">
        <f>SUMIFS(Налоги!AE$15:AE$28,Налоги!$A$15:$A$28,$A516,Налоги!$M$15:$M$28,$B516)</f>
        <v>0</v>
      </c>
      <c r="AG516" s="391">
        <f>SUMIFS(Налоги!AF$15:AF$28,Налоги!$A$15:$A$28,$A516,Налоги!$M$15:$M$28,$B516)</f>
        <v>0</v>
      </c>
      <c r="AH516" s="391">
        <f>SUMIFS(Налоги!AG$15:AG$28,Налоги!$A$15:$A$28,$A516,Налоги!$M$15:$M$28,$B516)</f>
        <v>0</v>
      </c>
      <c r="AI516" s="391">
        <f>SUMIFS(Налоги!AH$15:AH$28,Налоги!$A$15:$A$28,$A516,Налоги!$M$15:$M$28,$B516)</f>
        <v>0</v>
      </c>
      <c r="AJ516" s="391">
        <f>SUMIFS(Налоги!AI$15:AI$28,Налоги!$A$15:$A$28,$A516,Налоги!$M$15:$M$28,$B516)</f>
        <v>0</v>
      </c>
      <c r="AK516" s="391">
        <f>SUMIFS(Налоги!AJ$15:AJ$28,Налоги!$A$15:$A$28,$A516,Налоги!$M$15:$M$28,$B516)</f>
        <v>0</v>
      </c>
      <c r="AL516" s="391">
        <f>SUMIFS(Налоги!AK$15:AK$28,Налоги!$A$15:$A$28,$A516,Налоги!$M$15:$M$28,$B516)</f>
        <v>0</v>
      </c>
      <c r="AM516" s="391">
        <f>SUMIFS(Налоги!AL$15:AL$28,Налоги!$A$15:$A$28,$A516,Налоги!$M$15:$M$28,$B516)</f>
        <v>0</v>
      </c>
      <c r="AN516" s="379">
        <f t="shared" si="91"/>
        <v>0</v>
      </c>
      <c r="AO516" s="379">
        <f t="shared" si="97"/>
        <v>0</v>
      </c>
      <c r="AP516" s="379">
        <f t="shared" si="97"/>
        <v>0</v>
      </c>
      <c r="AQ516" s="379">
        <f t="shared" si="97"/>
        <v>0</v>
      </c>
      <c r="AR516" s="379">
        <f t="shared" si="97"/>
        <v>0</v>
      </c>
      <c r="AS516" s="379">
        <f t="shared" si="97"/>
        <v>0</v>
      </c>
      <c r="AT516" s="379">
        <f t="shared" si="97"/>
        <v>0</v>
      </c>
      <c r="AU516" s="379">
        <f t="shared" si="97"/>
        <v>0</v>
      </c>
      <c r="AV516" s="379">
        <f t="shared" si="97"/>
        <v>0</v>
      </c>
      <c r="AW516" s="379">
        <f t="shared" si="97"/>
        <v>0</v>
      </c>
      <c r="AX516" s="183"/>
      <c r="AY516" s="183"/>
      <c r="AZ516" s="183"/>
    </row>
    <row r="517" spans="1:52" s="104" customFormat="1" outlineLevel="1">
      <c r="A517" s="578" t="str">
        <f t="shared" ref="A517:A576" si="101">A516</f>
        <v>1</v>
      </c>
      <c r="B517" s="104" t="s">
        <v>133</v>
      </c>
      <c r="D517" s="104" t="s">
        <v>1669</v>
      </c>
      <c r="L517" s="375" t="s">
        <v>602</v>
      </c>
      <c r="M517" s="383" t="s">
        <v>603</v>
      </c>
      <c r="N517" s="377" t="s">
        <v>351</v>
      </c>
      <c r="O517" s="391">
        <f>SUMIFS(Налоги!O$15:O$28,Налоги!$A$15:$A$28,$A517,Налоги!$M$15:$M$28,$B517)</f>
        <v>0</v>
      </c>
      <c r="P517" s="391">
        <f>SUMIFS(Налоги!P$15:P$28,Налоги!$A$15:$A$28,$A517,Налоги!$M$15:$M$28,$B517)</f>
        <v>0</v>
      </c>
      <c r="Q517" s="391">
        <f>SUMIFS(Налоги!Q$15:Q$28,Налоги!$A$15:$A$28,$A517,Налоги!$M$15:$M$28,$B517)</f>
        <v>0</v>
      </c>
      <c r="R517" s="379">
        <f t="shared" si="100"/>
        <v>0</v>
      </c>
      <c r="S517" s="391">
        <f>SUMIFS(Налоги!R$15:R$28,Налоги!$A$15:$A$28,$A517,Налоги!$M$15:$M$28,$B517)</f>
        <v>0</v>
      </c>
      <c r="T517" s="391">
        <f>SUMIFS(Налоги!S$15:S$28,Налоги!$A$15:$A$28,$A517,Налоги!$M$15:$M$28,$B517)</f>
        <v>0</v>
      </c>
      <c r="U517" s="391">
        <f>SUMIFS(Налоги!T$15:T$28,Налоги!$A$15:$A$28,$A517,Налоги!$M$15:$M$28,$B517)</f>
        <v>0</v>
      </c>
      <c r="V517" s="391">
        <f>SUMIFS(Налоги!U$15:U$28,Налоги!$A$15:$A$28,$A517,Налоги!$M$15:$M$28,$B517)</f>
        <v>0</v>
      </c>
      <c r="W517" s="391">
        <f>SUMIFS(Налоги!V$15:V$28,Налоги!$A$15:$A$28,$A517,Налоги!$M$15:$M$28,$B517)</f>
        <v>0</v>
      </c>
      <c r="X517" s="391">
        <f>SUMIFS(Налоги!W$15:W$28,Налоги!$A$15:$A$28,$A517,Налоги!$M$15:$M$28,$B517)</f>
        <v>0</v>
      </c>
      <c r="Y517" s="391">
        <f>SUMIFS(Налоги!X$15:X$28,Налоги!$A$15:$A$28,$A517,Налоги!$M$15:$M$28,$B517)</f>
        <v>0</v>
      </c>
      <c r="Z517" s="391">
        <f>SUMIFS(Налоги!Y$15:Y$28,Налоги!$A$15:$A$28,$A517,Налоги!$M$15:$M$28,$B517)</f>
        <v>0</v>
      </c>
      <c r="AA517" s="391">
        <f>SUMIFS(Налоги!Z$15:Z$28,Налоги!$A$15:$A$28,$A517,Налоги!$M$15:$M$28,$B517)</f>
        <v>0</v>
      </c>
      <c r="AB517" s="391">
        <f>SUMIFS(Налоги!AA$15:AA$28,Налоги!$A$15:$A$28,$A517,Налоги!$M$15:$M$28,$B517)</f>
        <v>0</v>
      </c>
      <c r="AC517" s="391">
        <f>SUMIFS(Налоги!AB$15:AB$28,Налоги!$A$15:$A$28,$A517,Налоги!$M$15:$M$28,$B517)</f>
        <v>0</v>
      </c>
      <c r="AD517" s="391">
        <f>SUMIFS(Налоги!AC$15:AC$28,Налоги!$A$15:$A$28,$A517,Налоги!$M$15:$M$28,$B517)</f>
        <v>0</v>
      </c>
      <c r="AE517" s="391">
        <f>SUMIFS(Налоги!AD$15:AD$28,Налоги!$A$15:$A$28,$A517,Налоги!$M$15:$M$28,$B517)</f>
        <v>0</v>
      </c>
      <c r="AF517" s="391">
        <f>SUMIFS(Налоги!AE$15:AE$28,Налоги!$A$15:$A$28,$A517,Налоги!$M$15:$M$28,$B517)</f>
        <v>0</v>
      </c>
      <c r="AG517" s="391">
        <f>SUMIFS(Налоги!AF$15:AF$28,Налоги!$A$15:$A$28,$A517,Налоги!$M$15:$M$28,$B517)</f>
        <v>0</v>
      </c>
      <c r="AH517" s="391">
        <f>SUMIFS(Налоги!AG$15:AG$28,Налоги!$A$15:$A$28,$A517,Налоги!$M$15:$M$28,$B517)</f>
        <v>0</v>
      </c>
      <c r="AI517" s="391">
        <f>SUMIFS(Налоги!AH$15:AH$28,Налоги!$A$15:$A$28,$A517,Налоги!$M$15:$M$28,$B517)</f>
        <v>0</v>
      </c>
      <c r="AJ517" s="391">
        <f>SUMIFS(Налоги!AI$15:AI$28,Налоги!$A$15:$A$28,$A517,Налоги!$M$15:$M$28,$B517)</f>
        <v>0</v>
      </c>
      <c r="AK517" s="391">
        <f>SUMIFS(Налоги!AJ$15:AJ$28,Налоги!$A$15:$A$28,$A517,Налоги!$M$15:$M$28,$B517)</f>
        <v>0</v>
      </c>
      <c r="AL517" s="391">
        <f>SUMIFS(Налоги!AK$15:AK$28,Налоги!$A$15:$A$28,$A517,Налоги!$M$15:$M$28,$B517)</f>
        <v>0</v>
      </c>
      <c r="AM517" s="391">
        <f>SUMIFS(Налоги!AL$15:AL$28,Налоги!$A$15:$A$28,$A517,Налоги!$M$15:$M$28,$B517)</f>
        <v>0</v>
      </c>
      <c r="AN517" s="379">
        <f t="shared" si="91"/>
        <v>0</v>
      </c>
      <c r="AO517" s="379">
        <f t="shared" si="97"/>
        <v>0</v>
      </c>
      <c r="AP517" s="379">
        <f t="shared" si="97"/>
        <v>0</v>
      </c>
      <c r="AQ517" s="379">
        <f t="shared" si="97"/>
        <v>0</v>
      </c>
      <c r="AR517" s="379">
        <f t="shared" si="97"/>
        <v>0</v>
      </c>
      <c r="AS517" s="379">
        <f t="shared" si="97"/>
        <v>0</v>
      </c>
      <c r="AT517" s="379">
        <f t="shared" si="97"/>
        <v>0</v>
      </c>
      <c r="AU517" s="379">
        <f t="shared" si="97"/>
        <v>0</v>
      </c>
      <c r="AV517" s="379">
        <f t="shared" si="97"/>
        <v>0</v>
      </c>
      <c r="AW517" s="379">
        <f t="shared" si="97"/>
        <v>0</v>
      </c>
      <c r="AX517" s="183"/>
      <c r="AY517" s="183"/>
      <c r="AZ517" s="183"/>
    </row>
    <row r="518" spans="1:52" s="104" customFormat="1" outlineLevel="1">
      <c r="A518" s="578" t="str">
        <f t="shared" si="101"/>
        <v>1</v>
      </c>
      <c r="B518" s="104" t="s">
        <v>412</v>
      </c>
      <c r="D518" s="104" t="s">
        <v>1670</v>
      </c>
      <c r="L518" s="375" t="s">
        <v>604</v>
      </c>
      <c r="M518" s="383" t="s">
        <v>605</v>
      </c>
      <c r="N518" s="377" t="s">
        <v>351</v>
      </c>
      <c r="O518" s="391">
        <f>SUMIFS(Налоги!O$15:O$28,Налоги!$A$15:$A$28,$A518,Налоги!$M$15:$M$28,$B518)</f>
        <v>0</v>
      </c>
      <c r="P518" s="391">
        <f>SUMIFS(Налоги!P$15:P$28,Налоги!$A$15:$A$28,$A518,Налоги!$M$15:$M$28,$B518)</f>
        <v>0</v>
      </c>
      <c r="Q518" s="391">
        <f>SUMIFS(Налоги!Q$15:Q$28,Налоги!$A$15:$A$28,$A518,Налоги!$M$15:$M$28,$B518)</f>
        <v>0</v>
      </c>
      <c r="R518" s="379">
        <f t="shared" si="100"/>
        <v>0</v>
      </c>
      <c r="S518" s="391">
        <f>SUMIFS(Налоги!R$15:R$28,Налоги!$A$15:$A$28,$A518,Налоги!$M$15:$M$28,$B518)</f>
        <v>0</v>
      </c>
      <c r="T518" s="391">
        <f>SUMIFS(Налоги!S$15:S$28,Налоги!$A$15:$A$28,$A518,Налоги!$M$15:$M$28,$B518)</f>
        <v>0</v>
      </c>
      <c r="U518" s="391">
        <f>SUMIFS(Налоги!T$15:T$28,Налоги!$A$15:$A$28,$A518,Налоги!$M$15:$M$28,$B518)</f>
        <v>0</v>
      </c>
      <c r="V518" s="391">
        <f>SUMIFS(Налоги!U$15:U$28,Налоги!$A$15:$A$28,$A518,Налоги!$M$15:$M$28,$B518)</f>
        <v>0</v>
      </c>
      <c r="W518" s="391">
        <f>SUMIFS(Налоги!V$15:V$28,Налоги!$A$15:$A$28,$A518,Налоги!$M$15:$M$28,$B518)</f>
        <v>0</v>
      </c>
      <c r="X518" s="391">
        <f>SUMIFS(Налоги!W$15:W$28,Налоги!$A$15:$A$28,$A518,Налоги!$M$15:$M$28,$B518)</f>
        <v>0</v>
      </c>
      <c r="Y518" s="391">
        <f>SUMIFS(Налоги!X$15:X$28,Налоги!$A$15:$A$28,$A518,Налоги!$M$15:$M$28,$B518)</f>
        <v>0</v>
      </c>
      <c r="Z518" s="391">
        <f>SUMIFS(Налоги!Y$15:Y$28,Налоги!$A$15:$A$28,$A518,Налоги!$M$15:$M$28,$B518)</f>
        <v>0</v>
      </c>
      <c r="AA518" s="391">
        <f>SUMIFS(Налоги!Z$15:Z$28,Налоги!$A$15:$A$28,$A518,Налоги!$M$15:$M$28,$B518)</f>
        <v>0</v>
      </c>
      <c r="AB518" s="391">
        <f>SUMIFS(Налоги!AA$15:AA$28,Налоги!$A$15:$A$28,$A518,Налоги!$M$15:$M$28,$B518)</f>
        <v>0</v>
      </c>
      <c r="AC518" s="391">
        <f>SUMIFS(Налоги!AB$15:AB$28,Налоги!$A$15:$A$28,$A518,Налоги!$M$15:$M$28,$B518)</f>
        <v>0</v>
      </c>
      <c r="AD518" s="391">
        <f>SUMIFS(Налоги!AC$15:AC$28,Налоги!$A$15:$A$28,$A518,Налоги!$M$15:$M$28,$B518)</f>
        <v>0</v>
      </c>
      <c r="AE518" s="391">
        <f>SUMIFS(Налоги!AD$15:AD$28,Налоги!$A$15:$A$28,$A518,Налоги!$M$15:$M$28,$B518)</f>
        <v>0</v>
      </c>
      <c r="AF518" s="391">
        <f>SUMIFS(Налоги!AE$15:AE$28,Налоги!$A$15:$A$28,$A518,Налоги!$M$15:$M$28,$B518)</f>
        <v>0</v>
      </c>
      <c r="AG518" s="391">
        <f>SUMIFS(Налоги!AF$15:AF$28,Налоги!$A$15:$A$28,$A518,Налоги!$M$15:$M$28,$B518)</f>
        <v>0</v>
      </c>
      <c r="AH518" s="391">
        <f>SUMIFS(Налоги!AG$15:AG$28,Налоги!$A$15:$A$28,$A518,Налоги!$M$15:$M$28,$B518)</f>
        <v>0</v>
      </c>
      <c r="AI518" s="391">
        <f>SUMIFS(Налоги!AH$15:AH$28,Налоги!$A$15:$A$28,$A518,Налоги!$M$15:$M$28,$B518)</f>
        <v>0</v>
      </c>
      <c r="AJ518" s="391">
        <f>SUMIFS(Налоги!AI$15:AI$28,Налоги!$A$15:$A$28,$A518,Налоги!$M$15:$M$28,$B518)</f>
        <v>0</v>
      </c>
      <c r="AK518" s="391">
        <f>SUMIFS(Налоги!AJ$15:AJ$28,Налоги!$A$15:$A$28,$A518,Налоги!$M$15:$M$28,$B518)</f>
        <v>0</v>
      </c>
      <c r="AL518" s="391">
        <f>SUMIFS(Налоги!AK$15:AK$28,Налоги!$A$15:$A$28,$A518,Налоги!$M$15:$M$28,$B518)</f>
        <v>0</v>
      </c>
      <c r="AM518" s="391">
        <f>SUMIFS(Налоги!AL$15:AL$28,Налоги!$A$15:$A$28,$A518,Налоги!$M$15:$M$28,$B518)</f>
        <v>0</v>
      </c>
      <c r="AN518" s="379">
        <f t="shared" si="91"/>
        <v>0</v>
      </c>
      <c r="AO518" s="379">
        <f t="shared" si="97"/>
        <v>0</v>
      </c>
      <c r="AP518" s="379">
        <f t="shared" si="97"/>
        <v>0</v>
      </c>
      <c r="AQ518" s="379">
        <f t="shared" si="97"/>
        <v>0</v>
      </c>
      <c r="AR518" s="379">
        <f t="shared" si="97"/>
        <v>0</v>
      </c>
      <c r="AS518" s="379">
        <f t="shared" si="97"/>
        <v>0</v>
      </c>
      <c r="AT518" s="379">
        <f t="shared" si="97"/>
        <v>0</v>
      </c>
      <c r="AU518" s="379">
        <f t="shared" si="97"/>
        <v>0</v>
      </c>
      <c r="AV518" s="379">
        <f t="shared" si="97"/>
        <v>0</v>
      </c>
      <c r="AW518" s="379">
        <f t="shared" si="97"/>
        <v>0</v>
      </c>
      <c r="AX518" s="183"/>
      <c r="AY518" s="183"/>
      <c r="AZ518" s="183"/>
    </row>
    <row r="519" spans="1:52" s="104" customFormat="1" outlineLevel="1">
      <c r="A519" s="578" t="str">
        <f t="shared" si="101"/>
        <v>1</v>
      </c>
      <c r="B519" s="104" t="s">
        <v>413</v>
      </c>
      <c r="D519" s="104" t="s">
        <v>1671</v>
      </c>
      <c r="L519" s="375" t="s">
        <v>606</v>
      </c>
      <c r="M519" s="383" t="s">
        <v>607</v>
      </c>
      <c r="N519" s="377" t="s">
        <v>351</v>
      </c>
      <c r="O519" s="391">
        <f>SUMIFS(Налоги!O$15:O$28,Налоги!$A$15:$A$28,$A519,Налоги!$M$15:$M$28,$B519)</f>
        <v>6</v>
      </c>
      <c r="P519" s="391">
        <f>SUMIFS(Налоги!P$15:P$28,Налоги!$A$15:$A$28,$A519,Налоги!$M$15:$M$28,$B519)</f>
        <v>15.27</v>
      </c>
      <c r="Q519" s="391">
        <f>SUMIFS(Налоги!Q$15:Q$28,Налоги!$A$15:$A$28,$A519,Налоги!$M$15:$M$28,$B519)</f>
        <v>8.734</v>
      </c>
      <c r="R519" s="379">
        <f t="shared" si="100"/>
        <v>-6.5359999999999996</v>
      </c>
      <c r="S519" s="391">
        <f>SUMIFS(Налоги!R$15:R$28,Налоги!$A$15:$A$28,$A519,Налоги!$M$15:$M$28,$B519)</f>
        <v>15.27</v>
      </c>
      <c r="T519" s="391">
        <f>SUMIFS(Налоги!S$15:S$28,Налоги!$A$15:$A$28,$A519,Налоги!$M$15:$M$28,$B519)</f>
        <v>9.8000000000000007</v>
      </c>
      <c r="U519" s="391">
        <f>SUMIFS(Налоги!T$15:T$28,Налоги!$A$15:$A$28,$A519,Налоги!$M$15:$M$28,$B519)</f>
        <v>10</v>
      </c>
      <c r="V519" s="391">
        <f>SUMIFS(Налоги!U$15:U$28,Налоги!$A$15:$A$28,$A519,Налоги!$M$15:$M$28,$B519)</f>
        <v>10.5</v>
      </c>
      <c r="W519" s="391">
        <f>SUMIFS(Налоги!V$15:V$28,Налоги!$A$15:$A$28,$A519,Налоги!$M$15:$M$28,$B519)</f>
        <v>11</v>
      </c>
      <c r="X519" s="391">
        <f>SUMIFS(Налоги!W$15:W$28,Налоги!$A$15:$A$28,$A519,Налоги!$M$15:$M$28,$B519)</f>
        <v>11.5</v>
      </c>
      <c r="Y519" s="391">
        <f>SUMIFS(Налоги!X$15:X$28,Налоги!$A$15:$A$28,$A519,Налоги!$M$15:$M$28,$B519)</f>
        <v>0</v>
      </c>
      <c r="Z519" s="391">
        <f>SUMIFS(Налоги!Y$15:Y$28,Налоги!$A$15:$A$28,$A519,Налоги!$M$15:$M$28,$B519)</f>
        <v>0</v>
      </c>
      <c r="AA519" s="391">
        <f>SUMIFS(Налоги!Z$15:Z$28,Налоги!$A$15:$A$28,$A519,Налоги!$M$15:$M$28,$B519)</f>
        <v>0</v>
      </c>
      <c r="AB519" s="391">
        <f>SUMIFS(Налоги!AA$15:AA$28,Налоги!$A$15:$A$28,$A519,Налоги!$M$15:$M$28,$B519)</f>
        <v>0</v>
      </c>
      <c r="AC519" s="391">
        <f>SUMIFS(Налоги!AB$15:AB$28,Налоги!$A$15:$A$28,$A519,Налоги!$M$15:$M$28,$B519)</f>
        <v>0</v>
      </c>
      <c r="AD519" s="391">
        <f>SUMIFS(Налоги!AC$15:AC$28,Налоги!$A$15:$A$28,$A519,Налоги!$M$15:$M$28,$B519)</f>
        <v>9.8000000000000007</v>
      </c>
      <c r="AE519" s="391">
        <f>SUMIFS(Налоги!AD$15:AD$28,Налоги!$A$15:$A$28,$A519,Налоги!$M$15:$M$28,$B519)</f>
        <v>9.8000000000000007</v>
      </c>
      <c r="AF519" s="391">
        <f>SUMIFS(Налоги!AE$15:AE$28,Налоги!$A$15:$A$28,$A519,Налоги!$M$15:$M$28,$B519)</f>
        <v>9.8000000000000007</v>
      </c>
      <c r="AG519" s="391">
        <f>SUMIFS(Налоги!AF$15:AF$28,Налоги!$A$15:$A$28,$A519,Налоги!$M$15:$M$28,$B519)</f>
        <v>9.8000000000000007</v>
      </c>
      <c r="AH519" s="391">
        <f>SUMIFS(Налоги!AG$15:AG$28,Налоги!$A$15:$A$28,$A519,Налоги!$M$15:$M$28,$B519)</f>
        <v>9.8000000000000007</v>
      </c>
      <c r="AI519" s="391">
        <f>SUMIFS(Налоги!AH$15:AH$28,Налоги!$A$15:$A$28,$A519,Налоги!$M$15:$M$28,$B519)</f>
        <v>0</v>
      </c>
      <c r="AJ519" s="391">
        <f>SUMIFS(Налоги!AI$15:AI$28,Налоги!$A$15:$A$28,$A519,Налоги!$M$15:$M$28,$B519)</f>
        <v>0</v>
      </c>
      <c r="AK519" s="391">
        <f>SUMIFS(Налоги!AJ$15:AJ$28,Налоги!$A$15:$A$28,$A519,Налоги!$M$15:$M$28,$B519)</f>
        <v>0</v>
      </c>
      <c r="AL519" s="391">
        <f>SUMIFS(Налоги!AK$15:AK$28,Налоги!$A$15:$A$28,$A519,Налоги!$M$15:$M$28,$B519)</f>
        <v>0</v>
      </c>
      <c r="AM519" s="391">
        <f>SUMIFS(Налоги!AL$15:AL$28,Налоги!$A$15:$A$28,$A519,Налоги!$M$15:$M$28,$B519)</f>
        <v>0</v>
      </c>
      <c r="AN519" s="379">
        <f t="shared" si="91"/>
        <v>-35.8218729535036</v>
      </c>
      <c r="AO519" s="379">
        <f t="shared" si="97"/>
        <v>0</v>
      </c>
      <c r="AP519" s="379">
        <f t="shared" si="97"/>
        <v>0</v>
      </c>
      <c r="AQ519" s="379">
        <f t="shared" si="97"/>
        <v>0</v>
      </c>
      <c r="AR519" s="379">
        <f t="shared" si="97"/>
        <v>0</v>
      </c>
      <c r="AS519" s="379">
        <f t="shared" si="97"/>
        <v>-100</v>
      </c>
      <c r="AT519" s="379">
        <f t="shared" si="97"/>
        <v>0</v>
      </c>
      <c r="AU519" s="379">
        <f t="shared" si="97"/>
        <v>0</v>
      </c>
      <c r="AV519" s="379">
        <f t="shared" si="97"/>
        <v>0</v>
      </c>
      <c r="AW519" s="379">
        <f t="shared" si="97"/>
        <v>0</v>
      </c>
      <c r="AX519" s="183"/>
      <c r="AY519" s="183"/>
      <c r="AZ519" s="183"/>
    </row>
    <row r="520" spans="1:52" s="104" customFormat="1" outlineLevel="1">
      <c r="A520" s="578" t="str">
        <f t="shared" si="101"/>
        <v>1</v>
      </c>
      <c r="B520" s="104" t="s">
        <v>414</v>
      </c>
      <c r="D520" s="104" t="s">
        <v>1672</v>
      </c>
      <c r="L520" s="375" t="s">
        <v>608</v>
      </c>
      <c r="M520" s="383" t="s">
        <v>609</v>
      </c>
      <c r="N520" s="377" t="s">
        <v>351</v>
      </c>
      <c r="O520" s="391">
        <f>SUMIFS(Налоги!O$15:O$28,Налоги!$A$15:$A$28,$A520,Налоги!$M$15:$M$28,$B520)</f>
        <v>0</v>
      </c>
      <c r="P520" s="391">
        <f>SUMIFS(Налоги!P$15:P$28,Налоги!$A$15:$A$28,$A520,Налоги!$M$15:$M$28,$B520)</f>
        <v>0</v>
      </c>
      <c r="Q520" s="391">
        <f>SUMIFS(Налоги!Q$15:Q$28,Налоги!$A$15:$A$28,$A520,Налоги!$M$15:$M$28,$B520)</f>
        <v>0</v>
      </c>
      <c r="R520" s="379">
        <f t="shared" si="100"/>
        <v>0</v>
      </c>
      <c r="S520" s="391">
        <f>SUMIFS(Налоги!R$15:R$28,Налоги!$A$15:$A$28,$A520,Налоги!$M$15:$M$28,$B520)</f>
        <v>0</v>
      </c>
      <c r="T520" s="391">
        <f>SUMIFS(Налоги!S$15:S$28,Налоги!$A$15:$A$28,$A520,Налоги!$M$15:$M$28,$B520)</f>
        <v>0</v>
      </c>
      <c r="U520" s="391">
        <f>SUMIFS(Налоги!T$15:T$28,Налоги!$A$15:$A$28,$A520,Налоги!$M$15:$M$28,$B520)</f>
        <v>0</v>
      </c>
      <c r="V520" s="391">
        <f>SUMIFS(Налоги!U$15:U$28,Налоги!$A$15:$A$28,$A520,Налоги!$M$15:$M$28,$B520)</f>
        <v>0</v>
      </c>
      <c r="W520" s="391">
        <f>SUMIFS(Налоги!V$15:V$28,Налоги!$A$15:$A$28,$A520,Налоги!$M$15:$M$28,$B520)</f>
        <v>0</v>
      </c>
      <c r="X520" s="391">
        <f>SUMIFS(Налоги!W$15:W$28,Налоги!$A$15:$A$28,$A520,Налоги!$M$15:$M$28,$B520)</f>
        <v>0</v>
      </c>
      <c r="Y520" s="391">
        <f>SUMIFS(Налоги!X$15:X$28,Налоги!$A$15:$A$28,$A520,Налоги!$M$15:$M$28,$B520)</f>
        <v>0</v>
      </c>
      <c r="Z520" s="391">
        <f>SUMIFS(Налоги!Y$15:Y$28,Налоги!$A$15:$A$28,$A520,Налоги!$M$15:$M$28,$B520)</f>
        <v>0</v>
      </c>
      <c r="AA520" s="391">
        <f>SUMIFS(Налоги!Z$15:Z$28,Налоги!$A$15:$A$28,$A520,Налоги!$M$15:$M$28,$B520)</f>
        <v>0</v>
      </c>
      <c r="AB520" s="391">
        <f>SUMIFS(Налоги!AA$15:AA$28,Налоги!$A$15:$A$28,$A520,Налоги!$M$15:$M$28,$B520)</f>
        <v>0</v>
      </c>
      <c r="AC520" s="391">
        <f>SUMIFS(Налоги!AB$15:AB$28,Налоги!$A$15:$A$28,$A520,Налоги!$M$15:$M$28,$B520)</f>
        <v>0</v>
      </c>
      <c r="AD520" s="391">
        <f>SUMIFS(Налоги!AC$15:AC$28,Налоги!$A$15:$A$28,$A520,Налоги!$M$15:$M$28,$B520)</f>
        <v>0</v>
      </c>
      <c r="AE520" s="391">
        <f>SUMIFS(Налоги!AD$15:AD$28,Налоги!$A$15:$A$28,$A520,Налоги!$M$15:$M$28,$B520)</f>
        <v>0</v>
      </c>
      <c r="AF520" s="391">
        <f>SUMIFS(Налоги!AE$15:AE$28,Налоги!$A$15:$A$28,$A520,Налоги!$M$15:$M$28,$B520)</f>
        <v>0</v>
      </c>
      <c r="AG520" s="391">
        <f>SUMIFS(Налоги!AF$15:AF$28,Налоги!$A$15:$A$28,$A520,Налоги!$M$15:$M$28,$B520)</f>
        <v>0</v>
      </c>
      <c r="AH520" s="391">
        <f>SUMIFS(Налоги!AG$15:AG$28,Налоги!$A$15:$A$28,$A520,Налоги!$M$15:$M$28,$B520)</f>
        <v>0</v>
      </c>
      <c r="AI520" s="391">
        <f>SUMIFS(Налоги!AH$15:AH$28,Налоги!$A$15:$A$28,$A520,Налоги!$M$15:$M$28,$B520)</f>
        <v>0</v>
      </c>
      <c r="AJ520" s="391">
        <f>SUMIFS(Налоги!AI$15:AI$28,Налоги!$A$15:$A$28,$A520,Налоги!$M$15:$M$28,$B520)</f>
        <v>0</v>
      </c>
      <c r="AK520" s="391">
        <f>SUMIFS(Налоги!AJ$15:AJ$28,Налоги!$A$15:$A$28,$A520,Налоги!$M$15:$M$28,$B520)</f>
        <v>0</v>
      </c>
      <c r="AL520" s="391">
        <f>SUMIFS(Налоги!AK$15:AK$28,Налоги!$A$15:$A$28,$A520,Налоги!$M$15:$M$28,$B520)</f>
        <v>0</v>
      </c>
      <c r="AM520" s="391">
        <f>SUMIFS(Налоги!AL$15:AL$28,Налоги!$A$15:$A$28,$A520,Налоги!$M$15:$M$28,$B520)</f>
        <v>0</v>
      </c>
      <c r="AN520" s="379">
        <f t="shared" si="91"/>
        <v>0</v>
      </c>
      <c r="AO520" s="379">
        <f t="shared" si="97"/>
        <v>0</v>
      </c>
      <c r="AP520" s="379">
        <f t="shared" si="97"/>
        <v>0</v>
      </c>
      <c r="AQ520" s="379">
        <f t="shared" si="97"/>
        <v>0</v>
      </c>
      <c r="AR520" s="379">
        <f t="shared" si="97"/>
        <v>0</v>
      </c>
      <c r="AS520" s="379">
        <f t="shared" si="97"/>
        <v>0</v>
      </c>
      <c r="AT520" s="379">
        <f t="shared" si="97"/>
        <v>0</v>
      </c>
      <c r="AU520" s="379">
        <f t="shared" si="97"/>
        <v>0</v>
      </c>
      <c r="AV520" s="379">
        <f t="shared" si="97"/>
        <v>0</v>
      </c>
      <c r="AW520" s="379">
        <f t="shared" si="97"/>
        <v>0</v>
      </c>
      <c r="AX520" s="183"/>
      <c r="AY520" s="183"/>
      <c r="AZ520" s="183"/>
    </row>
    <row r="521" spans="1:52" s="104" customFormat="1" outlineLevel="1">
      <c r="A521" s="578" t="str">
        <f t="shared" si="101"/>
        <v>1</v>
      </c>
      <c r="B521" s="104" t="s">
        <v>411</v>
      </c>
      <c r="D521" s="104" t="s">
        <v>1673</v>
      </c>
      <c r="L521" s="375" t="s">
        <v>610</v>
      </c>
      <c r="M521" s="383" t="s">
        <v>611</v>
      </c>
      <c r="N521" s="377" t="s">
        <v>351</v>
      </c>
      <c r="O521" s="391">
        <f>SUMIFS(Налоги!O$15:O$28,Налоги!$A$15:$A$28,$A521,Налоги!$M$15:$M$28,$B521)</f>
        <v>0</v>
      </c>
      <c r="P521" s="391">
        <f>SUMIFS(Налоги!P$15:P$28,Налоги!$A$15:$A$28,$A521,Налоги!$M$15:$M$28,$B521)</f>
        <v>0</v>
      </c>
      <c r="Q521" s="391">
        <f>SUMIFS(Налоги!Q$15:Q$28,Налоги!$A$15:$A$28,$A521,Налоги!$M$15:$M$28,$B521)</f>
        <v>0</v>
      </c>
      <c r="R521" s="379">
        <f t="shared" si="100"/>
        <v>0</v>
      </c>
      <c r="S521" s="391">
        <f>SUMIFS(Налоги!R$15:R$28,Налоги!$A$15:$A$28,$A521,Налоги!$M$15:$M$28,$B521)</f>
        <v>0</v>
      </c>
      <c r="T521" s="391">
        <f>SUMIFS(Налоги!S$15:S$28,Налоги!$A$15:$A$28,$A521,Налоги!$M$15:$M$28,$B521)</f>
        <v>0</v>
      </c>
      <c r="U521" s="391">
        <f>SUMIFS(Налоги!T$15:T$28,Налоги!$A$15:$A$28,$A521,Налоги!$M$15:$M$28,$B521)</f>
        <v>0</v>
      </c>
      <c r="V521" s="391">
        <f>SUMIFS(Налоги!U$15:U$28,Налоги!$A$15:$A$28,$A521,Налоги!$M$15:$M$28,$B521)</f>
        <v>0</v>
      </c>
      <c r="W521" s="391">
        <f>SUMIFS(Налоги!V$15:V$28,Налоги!$A$15:$A$28,$A521,Налоги!$M$15:$M$28,$B521)</f>
        <v>0</v>
      </c>
      <c r="X521" s="391">
        <f>SUMIFS(Налоги!W$15:W$28,Налоги!$A$15:$A$28,$A521,Налоги!$M$15:$M$28,$B521)</f>
        <v>0</v>
      </c>
      <c r="Y521" s="391">
        <f>SUMIFS(Налоги!X$15:X$28,Налоги!$A$15:$A$28,$A521,Налоги!$M$15:$M$28,$B521)</f>
        <v>0</v>
      </c>
      <c r="Z521" s="391">
        <f>SUMIFS(Налоги!Y$15:Y$28,Налоги!$A$15:$A$28,$A521,Налоги!$M$15:$M$28,$B521)</f>
        <v>0</v>
      </c>
      <c r="AA521" s="391">
        <f>SUMIFS(Налоги!Z$15:Z$28,Налоги!$A$15:$A$28,$A521,Налоги!$M$15:$M$28,$B521)</f>
        <v>0</v>
      </c>
      <c r="AB521" s="391">
        <f>SUMIFS(Налоги!AA$15:AA$28,Налоги!$A$15:$A$28,$A521,Налоги!$M$15:$M$28,$B521)</f>
        <v>0</v>
      </c>
      <c r="AC521" s="391">
        <f>SUMIFS(Налоги!AB$15:AB$28,Налоги!$A$15:$A$28,$A521,Налоги!$M$15:$M$28,$B521)</f>
        <v>0</v>
      </c>
      <c r="AD521" s="391">
        <f>SUMIFS(Налоги!AC$15:AC$28,Налоги!$A$15:$A$28,$A521,Налоги!$M$15:$M$28,$B521)</f>
        <v>0</v>
      </c>
      <c r="AE521" s="391">
        <f>SUMIFS(Налоги!AD$15:AD$28,Налоги!$A$15:$A$28,$A521,Налоги!$M$15:$M$28,$B521)</f>
        <v>0</v>
      </c>
      <c r="AF521" s="391">
        <f>SUMIFS(Налоги!AE$15:AE$28,Налоги!$A$15:$A$28,$A521,Налоги!$M$15:$M$28,$B521)</f>
        <v>0</v>
      </c>
      <c r="AG521" s="391">
        <f>SUMIFS(Налоги!AF$15:AF$28,Налоги!$A$15:$A$28,$A521,Налоги!$M$15:$M$28,$B521)</f>
        <v>0</v>
      </c>
      <c r="AH521" s="391">
        <f>SUMIFS(Налоги!AG$15:AG$28,Налоги!$A$15:$A$28,$A521,Налоги!$M$15:$M$28,$B521)</f>
        <v>0</v>
      </c>
      <c r="AI521" s="391">
        <f>SUMIFS(Налоги!AH$15:AH$28,Налоги!$A$15:$A$28,$A521,Налоги!$M$15:$M$28,$B521)</f>
        <v>0</v>
      </c>
      <c r="AJ521" s="391">
        <f>SUMIFS(Налоги!AI$15:AI$28,Налоги!$A$15:$A$28,$A521,Налоги!$M$15:$M$28,$B521)</f>
        <v>0</v>
      </c>
      <c r="AK521" s="391">
        <f>SUMIFS(Налоги!AJ$15:AJ$28,Налоги!$A$15:$A$28,$A521,Налоги!$M$15:$M$28,$B521)</f>
        <v>0</v>
      </c>
      <c r="AL521" s="391">
        <f>SUMIFS(Налоги!AK$15:AK$28,Налоги!$A$15:$A$28,$A521,Налоги!$M$15:$M$28,$B521)</f>
        <v>0</v>
      </c>
      <c r="AM521" s="391">
        <f>SUMIFS(Налоги!AL$15:AL$28,Налоги!$A$15:$A$28,$A521,Налоги!$M$15:$M$28,$B521)</f>
        <v>0</v>
      </c>
      <c r="AN521" s="379">
        <f t="shared" si="91"/>
        <v>0</v>
      </c>
      <c r="AO521" s="379">
        <f t="shared" si="97"/>
        <v>0</v>
      </c>
      <c r="AP521" s="379">
        <f t="shared" si="97"/>
        <v>0</v>
      </c>
      <c r="AQ521" s="379">
        <f t="shared" si="97"/>
        <v>0</v>
      </c>
      <c r="AR521" s="379">
        <f t="shared" si="97"/>
        <v>0</v>
      </c>
      <c r="AS521" s="379">
        <f t="shared" si="97"/>
        <v>0</v>
      </c>
      <c r="AT521" s="379">
        <f t="shared" si="97"/>
        <v>0</v>
      </c>
      <c r="AU521" s="379">
        <f t="shared" si="97"/>
        <v>0</v>
      </c>
      <c r="AV521" s="379">
        <f t="shared" si="97"/>
        <v>0</v>
      </c>
      <c r="AW521" s="379">
        <f t="shared" si="97"/>
        <v>0</v>
      </c>
      <c r="AX521" s="183"/>
      <c r="AY521" s="183"/>
      <c r="AZ521" s="183"/>
    </row>
    <row r="522" spans="1:52" s="104" customFormat="1" outlineLevel="1">
      <c r="A522" s="578" t="str">
        <f t="shared" si="101"/>
        <v>1</v>
      </c>
      <c r="B522" s="104" t="s">
        <v>1390</v>
      </c>
      <c r="D522" s="104" t="s">
        <v>1674</v>
      </c>
      <c r="L522" s="375" t="s">
        <v>612</v>
      </c>
      <c r="M522" s="383" t="s">
        <v>613</v>
      </c>
      <c r="N522" s="377" t="s">
        <v>351</v>
      </c>
      <c r="O522" s="378">
        <f>SUMIFS(Налоги!O$15:O$28,Налоги!$A$15:$A$28,$A522,Налоги!$M$15:$M$28,$B522)</f>
        <v>0</v>
      </c>
      <c r="P522" s="378">
        <f>SUMIFS(Налоги!P$15:P$28,Налоги!$A$15:$A$28,$A522,Налоги!$M$15:$M$28,$B522)</f>
        <v>0</v>
      </c>
      <c r="Q522" s="378">
        <f>SUMIFS(Налоги!Q$15:Q$28,Налоги!$A$15:$A$28,$A522,Налоги!$M$15:$M$28,$B522)</f>
        <v>0</v>
      </c>
      <c r="R522" s="379">
        <f t="shared" si="100"/>
        <v>0</v>
      </c>
      <c r="S522" s="378">
        <f>SUMIFS(Налоги!R$15:R$28,Налоги!$A$15:$A$28,$A522,Налоги!$M$15:$M$28,$B522)</f>
        <v>0</v>
      </c>
      <c r="T522" s="378">
        <f>SUMIFS(Налоги!S$15:S$28,Налоги!$A$15:$A$28,$A522,Налоги!$M$15:$M$28,$B522)</f>
        <v>0</v>
      </c>
      <c r="U522" s="378">
        <f>SUMIFS(Налоги!T$15:T$28,Налоги!$A$15:$A$28,$A522,Налоги!$M$15:$M$28,$B522)</f>
        <v>0</v>
      </c>
      <c r="V522" s="378">
        <f>SUMIFS(Налоги!U$15:U$28,Налоги!$A$15:$A$28,$A522,Налоги!$M$15:$M$28,$B522)</f>
        <v>0</v>
      </c>
      <c r="W522" s="378">
        <f>SUMIFS(Налоги!V$15:V$28,Налоги!$A$15:$A$28,$A522,Налоги!$M$15:$M$28,$B522)</f>
        <v>0</v>
      </c>
      <c r="X522" s="378">
        <f>SUMIFS(Налоги!W$15:W$28,Налоги!$A$15:$A$28,$A522,Налоги!$M$15:$M$28,$B522)</f>
        <v>0</v>
      </c>
      <c r="Y522" s="378">
        <f>SUMIFS(Налоги!X$15:X$28,Налоги!$A$15:$A$28,$A522,Налоги!$M$15:$M$28,$B522)</f>
        <v>0</v>
      </c>
      <c r="Z522" s="378">
        <f>SUMIFS(Налоги!Y$15:Y$28,Налоги!$A$15:$A$28,$A522,Налоги!$M$15:$M$28,$B522)</f>
        <v>0</v>
      </c>
      <c r="AA522" s="378">
        <f>SUMIFS(Налоги!Z$15:Z$28,Налоги!$A$15:$A$28,$A522,Налоги!$M$15:$M$28,$B522)</f>
        <v>0</v>
      </c>
      <c r="AB522" s="378">
        <f>SUMIFS(Налоги!AA$15:AA$28,Налоги!$A$15:$A$28,$A522,Налоги!$M$15:$M$28,$B522)</f>
        <v>0</v>
      </c>
      <c r="AC522" s="378">
        <f>SUMIFS(Налоги!AB$15:AB$28,Налоги!$A$15:$A$28,$A522,Налоги!$M$15:$M$28,$B522)</f>
        <v>0</v>
      </c>
      <c r="AD522" s="378">
        <f>SUMIFS(Налоги!AC$15:AC$28,Налоги!$A$15:$A$28,$A522,Налоги!$M$15:$M$28,$B522)</f>
        <v>0</v>
      </c>
      <c r="AE522" s="378">
        <f>SUMIFS(Налоги!AD$15:AD$28,Налоги!$A$15:$A$28,$A522,Налоги!$M$15:$M$28,$B522)</f>
        <v>0</v>
      </c>
      <c r="AF522" s="378">
        <f>SUMIFS(Налоги!AE$15:AE$28,Налоги!$A$15:$A$28,$A522,Налоги!$M$15:$M$28,$B522)</f>
        <v>0</v>
      </c>
      <c r="AG522" s="378">
        <f>SUMIFS(Налоги!AF$15:AF$28,Налоги!$A$15:$A$28,$A522,Налоги!$M$15:$M$28,$B522)</f>
        <v>0</v>
      </c>
      <c r="AH522" s="378">
        <f>SUMIFS(Налоги!AG$15:AG$28,Налоги!$A$15:$A$28,$A522,Налоги!$M$15:$M$28,$B522)</f>
        <v>0</v>
      </c>
      <c r="AI522" s="378">
        <f>SUMIFS(Налоги!AH$15:AH$28,Налоги!$A$15:$A$28,$A522,Налоги!$M$15:$M$28,$B522)</f>
        <v>0</v>
      </c>
      <c r="AJ522" s="378">
        <f>SUMIFS(Налоги!AI$15:AI$28,Налоги!$A$15:$A$28,$A522,Налоги!$M$15:$M$28,$B522)</f>
        <v>0</v>
      </c>
      <c r="AK522" s="378">
        <f>SUMIFS(Налоги!AJ$15:AJ$28,Налоги!$A$15:$A$28,$A522,Налоги!$M$15:$M$28,$B522)</f>
        <v>0</v>
      </c>
      <c r="AL522" s="378">
        <f>SUMIFS(Налоги!AK$15:AK$28,Налоги!$A$15:$A$28,$A522,Налоги!$M$15:$M$28,$B522)</f>
        <v>0</v>
      </c>
      <c r="AM522" s="378">
        <f>SUMIFS(Налоги!AL$15:AL$28,Налоги!$A$15:$A$28,$A522,Налоги!$M$15:$M$28,$B522)</f>
        <v>0</v>
      </c>
      <c r="AN522" s="379">
        <f t="shared" si="91"/>
        <v>0</v>
      </c>
      <c r="AO522" s="379">
        <f t="shared" si="97"/>
        <v>0</v>
      </c>
      <c r="AP522" s="379">
        <f t="shared" si="97"/>
        <v>0</v>
      </c>
      <c r="AQ522" s="379">
        <f t="shared" si="97"/>
        <v>0</v>
      </c>
      <c r="AR522" s="379">
        <f t="shared" si="97"/>
        <v>0</v>
      </c>
      <c r="AS522" s="379">
        <f t="shared" si="97"/>
        <v>0</v>
      </c>
      <c r="AT522" s="379">
        <f t="shared" si="97"/>
        <v>0</v>
      </c>
      <c r="AU522" s="379">
        <f t="shared" si="97"/>
        <v>0</v>
      </c>
      <c r="AV522" s="379">
        <f t="shared" si="97"/>
        <v>0</v>
      </c>
      <c r="AW522" s="379">
        <f t="shared" si="97"/>
        <v>0</v>
      </c>
      <c r="AX522" s="183"/>
      <c r="AY522" s="183"/>
      <c r="AZ522" s="183"/>
    </row>
    <row r="523" spans="1:52" s="104" customFormat="1" outlineLevel="1">
      <c r="A523" s="578" t="str">
        <f t="shared" si="101"/>
        <v>1</v>
      </c>
      <c r="B523" s="104" t="s">
        <v>1391</v>
      </c>
      <c r="D523" s="104" t="s">
        <v>1675</v>
      </c>
      <c r="L523" s="375" t="s">
        <v>614</v>
      </c>
      <c r="M523" s="383" t="s">
        <v>615</v>
      </c>
      <c r="N523" s="377" t="s">
        <v>351</v>
      </c>
      <c r="O523" s="391">
        <f>SUMIFS(Налоги!O$15:O$28,Налоги!$A$15:$A$28,$A523,Налоги!$M$15:$M$28,$B523)</f>
        <v>0</v>
      </c>
      <c r="P523" s="391">
        <f>SUMIFS(Налоги!P$15:P$28,Налоги!$A$15:$A$28,$A523,Налоги!$M$15:$M$28,$B523)</f>
        <v>0</v>
      </c>
      <c r="Q523" s="391">
        <f>SUMIFS(Налоги!Q$15:Q$28,Налоги!$A$15:$A$28,$A523,Налоги!$M$15:$M$28,$B523)</f>
        <v>0</v>
      </c>
      <c r="R523" s="379">
        <f>Q523-P523</f>
        <v>0</v>
      </c>
      <c r="S523" s="391">
        <f>SUMIFS(Налоги!R$15:R$28,Налоги!$A$15:$A$28,$A523,Налоги!$M$15:$M$28,$B523)</f>
        <v>0</v>
      </c>
      <c r="T523" s="391">
        <f>SUMIFS(Налоги!S$15:S$28,Налоги!$A$15:$A$28,$A523,Налоги!$M$15:$M$28,$B523)</f>
        <v>0</v>
      </c>
      <c r="U523" s="391">
        <f>SUMIFS(Налоги!T$15:T$28,Налоги!$A$15:$A$28,$A523,Налоги!$M$15:$M$28,$B523)</f>
        <v>0</v>
      </c>
      <c r="V523" s="391">
        <f>SUMIFS(Налоги!U$15:U$28,Налоги!$A$15:$A$28,$A523,Налоги!$M$15:$M$28,$B523)</f>
        <v>0</v>
      </c>
      <c r="W523" s="391">
        <f>SUMIFS(Налоги!V$15:V$28,Налоги!$A$15:$A$28,$A523,Налоги!$M$15:$M$28,$B523)</f>
        <v>0</v>
      </c>
      <c r="X523" s="391">
        <f>SUMIFS(Налоги!W$15:W$28,Налоги!$A$15:$A$28,$A523,Налоги!$M$15:$M$28,$B523)</f>
        <v>0</v>
      </c>
      <c r="Y523" s="391">
        <f>SUMIFS(Налоги!X$15:X$28,Налоги!$A$15:$A$28,$A523,Налоги!$M$15:$M$28,$B523)</f>
        <v>0</v>
      </c>
      <c r="Z523" s="391">
        <f>SUMIFS(Налоги!Y$15:Y$28,Налоги!$A$15:$A$28,$A523,Налоги!$M$15:$M$28,$B523)</f>
        <v>0</v>
      </c>
      <c r="AA523" s="391">
        <f>SUMIFS(Налоги!Z$15:Z$28,Налоги!$A$15:$A$28,$A523,Налоги!$M$15:$M$28,$B523)</f>
        <v>0</v>
      </c>
      <c r="AB523" s="391">
        <f>SUMIFS(Налоги!AA$15:AA$28,Налоги!$A$15:$A$28,$A523,Налоги!$M$15:$M$28,$B523)</f>
        <v>0</v>
      </c>
      <c r="AC523" s="391">
        <f>SUMIFS(Налоги!AB$15:AB$28,Налоги!$A$15:$A$28,$A523,Налоги!$M$15:$M$28,$B523)</f>
        <v>0</v>
      </c>
      <c r="AD523" s="391">
        <f>SUMIFS(Налоги!AC$15:AC$28,Налоги!$A$15:$A$28,$A523,Налоги!$M$15:$M$28,$B523)</f>
        <v>0</v>
      </c>
      <c r="AE523" s="391">
        <f>SUMIFS(Налоги!AD$15:AD$28,Налоги!$A$15:$A$28,$A523,Налоги!$M$15:$M$28,$B523)</f>
        <v>0</v>
      </c>
      <c r="AF523" s="391">
        <f>SUMIFS(Налоги!AE$15:AE$28,Налоги!$A$15:$A$28,$A523,Налоги!$M$15:$M$28,$B523)</f>
        <v>0</v>
      </c>
      <c r="AG523" s="391">
        <f>SUMIFS(Налоги!AF$15:AF$28,Налоги!$A$15:$A$28,$A523,Налоги!$M$15:$M$28,$B523)</f>
        <v>0</v>
      </c>
      <c r="AH523" s="391">
        <f>SUMIFS(Налоги!AG$15:AG$28,Налоги!$A$15:$A$28,$A523,Налоги!$M$15:$M$28,$B523)</f>
        <v>0</v>
      </c>
      <c r="AI523" s="391">
        <f>SUMIFS(Налоги!AH$15:AH$28,Налоги!$A$15:$A$28,$A523,Налоги!$M$15:$M$28,$B523)</f>
        <v>0</v>
      </c>
      <c r="AJ523" s="391">
        <f>SUMIFS(Налоги!AI$15:AI$28,Налоги!$A$15:$A$28,$A523,Налоги!$M$15:$M$28,$B523)</f>
        <v>0</v>
      </c>
      <c r="AK523" s="391">
        <f>SUMIFS(Налоги!AJ$15:AJ$28,Налоги!$A$15:$A$28,$A523,Налоги!$M$15:$M$28,$B523)</f>
        <v>0</v>
      </c>
      <c r="AL523" s="391">
        <f>SUMIFS(Налоги!AK$15:AK$28,Налоги!$A$15:$A$28,$A523,Налоги!$M$15:$M$28,$B523)</f>
        <v>0</v>
      </c>
      <c r="AM523" s="391">
        <f>SUMIFS(Налоги!AL$15:AL$28,Налоги!$A$15:$A$28,$A523,Налоги!$M$15:$M$28,$B523)</f>
        <v>0</v>
      </c>
      <c r="AN523" s="379">
        <f t="shared" si="91"/>
        <v>0</v>
      </c>
      <c r="AO523" s="379">
        <f t="shared" si="97"/>
        <v>0</v>
      </c>
      <c r="AP523" s="379">
        <f t="shared" si="97"/>
        <v>0</v>
      </c>
      <c r="AQ523" s="379">
        <f t="shared" si="97"/>
        <v>0</v>
      </c>
      <c r="AR523" s="379">
        <f t="shared" si="97"/>
        <v>0</v>
      </c>
      <c r="AS523" s="379">
        <f t="shared" si="97"/>
        <v>0</v>
      </c>
      <c r="AT523" s="379">
        <f t="shared" si="97"/>
        <v>0</v>
      </c>
      <c r="AU523" s="379">
        <f t="shared" si="97"/>
        <v>0</v>
      </c>
      <c r="AV523" s="379">
        <f t="shared" si="97"/>
        <v>0</v>
      </c>
      <c r="AW523" s="379">
        <f t="shared" si="97"/>
        <v>0</v>
      </c>
      <c r="AX523" s="183"/>
      <c r="AY523" s="183"/>
      <c r="AZ523" s="183"/>
    </row>
    <row r="524" spans="1:52" s="104" customFormat="1" outlineLevel="1">
      <c r="A524" s="578" t="str">
        <f t="shared" si="101"/>
        <v>1</v>
      </c>
      <c r="B524" s="104" t="s">
        <v>415</v>
      </c>
      <c r="D524" s="104" t="s">
        <v>1676</v>
      </c>
      <c r="L524" s="375" t="s">
        <v>616</v>
      </c>
      <c r="M524" s="392" t="s">
        <v>1127</v>
      </c>
      <c r="N524" s="377" t="s">
        <v>351</v>
      </c>
      <c r="O524" s="391">
        <f>SUMIFS(Налоги!O$15:O$28,Налоги!$A$15:$A$28,$A524,Налоги!$M$15:$M$28,$B524)</f>
        <v>0</v>
      </c>
      <c r="P524" s="391">
        <f>SUMIFS(Налоги!P$15:P$28,Налоги!$A$15:$A$28,$A524,Налоги!$M$15:$M$28,$B524)</f>
        <v>0</v>
      </c>
      <c r="Q524" s="391">
        <f>SUMIFS(Налоги!Q$15:Q$28,Налоги!$A$15:$A$28,$A524,Налоги!$M$15:$M$28,$B524)</f>
        <v>0</v>
      </c>
      <c r="R524" s="379">
        <f t="shared" si="100"/>
        <v>0</v>
      </c>
      <c r="S524" s="391">
        <f>SUMIFS(Налоги!R$15:R$28,Налоги!$A$15:$A$28,$A524,Налоги!$M$15:$M$28,$B524)</f>
        <v>0</v>
      </c>
      <c r="T524" s="391">
        <f>SUMIFS(Налоги!S$15:S$28,Налоги!$A$15:$A$28,$A524,Налоги!$M$15:$M$28,$B524)</f>
        <v>0</v>
      </c>
      <c r="U524" s="391">
        <f>SUMIFS(Налоги!T$15:T$28,Налоги!$A$15:$A$28,$A524,Налоги!$M$15:$M$28,$B524)</f>
        <v>0</v>
      </c>
      <c r="V524" s="391">
        <f>SUMIFS(Налоги!U$15:U$28,Налоги!$A$15:$A$28,$A524,Налоги!$M$15:$M$28,$B524)</f>
        <v>0</v>
      </c>
      <c r="W524" s="391">
        <f>SUMIFS(Налоги!V$15:V$28,Налоги!$A$15:$A$28,$A524,Налоги!$M$15:$M$28,$B524)</f>
        <v>0</v>
      </c>
      <c r="X524" s="391">
        <f>SUMIFS(Налоги!W$15:W$28,Налоги!$A$15:$A$28,$A524,Налоги!$M$15:$M$28,$B524)</f>
        <v>0</v>
      </c>
      <c r="Y524" s="391">
        <f>SUMIFS(Налоги!X$15:X$28,Налоги!$A$15:$A$28,$A524,Налоги!$M$15:$M$28,$B524)</f>
        <v>0</v>
      </c>
      <c r="Z524" s="391">
        <f>SUMIFS(Налоги!Y$15:Y$28,Налоги!$A$15:$A$28,$A524,Налоги!$M$15:$M$28,$B524)</f>
        <v>0</v>
      </c>
      <c r="AA524" s="391">
        <f>SUMIFS(Налоги!Z$15:Z$28,Налоги!$A$15:$A$28,$A524,Налоги!$M$15:$M$28,$B524)</f>
        <v>0</v>
      </c>
      <c r="AB524" s="391">
        <f>SUMIFS(Налоги!AA$15:AA$28,Налоги!$A$15:$A$28,$A524,Налоги!$M$15:$M$28,$B524)</f>
        <v>0</v>
      </c>
      <c r="AC524" s="391">
        <f>SUMIFS(Налоги!AB$15:AB$28,Налоги!$A$15:$A$28,$A524,Налоги!$M$15:$M$28,$B524)</f>
        <v>0</v>
      </c>
      <c r="AD524" s="391">
        <f>SUMIFS(Налоги!AC$15:AC$28,Налоги!$A$15:$A$28,$A524,Налоги!$M$15:$M$28,$B524)</f>
        <v>0</v>
      </c>
      <c r="AE524" s="391">
        <f>SUMIFS(Налоги!AD$15:AD$28,Налоги!$A$15:$A$28,$A524,Налоги!$M$15:$M$28,$B524)</f>
        <v>0</v>
      </c>
      <c r="AF524" s="391">
        <f>SUMIFS(Налоги!AE$15:AE$28,Налоги!$A$15:$A$28,$A524,Налоги!$M$15:$M$28,$B524)</f>
        <v>0</v>
      </c>
      <c r="AG524" s="391">
        <f>SUMIFS(Налоги!AF$15:AF$28,Налоги!$A$15:$A$28,$A524,Налоги!$M$15:$M$28,$B524)</f>
        <v>0</v>
      </c>
      <c r="AH524" s="391">
        <f>SUMIFS(Налоги!AG$15:AG$28,Налоги!$A$15:$A$28,$A524,Налоги!$M$15:$M$28,$B524)</f>
        <v>0</v>
      </c>
      <c r="AI524" s="391">
        <f>SUMIFS(Налоги!AH$15:AH$28,Налоги!$A$15:$A$28,$A524,Налоги!$M$15:$M$28,$B524)</f>
        <v>0</v>
      </c>
      <c r="AJ524" s="391">
        <f>SUMIFS(Налоги!AI$15:AI$28,Налоги!$A$15:$A$28,$A524,Налоги!$M$15:$M$28,$B524)</f>
        <v>0</v>
      </c>
      <c r="AK524" s="391">
        <f>SUMIFS(Налоги!AJ$15:AJ$28,Налоги!$A$15:$A$28,$A524,Налоги!$M$15:$M$28,$B524)</f>
        <v>0</v>
      </c>
      <c r="AL524" s="391">
        <f>SUMIFS(Налоги!AK$15:AK$28,Налоги!$A$15:$A$28,$A524,Налоги!$M$15:$M$28,$B524)</f>
        <v>0</v>
      </c>
      <c r="AM524" s="391">
        <f>SUMIFS(Налоги!AL$15:AL$28,Налоги!$A$15:$A$28,$A524,Налоги!$M$15:$M$28,$B524)</f>
        <v>0</v>
      </c>
      <c r="AN524" s="379">
        <f t="shared" si="91"/>
        <v>0</v>
      </c>
      <c r="AO524" s="379">
        <f t="shared" si="97"/>
        <v>0</v>
      </c>
      <c r="AP524" s="379">
        <f t="shared" si="97"/>
        <v>0</v>
      </c>
      <c r="AQ524" s="379">
        <f t="shared" si="97"/>
        <v>0</v>
      </c>
      <c r="AR524" s="379">
        <f t="shared" si="97"/>
        <v>0</v>
      </c>
      <c r="AS524" s="379">
        <f t="shared" si="97"/>
        <v>0</v>
      </c>
      <c r="AT524" s="379">
        <f t="shared" si="97"/>
        <v>0</v>
      </c>
      <c r="AU524" s="379">
        <f t="shared" si="97"/>
        <v>0</v>
      </c>
      <c r="AV524" s="379">
        <f t="shared" si="97"/>
        <v>0</v>
      </c>
      <c r="AW524" s="379">
        <f t="shared" si="97"/>
        <v>0</v>
      </c>
      <c r="AX524" s="183"/>
      <c r="AY524" s="183"/>
      <c r="AZ524" s="183"/>
    </row>
    <row r="525" spans="1:52" s="104" customFormat="1" ht="78.75" outlineLevel="1">
      <c r="A525" s="578" t="str">
        <f t="shared" si="101"/>
        <v>1</v>
      </c>
      <c r="B525" s="104" t="s">
        <v>1422</v>
      </c>
      <c r="D525" s="104" t="s">
        <v>1553</v>
      </c>
      <c r="L525" s="375" t="s">
        <v>153</v>
      </c>
      <c r="M525" s="393" t="s">
        <v>465</v>
      </c>
      <c r="N525" s="377" t="s">
        <v>351</v>
      </c>
      <c r="O525" s="394"/>
      <c r="P525" s="394"/>
      <c r="Q525" s="394"/>
      <c r="R525" s="379">
        <f t="shared" si="100"/>
        <v>0</v>
      </c>
      <c r="S525" s="394"/>
      <c r="T525" s="394"/>
      <c r="U525" s="394"/>
      <c r="V525" s="394"/>
      <c r="W525" s="394"/>
      <c r="X525" s="394"/>
      <c r="Y525" s="394"/>
      <c r="Z525" s="394"/>
      <c r="AA525" s="394"/>
      <c r="AB525" s="394"/>
      <c r="AC525" s="394"/>
      <c r="AD525" s="394"/>
      <c r="AE525" s="394"/>
      <c r="AF525" s="394"/>
      <c r="AG525" s="394"/>
      <c r="AH525" s="394"/>
      <c r="AI525" s="394"/>
      <c r="AJ525" s="394"/>
      <c r="AK525" s="394"/>
      <c r="AL525" s="394"/>
      <c r="AM525" s="394"/>
      <c r="AN525" s="379">
        <f t="shared" si="91"/>
        <v>0</v>
      </c>
      <c r="AO525" s="379">
        <f t="shared" ref="AO525:AW545" si="102">IF(AD525=0,0,(AE525-AD525)/AD525*100)</f>
        <v>0</v>
      </c>
      <c r="AP525" s="379">
        <f t="shared" si="102"/>
        <v>0</v>
      </c>
      <c r="AQ525" s="379">
        <f t="shared" si="102"/>
        <v>0</v>
      </c>
      <c r="AR525" s="379">
        <f t="shared" si="102"/>
        <v>0</v>
      </c>
      <c r="AS525" s="379">
        <f t="shared" si="102"/>
        <v>0</v>
      </c>
      <c r="AT525" s="379">
        <f t="shared" si="102"/>
        <v>0</v>
      </c>
      <c r="AU525" s="379">
        <f t="shared" si="102"/>
        <v>0</v>
      </c>
      <c r="AV525" s="379">
        <f t="shared" si="102"/>
        <v>0</v>
      </c>
      <c r="AW525" s="379">
        <f t="shared" si="102"/>
        <v>0</v>
      </c>
      <c r="AX525" s="183"/>
      <c r="AY525" s="183"/>
      <c r="AZ525" s="183"/>
    </row>
    <row r="526" spans="1:52" s="104" customFormat="1" outlineLevel="1">
      <c r="A526" s="578" t="str">
        <f t="shared" si="101"/>
        <v>1</v>
      </c>
      <c r="B526" s="104" t="s">
        <v>617</v>
      </c>
      <c r="D526" s="104" t="s">
        <v>1554</v>
      </c>
      <c r="L526" s="375" t="s">
        <v>366</v>
      </c>
      <c r="M526" s="376" t="s">
        <v>617</v>
      </c>
      <c r="N526" s="377" t="s">
        <v>351</v>
      </c>
      <c r="O526" s="391">
        <f>SUMIFS(Аренда!O$15:O$24,Аренда!$A$15:$A$24,$A526,Аренда!$M$15:$M$24,"Арендная и концессионная плата. Лизинговые платежи")</f>
        <v>0</v>
      </c>
      <c r="P526" s="391">
        <f>SUMIFS(Аренда!P$15:P$24,Аренда!$A$15:$A$24,$A526,Аренда!$M$15:$M$24,"Арендная и концессионная плата. Лизинговые платежи")</f>
        <v>0</v>
      </c>
      <c r="Q526" s="391">
        <f>SUMIFS(Аренда!Q$15:Q$24,Аренда!$A$15:$A$24,$A526,Аренда!$M$15:$M$24,"Арендная и концессионная плата. Лизинговые платежи")</f>
        <v>0</v>
      </c>
      <c r="R526" s="379">
        <f t="shared" si="100"/>
        <v>0</v>
      </c>
      <c r="S526" s="391">
        <f>SUMIFS(Аренда!R$15:R$24,Аренда!$A$15:$A$24,$A526,Аренда!$M$15:$M$24,"Арендная и концессионная плата. Лизинговые платежи")</f>
        <v>0</v>
      </c>
      <c r="T526" s="391">
        <f>SUMIFS(Аренда!S$15:S$24,Аренда!$A$15:$A$24,$A526,Аренда!$M$15:$M$24,"Арендная и концессионная плата. Лизинговые платежи")</f>
        <v>0</v>
      </c>
      <c r="U526" s="391">
        <f>SUMIFS(Аренда!T$15:T$24,Аренда!$A$15:$A$24,$A526,Аренда!$M$15:$M$24,"Арендная и концессионная плата. Лизинговые платежи")</f>
        <v>0</v>
      </c>
      <c r="V526" s="391">
        <f>SUMIFS(Аренда!U$15:U$24,Аренда!$A$15:$A$24,$A526,Аренда!$M$15:$M$24,"Арендная и концессионная плата. Лизинговые платежи")</f>
        <v>0</v>
      </c>
      <c r="W526" s="391">
        <f>SUMIFS(Аренда!V$15:V$24,Аренда!$A$15:$A$24,$A526,Аренда!$M$15:$M$24,"Арендная и концессионная плата. Лизинговые платежи")</f>
        <v>0</v>
      </c>
      <c r="X526" s="391">
        <f>SUMIFS(Аренда!W$15:W$24,Аренда!$A$15:$A$24,$A526,Аренда!$M$15:$M$24,"Арендная и концессионная плата. Лизинговые платежи")</f>
        <v>0</v>
      </c>
      <c r="Y526" s="391">
        <f>SUMIFS(Аренда!X$15:X$24,Аренда!$A$15:$A$24,$A526,Аренда!$M$15:$M$24,"Арендная и концессионная плата. Лизинговые платежи")</f>
        <v>0</v>
      </c>
      <c r="Z526" s="391">
        <f>SUMIFS(Аренда!Y$15:Y$24,Аренда!$A$15:$A$24,$A526,Аренда!$M$15:$M$24,"Арендная и концессионная плата. Лизинговые платежи")</f>
        <v>0</v>
      </c>
      <c r="AA526" s="391">
        <f>SUMIFS(Аренда!Z$15:Z$24,Аренда!$A$15:$A$24,$A526,Аренда!$M$15:$M$24,"Арендная и концессионная плата. Лизинговые платежи")</f>
        <v>0</v>
      </c>
      <c r="AB526" s="391">
        <f>SUMIFS(Аренда!AA$15:AA$24,Аренда!$A$15:$A$24,$A526,Аренда!$M$15:$M$24,"Арендная и концессионная плата. Лизинговые платежи")</f>
        <v>0</v>
      </c>
      <c r="AC526" s="391">
        <f>SUMIFS(Аренда!AB$15:AB$24,Аренда!$A$15:$A$24,$A526,Аренда!$M$15:$M$24,"Арендная и концессионная плата. Лизинговые платежи")</f>
        <v>0</v>
      </c>
      <c r="AD526" s="391">
        <f>SUMIFS(Аренда!AC$15:AC$24,Аренда!$A$15:$A$24,$A526,Аренда!$M$15:$M$24,"Арендная и концессионная плата. Лизинговые платежи")</f>
        <v>0</v>
      </c>
      <c r="AE526" s="391">
        <f>SUMIFS(Аренда!AD$15:AD$24,Аренда!$A$15:$A$24,$A526,Аренда!$M$15:$M$24,"Арендная и концессионная плата. Лизинговые платежи")</f>
        <v>0</v>
      </c>
      <c r="AF526" s="391">
        <f>SUMIFS(Аренда!AE$15:AE$24,Аренда!$A$15:$A$24,$A526,Аренда!$M$15:$M$24,"Арендная и концессионная плата. Лизинговые платежи")</f>
        <v>0</v>
      </c>
      <c r="AG526" s="391">
        <f>SUMIFS(Аренда!AF$15:AF$24,Аренда!$A$15:$A$24,$A526,Аренда!$M$15:$M$24,"Арендная и концессионная плата. Лизинговые платежи")</f>
        <v>0</v>
      </c>
      <c r="AH526" s="391">
        <f>SUMIFS(Аренда!AG$15:AG$24,Аренда!$A$15:$A$24,$A526,Аренда!$M$15:$M$24,"Арендная и концессионная плата. Лизинговые платежи")</f>
        <v>0</v>
      </c>
      <c r="AI526" s="391">
        <f>SUMIFS(Аренда!AH$15:AH$24,Аренда!$A$15:$A$24,$A526,Аренда!$M$15:$M$24,"Арендная и концессионная плата. Лизинговые платежи")</f>
        <v>0</v>
      </c>
      <c r="AJ526" s="391">
        <f>SUMIFS(Аренда!AI$15:AI$24,Аренда!$A$15:$A$24,$A526,Аренда!$M$15:$M$24,"Арендная и концессионная плата. Лизинговые платежи")</f>
        <v>0</v>
      </c>
      <c r="AK526" s="391">
        <f>SUMIFS(Аренда!AJ$15:AJ$24,Аренда!$A$15:$A$24,$A526,Аренда!$M$15:$M$24,"Арендная и концессионная плата. Лизинговые платежи")</f>
        <v>0</v>
      </c>
      <c r="AL526" s="391">
        <f>SUMIFS(Аренда!AK$15:AK$24,Аренда!$A$15:$A$24,$A526,Аренда!$M$15:$M$24,"Арендная и концессионная плата. Лизинговые платежи")</f>
        <v>0</v>
      </c>
      <c r="AM526" s="391">
        <f>SUMIFS(Аренда!AL$15:AL$24,Аренда!$A$15:$A$24,$A526,Аренда!$M$15:$M$24,"Арендная и концессионная плата. Лизинговые платежи")</f>
        <v>0</v>
      </c>
      <c r="AN526" s="379">
        <f t="shared" ref="AN526:AN545" si="103">IF(S526=0,0,(AD526-S526)/S526*100)</f>
        <v>0</v>
      </c>
      <c r="AO526" s="379">
        <f t="shared" si="102"/>
        <v>0</v>
      </c>
      <c r="AP526" s="379">
        <f t="shared" si="102"/>
        <v>0</v>
      </c>
      <c r="AQ526" s="379">
        <f t="shared" si="102"/>
        <v>0</v>
      </c>
      <c r="AR526" s="379">
        <f t="shared" si="102"/>
        <v>0</v>
      </c>
      <c r="AS526" s="379">
        <f t="shared" si="102"/>
        <v>0</v>
      </c>
      <c r="AT526" s="379">
        <f t="shared" si="102"/>
        <v>0</v>
      </c>
      <c r="AU526" s="379">
        <f t="shared" si="102"/>
        <v>0</v>
      </c>
      <c r="AV526" s="379">
        <f t="shared" si="102"/>
        <v>0</v>
      </c>
      <c r="AW526" s="379">
        <f t="shared" si="102"/>
        <v>0</v>
      </c>
      <c r="AX526" s="183"/>
      <c r="AY526" s="183"/>
      <c r="AZ526" s="183"/>
    </row>
    <row r="527" spans="1:52" s="104" customFormat="1" outlineLevel="1">
      <c r="A527" s="578" t="str">
        <f t="shared" si="101"/>
        <v>1</v>
      </c>
      <c r="D527" s="104" t="s">
        <v>1677</v>
      </c>
      <c r="L527" s="375" t="s">
        <v>491</v>
      </c>
      <c r="M527" s="376" t="s">
        <v>618</v>
      </c>
      <c r="N527" s="377" t="s">
        <v>351</v>
      </c>
      <c r="O527" s="378">
        <f>O528</f>
        <v>0</v>
      </c>
      <c r="P527" s="378">
        <f>P528</f>
        <v>0</v>
      </c>
      <c r="Q527" s="378">
        <f>Q528</f>
        <v>0</v>
      </c>
      <c r="R527" s="379">
        <f t="shared" si="100"/>
        <v>0</v>
      </c>
      <c r="S527" s="378">
        <f t="shared" ref="S527:AM527" si="104">S528</f>
        <v>0</v>
      </c>
      <c r="T527" s="378">
        <f t="shared" si="104"/>
        <v>0</v>
      </c>
      <c r="U527" s="378">
        <f t="shared" si="104"/>
        <v>0</v>
      </c>
      <c r="V527" s="378">
        <f t="shared" si="104"/>
        <v>0</v>
      </c>
      <c r="W527" s="378">
        <f t="shared" si="104"/>
        <v>0</v>
      </c>
      <c r="X527" s="378">
        <f t="shared" si="104"/>
        <v>0</v>
      </c>
      <c r="Y527" s="378">
        <f t="shared" si="104"/>
        <v>0</v>
      </c>
      <c r="Z527" s="378">
        <f t="shared" si="104"/>
        <v>0</v>
      </c>
      <c r="AA527" s="378">
        <f t="shared" si="104"/>
        <v>0</v>
      </c>
      <c r="AB527" s="378">
        <f t="shared" si="104"/>
        <v>0</v>
      </c>
      <c r="AC527" s="378">
        <f t="shared" si="104"/>
        <v>0</v>
      </c>
      <c r="AD527" s="378">
        <f t="shared" si="104"/>
        <v>0</v>
      </c>
      <c r="AE527" s="378">
        <f t="shared" si="104"/>
        <v>0</v>
      </c>
      <c r="AF527" s="378">
        <f t="shared" si="104"/>
        <v>0</v>
      </c>
      <c r="AG527" s="378">
        <f t="shared" si="104"/>
        <v>0</v>
      </c>
      <c r="AH527" s="378">
        <f t="shared" si="104"/>
        <v>0</v>
      </c>
      <c r="AI527" s="378">
        <f t="shared" si="104"/>
        <v>0</v>
      </c>
      <c r="AJ527" s="378">
        <f t="shared" si="104"/>
        <v>0</v>
      </c>
      <c r="AK527" s="378">
        <f t="shared" si="104"/>
        <v>0</v>
      </c>
      <c r="AL527" s="378">
        <f t="shared" si="104"/>
        <v>0</v>
      </c>
      <c r="AM527" s="378">
        <f t="shared" si="104"/>
        <v>0</v>
      </c>
      <c r="AN527" s="379">
        <f t="shared" si="103"/>
        <v>0</v>
      </c>
      <c r="AO527" s="379">
        <f t="shared" si="102"/>
        <v>0</v>
      </c>
      <c r="AP527" s="379">
        <f t="shared" si="102"/>
        <v>0</v>
      </c>
      <c r="AQ527" s="379">
        <f t="shared" si="102"/>
        <v>0</v>
      </c>
      <c r="AR527" s="379">
        <f t="shared" si="102"/>
        <v>0</v>
      </c>
      <c r="AS527" s="379">
        <f t="shared" si="102"/>
        <v>0</v>
      </c>
      <c r="AT527" s="379">
        <f t="shared" si="102"/>
        <v>0</v>
      </c>
      <c r="AU527" s="379">
        <f t="shared" si="102"/>
        <v>0</v>
      </c>
      <c r="AV527" s="379">
        <f t="shared" si="102"/>
        <v>0</v>
      </c>
      <c r="AW527" s="379">
        <f t="shared" si="102"/>
        <v>0</v>
      </c>
      <c r="AX527" s="183"/>
      <c r="AY527" s="183"/>
      <c r="AZ527" s="183"/>
    </row>
    <row r="528" spans="1:52" s="104" customFormat="1" outlineLevel="1">
      <c r="A528" s="578" t="str">
        <f t="shared" si="101"/>
        <v>1</v>
      </c>
      <c r="B528" s="104" t="s">
        <v>620</v>
      </c>
      <c r="D528" s="104" t="s">
        <v>1678</v>
      </c>
      <c r="L528" s="375" t="s">
        <v>619</v>
      </c>
      <c r="M528" s="383" t="s">
        <v>620</v>
      </c>
      <c r="N528" s="377" t="s">
        <v>351</v>
      </c>
      <c r="O528" s="530">
        <f>SUMIFS('Сбытовые расходы ГО'!O$15:O$27,'Сбытовые расходы ГО'!$A$15:$A$27,$A528,'Сбытовые расходы ГО'!$B$15:$B$27,"L1")</f>
        <v>0</v>
      </c>
      <c r="P528" s="530">
        <f>SUMIFS('Сбытовые расходы ГО'!P$15:P$27,'Сбытовые расходы ГО'!$A$15:$A$27,$A528,'Сбытовые расходы ГО'!$B$15:$B$27,"L1")</f>
        <v>0</v>
      </c>
      <c r="Q528" s="530">
        <f>SUMIFS('Сбытовые расходы ГО'!Q$15:Q$27,'Сбытовые расходы ГО'!$A$15:$A$27,$A528,'Сбытовые расходы ГО'!$B$15:$B$27,"L1")</f>
        <v>0</v>
      </c>
      <c r="R528" s="379">
        <f t="shared" si="100"/>
        <v>0</v>
      </c>
      <c r="S528" s="530">
        <f>SUMIFS('Сбытовые расходы ГО'!R$15:R$27,'Сбытовые расходы ГО'!$A$15:$A$27,$A528,'Сбытовые расходы ГО'!$B$15:$B$27,"L1")</f>
        <v>0</v>
      </c>
      <c r="T528" s="530">
        <f>SUMIFS('Сбытовые расходы ГО'!S$15:S$27,'Сбытовые расходы ГО'!$A$15:$A$27,$A528,'Сбытовые расходы ГО'!$B$15:$B$27,"L1")</f>
        <v>0</v>
      </c>
      <c r="U528" s="378"/>
      <c r="V528" s="378"/>
      <c r="W528" s="378"/>
      <c r="X528" s="378"/>
      <c r="Y528" s="378"/>
      <c r="Z528" s="378"/>
      <c r="AA528" s="378"/>
      <c r="AB528" s="378"/>
      <c r="AC528" s="378"/>
      <c r="AD528" s="530">
        <f>SUMIFS('Сбытовые расходы ГО'!T$15:T$27,'Сбытовые расходы ГО'!$A$15:$A$27,$A528,'Сбытовые расходы ГО'!$B$15:$B$27,"L1")</f>
        <v>0</v>
      </c>
      <c r="AE528" s="378"/>
      <c r="AF528" s="378"/>
      <c r="AG528" s="378"/>
      <c r="AH528" s="378"/>
      <c r="AI528" s="378"/>
      <c r="AJ528" s="378"/>
      <c r="AK528" s="378"/>
      <c r="AL528" s="378"/>
      <c r="AM528" s="378"/>
      <c r="AN528" s="379">
        <f t="shared" si="103"/>
        <v>0</v>
      </c>
      <c r="AO528" s="379">
        <f t="shared" si="102"/>
        <v>0</v>
      </c>
      <c r="AP528" s="379">
        <f t="shared" si="102"/>
        <v>0</v>
      </c>
      <c r="AQ528" s="379">
        <f t="shared" si="102"/>
        <v>0</v>
      </c>
      <c r="AR528" s="379">
        <f t="shared" si="102"/>
        <v>0</v>
      </c>
      <c r="AS528" s="379">
        <f t="shared" si="102"/>
        <v>0</v>
      </c>
      <c r="AT528" s="379">
        <f t="shared" si="102"/>
        <v>0</v>
      </c>
      <c r="AU528" s="379">
        <f t="shared" si="102"/>
        <v>0</v>
      </c>
      <c r="AV528" s="379">
        <f t="shared" si="102"/>
        <v>0</v>
      </c>
      <c r="AW528" s="379">
        <f t="shared" si="102"/>
        <v>0</v>
      </c>
      <c r="AX528" s="183"/>
      <c r="AY528" s="183"/>
      <c r="AZ528" s="183"/>
    </row>
    <row r="529" spans="1:52" s="104" customFormat="1" outlineLevel="1">
      <c r="A529" s="578" t="str">
        <f t="shared" si="101"/>
        <v>1</v>
      </c>
      <c r="B529" s="104" t="s">
        <v>621</v>
      </c>
      <c r="D529" s="104" t="s">
        <v>1679</v>
      </c>
      <c r="L529" s="375" t="s">
        <v>493</v>
      </c>
      <c r="M529" s="376" t="s">
        <v>621</v>
      </c>
      <c r="N529" s="377" t="s">
        <v>351</v>
      </c>
      <c r="O529" s="378"/>
      <c r="P529" s="378"/>
      <c r="Q529" s="378"/>
      <c r="R529" s="379">
        <f t="shared" si="100"/>
        <v>0</v>
      </c>
      <c r="S529" s="378"/>
      <c r="T529" s="378">
        <f>SUMIFS(Экономия_корр!O$15:O$24,Экономия_корр!$A$15:$A$24,$A529,Экономия_корр!$M$15:$M$24,"Экономия расходов с учетом ИПЦ")</f>
        <v>0</v>
      </c>
      <c r="U529" s="378">
        <f>SUMIFS(Экономия_корр!P$15:P$24,Экономия_корр!$A$15:$A$24,$A529,Экономия_корр!$M$15:$M$24,"Экономия расходов с учетом ИПЦ")</f>
        <v>0</v>
      </c>
      <c r="V529" s="378">
        <f>SUMIFS(Экономия_корр!Q$15:Q$24,Экономия_корр!$A$15:$A$24,$A529,Экономия_корр!$M$15:$M$24,"Экономия расходов с учетом ИПЦ")</f>
        <v>0</v>
      </c>
      <c r="W529" s="378">
        <f>SUMIFS(Экономия_корр!R$15:R$24,Экономия_корр!$A$15:$A$24,$A529,Экономия_корр!$M$15:$M$24,"Экономия расходов с учетом ИПЦ")</f>
        <v>0</v>
      </c>
      <c r="X529" s="378">
        <f>SUMIFS(Экономия_корр!S$15:S$24,Экономия_корр!$A$15:$A$24,$A529,Экономия_корр!$M$15:$M$24,"Экономия расходов с учетом ИПЦ")</f>
        <v>0</v>
      </c>
      <c r="Y529" s="378">
        <f>SUMIFS(Экономия_корр!T$15:T$24,Экономия_корр!$A$15:$A$24,$A529,Экономия_корр!$M$15:$M$24,"Экономия расходов с учетом ИПЦ")</f>
        <v>0</v>
      </c>
      <c r="Z529" s="378">
        <f>SUMIFS(Экономия_корр!U$15:U$24,Экономия_корр!$A$15:$A$24,$A529,Экономия_корр!$M$15:$M$24,"Экономия расходов с учетом ИПЦ")</f>
        <v>0</v>
      </c>
      <c r="AA529" s="378">
        <f>SUMIFS(Экономия_корр!V$15:V$24,Экономия_корр!$A$15:$A$24,$A529,Экономия_корр!$M$15:$M$24,"Экономия расходов с учетом ИПЦ")</f>
        <v>0</v>
      </c>
      <c r="AB529" s="378">
        <f>SUMIFS(Экономия_корр!W$15:W$24,Экономия_корр!$A$15:$A$24,$A529,Экономия_корр!$M$15:$M$24,"Экономия расходов с учетом ИПЦ")</f>
        <v>0</v>
      </c>
      <c r="AC529" s="378">
        <f>SUMIFS(Экономия_корр!X$15:X$24,Экономия_корр!$A$15:$A$24,$A529,Экономия_корр!$M$15:$M$24,"Экономия расходов с учетом ИПЦ")</f>
        <v>0</v>
      </c>
      <c r="AD529" s="378">
        <f>SUMIFS(Экономия_корр!Y$15:Y$24,Экономия_корр!$A$15:$A$24,$A529,Экономия_корр!$M$15:$M$24,"Экономия расходов с учетом ИПЦ")</f>
        <v>0</v>
      </c>
      <c r="AE529" s="378">
        <f>SUMIFS(Экономия_корр!Z$15:Z$24,Экономия_корр!$A$15:$A$24,$A529,Экономия_корр!$M$15:$M$24,"Экономия расходов с учетом ИПЦ")</f>
        <v>0</v>
      </c>
      <c r="AF529" s="378">
        <f>SUMIFS(Экономия_корр!AA$15:AA$24,Экономия_корр!$A$15:$A$24,$A529,Экономия_корр!$M$15:$M$24,"Экономия расходов с учетом ИПЦ")</f>
        <v>0</v>
      </c>
      <c r="AG529" s="378">
        <f>SUMIFS(Экономия_корр!AB$15:AB$24,Экономия_корр!$A$15:$A$24,$A529,Экономия_корр!$M$15:$M$24,"Экономия расходов с учетом ИПЦ")</f>
        <v>0</v>
      </c>
      <c r="AH529" s="378">
        <f>SUMIFS(Экономия_корр!AC$15:AC$24,Экономия_корр!$A$15:$A$24,$A529,Экономия_корр!$M$15:$M$24,"Экономия расходов с учетом ИПЦ")</f>
        <v>0</v>
      </c>
      <c r="AI529" s="378">
        <f>SUMIFS(Экономия_корр!AD$15:AD$24,Экономия_корр!$A$15:$A$24,$A529,Экономия_корр!$M$15:$M$24,"Экономия расходов с учетом ИПЦ")</f>
        <v>0</v>
      </c>
      <c r="AJ529" s="378">
        <f>SUMIFS(Экономия_корр!AE$15:AE$24,Экономия_корр!$A$15:$A$24,$A529,Экономия_корр!$M$15:$M$24,"Экономия расходов с учетом ИПЦ")</f>
        <v>0</v>
      </c>
      <c r="AK529" s="378">
        <f>SUMIFS(Экономия_корр!AF$15:AF$24,Экономия_корр!$A$15:$A$24,$A529,Экономия_корр!$M$15:$M$24,"Экономия расходов с учетом ИПЦ")</f>
        <v>0</v>
      </c>
      <c r="AL529" s="378">
        <f>SUMIFS(Экономия_корр!AG$15:AG$24,Экономия_корр!$A$15:$A$24,$A529,Экономия_корр!$M$15:$M$24,"Экономия расходов с учетом ИПЦ")</f>
        <v>0</v>
      </c>
      <c r="AM529" s="378">
        <f>SUMIFS(Экономия_корр!AH$15:AH$24,Экономия_корр!$A$15:$A$24,$A529,Экономия_корр!$M$15:$M$24,"Экономия расходов с учетом ИПЦ")</f>
        <v>0</v>
      </c>
      <c r="AN529" s="379">
        <f t="shared" si="103"/>
        <v>0</v>
      </c>
      <c r="AO529" s="379">
        <f t="shared" si="102"/>
        <v>0</v>
      </c>
      <c r="AP529" s="379">
        <f t="shared" si="102"/>
        <v>0</v>
      </c>
      <c r="AQ529" s="379">
        <f t="shared" si="102"/>
        <v>0</v>
      </c>
      <c r="AR529" s="379">
        <f t="shared" si="102"/>
        <v>0</v>
      </c>
      <c r="AS529" s="379">
        <f t="shared" si="102"/>
        <v>0</v>
      </c>
      <c r="AT529" s="379">
        <f t="shared" si="102"/>
        <v>0</v>
      </c>
      <c r="AU529" s="379">
        <f t="shared" si="102"/>
        <v>0</v>
      </c>
      <c r="AV529" s="379">
        <f t="shared" si="102"/>
        <v>0</v>
      </c>
      <c r="AW529" s="379">
        <f t="shared" si="102"/>
        <v>0</v>
      </c>
      <c r="AX529" s="183"/>
      <c r="AY529" s="183"/>
      <c r="AZ529" s="183"/>
    </row>
    <row r="530" spans="1:52" s="104" customFormat="1" outlineLevel="1">
      <c r="A530" s="578" t="str">
        <f t="shared" si="101"/>
        <v>1</v>
      </c>
      <c r="B530" s="104" t="s">
        <v>622</v>
      </c>
      <c r="D530" s="104" t="s">
        <v>1680</v>
      </c>
      <c r="L530" s="375" t="s">
        <v>496</v>
      </c>
      <c r="M530" s="376" t="s">
        <v>622</v>
      </c>
      <c r="N530" s="377" t="s">
        <v>351</v>
      </c>
      <c r="O530" s="378"/>
      <c r="P530" s="378"/>
      <c r="Q530" s="378"/>
      <c r="R530" s="379">
        <f t="shared" si="100"/>
        <v>0</v>
      </c>
      <c r="S530" s="378"/>
      <c r="T530" s="378"/>
      <c r="U530" s="378"/>
      <c r="V530" s="378"/>
      <c r="W530" s="378"/>
      <c r="X530" s="378"/>
      <c r="Y530" s="378"/>
      <c r="Z530" s="378"/>
      <c r="AA530" s="378"/>
      <c r="AB530" s="378"/>
      <c r="AC530" s="378"/>
      <c r="AD530" s="378"/>
      <c r="AE530" s="378"/>
      <c r="AF530" s="378"/>
      <c r="AG530" s="378"/>
      <c r="AH530" s="378"/>
      <c r="AI530" s="378"/>
      <c r="AJ530" s="378"/>
      <c r="AK530" s="378"/>
      <c r="AL530" s="378"/>
      <c r="AM530" s="378"/>
      <c r="AN530" s="379">
        <f t="shared" si="103"/>
        <v>0</v>
      </c>
      <c r="AO530" s="379">
        <f t="shared" si="102"/>
        <v>0</v>
      </c>
      <c r="AP530" s="379">
        <f t="shared" si="102"/>
        <v>0</v>
      </c>
      <c r="AQ530" s="379">
        <f t="shared" si="102"/>
        <v>0</v>
      </c>
      <c r="AR530" s="379">
        <f t="shared" si="102"/>
        <v>0</v>
      </c>
      <c r="AS530" s="379">
        <f t="shared" si="102"/>
        <v>0</v>
      </c>
      <c r="AT530" s="379">
        <f t="shared" si="102"/>
        <v>0</v>
      </c>
      <c r="AU530" s="379">
        <f t="shared" si="102"/>
        <v>0</v>
      </c>
      <c r="AV530" s="379">
        <f t="shared" si="102"/>
        <v>0</v>
      </c>
      <c r="AW530" s="379">
        <f t="shared" si="102"/>
        <v>0</v>
      </c>
      <c r="AX530" s="183"/>
      <c r="AY530" s="183"/>
      <c r="AZ530" s="183"/>
    </row>
    <row r="531" spans="1:52" s="104" customFormat="1" outlineLevel="1">
      <c r="A531" s="578" t="str">
        <f t="shared" si="101"/>
        <v>1</v>
      </c>
      <c r="B531" s="104" t="s">
        <v>623</v>
      </c>
      <c r="D531" s="104" t="s">
        <v>1681</v>
      </c>
      <c r="L531" s="375" t="s">
        <v>499</v>
      </c>
      <c r="M531" s="376" t="s">
        <v>623</v>
      </c>
      <c r="N531" s="377" t="s">
        <v>351</v>
      </c>
      <c r="O531" s="378"/>
      <c r="P531" s="378"/>
      <c r="Q531" s="378"/>
      <c r="R531" s="379">
        <f t="shared" si="100"/>
        <v>0</v>
      </c>
      <c r="S531" s="378"/>
      <c r="T531" s="378"/>
      <c r="U531" s="378"/>
      <c r="V531" s="378"/>
      <c r="W531" s="378"/>
      <c r="X531" s="378"/>
      <c r="Y531" s="378"/>
      <c r="Z531" s="378"/>
      <c r="AA531" s="378"/>
      <c r="AB531" s="378"/>
      <c r="AC531" s="378"/>
      <c r="AD531" s="378"/>
      <c r="AE531" s="378"/>
      <c r="AF531" s="378"/>
      <c r="AG531" s="378"/>
      <c r="AH531" s="378"/>
      <c r="AI531" s="378"/>
      <c r="AJ531" s="378"/>
      <c r="AK531" s="378"/>
      <c r="AL531" s="378"/>
      <c r="AM531" s="378"/>
      <c r="AN531" s="379">
        <f t="shared" si="103"/>
        <v>0</v>
      </c>
      <c r="AO531" s="379">
        <f t="shared" si="102"/>
        <v>0</v>
      </c>
      <c r="AP531" s="379">
        <f t="shared" si="102"/>
        <v>0</v>
      </c>
      <c r="AQ531" s="379">
        <f t="shared" si="102"/>
        <v>0</v>
      </c>
      <c r="AR531" s="379">
        <f t="shared" si="102"/>
        <v>0</v>
      </c>
      <c r="AS531" s="379">
        <f t="shared" si="102"/>
        <v>0</v>
      </c>
      <c r="AT531" s="379">
        <f t="shared" si="102"/>
        <v>0</v>
      </c>
      <c r="AU531" s="379">
        <f t="shared" si="102"/>
        <v>0</v>
      </c>
      <c r="AV531" s="379">
        <f t="shared" si="102"/>
        <v>0</v>
      </c>
      <c r="AW531" s="379">
        <f t="shared" si="102"/>
        <v>0</v>
      </c>
      <c r="AX531" s="183"/>
      <c r="AY531" s="183"/>
      <c r="AZ531" s="183"/>
    </row>
    <row r="532" spans="1:52" s="104" customFormat="1" outlineLevel="1">
      <c r="A532" s="578" t="str">
        <f t="shared" si="101"/>
        <v>1</v>
      </c>
      <c r="B532" s="104" t="s">
        <v>625</v>
      </c>
      <c r="D532" s="104" t="s">
        <v>1682</v>
      </c>
      <c r="L532" s="375" t="s">
        <v>624</v>
      </c>
      <c r="M532" s="376" t="s">
        <v>625</v>
      </c>
      <c r="N532" s="377" t="s">
        <v>351</v>
      </c>
      <c r="O532" s="384">
        <f>SUM(O533,O534)</f>
        <v>0</v>
      </c>
      <c r="P532" s="379">
        <f t="shared" ref="P532:AM532" si="105">SUM(P533,P534)</f>
        <v>0</v>
      </c>
      <c r="Q532" s="379">
        <f t="shared" si="105"/>
        <v>0</v>
      </c>
      <c r="R532" s="379">
        <f t="shared" si="100"/>
        <v>0</v>
      </c>
      <c r="S532" s="379">
        <f t="shared" si="105"/>
        <v>0</v>
      </c>
      <c r="T532" s="384">
        <f t="shared" si="105"/>
        <v>0</v>
      </c>
      <c r="U532" s="379">
        <f t="shared" si="105"/>
        <v>0</v>
      </c>
      <c r="V532" s="379">
        <f t="shared" si="105"/>
        <v>0</v>
      </c>
      <c r="W532" s="379">
        <f t="shared" si="105"/>
        <v>0</v>
      </c>
      <c r="X532" s="379">
        <f t="shared" si="105"/>
        <v>0</v>
      </c>
      <c r="Y532" s="379">
        <f t="shared" si="105"/>
        <v>0</v>
      </c>
      <c r="Z532" s="379">
        <f t="shared" si="105"/>
        <v>0</v>
      </c>
      <c r="AA532" s="379">
        <f t="shared" si="105"/>
        <v>0</v>
      </c>
      <c r="AB532" s="379">
        <f t="shared" si="105"/>
        <v>0</v>
      </c>
      <c r="AC532" s="379">
        <f t="shared" si="105"/>
        <v>0</v>
      </c>
      <c r="AD532" s="384">
        <f t="shared" si="105"/>
        <v>0</v>
      </c>
      <c r="AE532" s="379">
        <f t="shared" si="105"/>
        <v>0</v>
      </c>
      <c r="AF532" s="379">
        <f t="shared" si="105"/>
        <v>0</v>
      </c>
      <c r="AG532" s="379">
        <f t="shared" si="105"/>
        <v>0</v>
      </c>
      <c r="AH532" s="379">
        <f t="shared" si="105"/>
        <v>0</v>
      </c>
      <c r="AI532" s="379">
        <f t="shared" si="105"/>
        <v>0</v>
      </c>
      <c r="AJ532" s="379">
        <f t="shared" si="105"/>
        <v>0</v>
      </c>
      <c r="AK532" s="379">
        <f t="shared" si="105"/>
        <v>0</v>
      </c>
      <c r="AL532" s="379">
        <f t="shared" si="105"/>
        <v>0</v>
      </c>
      <c r="AM532" s="379">
        <f t="shared" si="105"/>
        <v>0</v>
      </c>
      <c r="AN532" s="379">
        <f t="shared" si="103"/>
        <v>0</v>
      </c>
      <c r="AO532" s="379">
        <f t="shared" si="102"/>
        <v>0</v>
      </c>
      <c r="AP532" s="379">
        <f t="shared" si="102"/>
        <v>0</v>
      </c>
      <c r="AQ532" s="379">
        <f t="shared" si="102"/>
        <v>0</v>
      </c>
      <c r="AR532" s="379">
        <f t="shared" si="102"/>
        <v>0</v>
      </c>
      <c r="AS532" s="379">
        <f t="shared" si="102"/>
        <v>0</v>
      </c>
      <c r="AT532" s="379">
        <f t="shared" si="102"/>
        <v>0</v>
      </c>
      <c r="AU532" s="379">
        <f t="shared" si="102"/>
        <v>0</v>
      </c>
      <c r="AV532" s="379">
        <f t="shared" si="102"/>
        <v>0</v>
      </c>
      <c r="AW532" s="379">
        <f t="shared" si="102"/>
        <v>0</v>
      </c>
      <c r="AX532" s="183"/>
      <c r="AY532" s="183"/>
      <c r="AZ532" s="183"/>
    </row>
    <row r="533" spans="1:52" s="104" customFormat="1" outlineLevel="1">
      <c r="A533" s="578" t="str">
        <f t="shared" si="101"/>
        <v>1</v>
      </c>
      <c r="D533" s="104" t="s">
        <v>1683</v>
      </c>
      <c r="L533" s="375" t="s">
        <v>626</v>
      </c>
      <c r="M533" s="383" t="s">
        <v>627</v>
      </c>
      <c r="N533" s="377" t="s">
        <v>351</v>
      </c>
      <c r="O533" s="378"/>
      <c r="P533" s="378"/>
      <c r="Q533" s="378"/>
      <c r="R533" s="379">
        <f t="shared" si="100"/>
        <v>0</v>
      </c>
      <c r="S533" s="378"/>
      <c r="T533" s="378"/>
      <c r="U533" s="378"/>
      <c r="V533" s="378"/>
      <c r="W533" s="378"/>
      <c r="X533" s="378"/>
      <c r="Y533" s="378"/>
      <c r="Z533" s="378"/>
      <c r="AA533" s="378"/>
      <c r="AB533" s="378"/>
      <c r="AC533" s="378"/>
      <c r="AD533" s="378"/>
      <c r="AE533" s="378"/>
      <c r="AF533" s="378"/>
      <c r="AG533" s="378"/>
      <c r="AH533" s="378"/>
      <c r="AI533" s="378"/>
      <c r="AJ533" s="378"/>
      <c r="AK533" s="378"/>
      <c r="AL533" s="378"/>
      <c r="AM533" s="378"/>
      <c r="AN533" s="379">
        <f t="shared" si="103"/>
        <v>0</v>
      </c>
      <c r="AO533" s="379">
        <f t="shared" si="102"/>
        <v>0</v>
      </c>
      <c r="AP533" s="379">
        <f t="shared" si="102"/>
        <v>0</v>
      </c>
      <c r="AQ533" s="379">
        <f t="shared" si="102"/>
        <v>0</v>
      </c>
      <c r="AR533" s="379">
        <f t="shared" si="102"/>
        <v>0</v>
      </c>
      <c r="AS533" s="379">
        <f t="shared" si="102"/>
        <v>0</v>
      </c>
      <c r="AT533" s="379">
        <f t="shared" si="102"/>
        <v>0</v>
      </c>
      <c r="AU533" s="379">
        <f t="shared" si="102"/>
        <v>0</v>
      </c>
      <c r="AV533" s="379">
        <f t="shared" si="102"/>
        <v>0</v>
      </c>
      <c r="AW533" s="379">
        <f t="shared" si="102"/>
        <v>0</v>
      </c>
      <c r="AX533" s="183"/>
      <c r="AY533" s="183"/>
      <c r="AZ533" s="183"/>
    </row>
    <row r="534" spans="1:52" s="104" customFormat="1" outlineLevel="1">
      <c r="A534" s="578" t="str">
        <f t="shared" si="101"/>
        <v>1</v>
      </c>
      <c r="D534" s="104" t="s">
        <v>1684</v>
      </c>
      <c r="L534" s="375" t="s">
        <v>628</v>
      </c>
      <c r="M534" s="383" t="s">
        <v>629</v>
      </c>
      <c r="N534" s="377" t="s">
        <v>351</v>
      </c>
      <c r="O534" s="378"/>
      <c r="P534" s="378"/>
      <c r="Q534" s="378"/>
      <c r="R534" s="379">
        <f t="shared" si="100"/>
        <v>0</v>
      </c>
      <c r="S534" s="378"/>
      <c r="T534" s="378"/>
      <c r="U534" s="378"/>
      <c r="V534" s="378"/>
      <c r="W534" s="378"/>
      <c r="X534" s="378"/>
      <c r="Y534" s="378"/>
      <c r="Z534" s="378"/>
      <c r="AA534" s="378"/>
      <c r="AB534" s="378"/>
      <c r="AC534" s="378"/>
      <c r="AD534" s="378"/>
      <c r="AE534" s="378"/>
      <c r="AF534" s="378"/>
      <c r="AG534" s="378"/>
      <c r="AH534" s="378"/>
      <c r="AI534" s="378"/>
      <c r="AJ534" s="378"/>
      <c r="AK534" s="378"/>
      <c r="AL534" s="378"/>
      <c r="AM534" s="378"/>
      <c r="AN534" s="379">
        <f t="shared" si="103"/>
        <v>0</v>
      </c>
      <c r="AO534" s="379">
        <f t="shared" si="102"/>
        <v>0</v>
      </c>
      <c r="AP534" s="379">
        <f t="shared" si="102"/>
        <v>0</v>
      </c>
      <c r="AQ534" s="379">
        <f t="shared" si="102"/>
        <v>0</v>
      </c>
      <c r="AR534" s="379">
        <f t="shared" si="102"/>
        <v>0</v>
      </c>
      <c r="AS534" s="379">
        <f t="shared" si="102"/>
        <v>0</v>
      </c>
      <c r="AT534" s="379">
        <f t="shared" si="102"/>
        <v>0</v>
      </c>
      <c r="AU534" s="379">
        <f t="shared" si="102"/>
        <v>0</v>
      </c>
      <c r="AV534" s="379">
        <f t="shared" si="102"/>
        <v>0</v>
      </c>
      <c r="AW534" s="379">
        <f t="shared" si="102"/>
        <v>0</v>
      </c>
      <c r="AX534" s="183"/>
      <c r="AY534" s="183"/>
      <c r="AZ534" s="183"/>
    </row>
    <row r="535" spans="1:52" s="104" customFormat="1" ht="33.75" outlineLevel="1">
      <c r="A535" s="578" t="str">
        <f t="shared" si="101"/>
        <v>1</v>
      </c>
      <c r="B535" s="104" t="s">
        <v>1423</v>
      </c>
      <c r="D535" s="104" t="s">
        <v>1685</v>
      </c>
      <c r="L535" s="375" t="s">
        <v>630</v>
      </c>
      <c r="M535" s="376" t="s">
        <v>631</v>
      </c>
      <c r="N535" s="377" t="s">
        <v>351</v>
      </c>
      <c r="O535" s="378"/>
      <c r="P535" s="378"/>
      <c r="Q535" s="378"/>
      <c r="R535" s="379">
        <f t="shared" si="100"/>
        <v>0</v>
      </c>
      <c r="S535" s="378"/>
      <c r="T535" s="378"/>
      <c r="U535" s="378"/>
      <c r="V535" s="378"/>
      <c r="W535" s="378"/>
      <c r="X535" s="378"/>
      <c r="Y535" s="378"/>
      <c r="Z535" s="378"/>
      <c r="AA535" s="378"/>
      <c r="AB535" s="378"/>
      <c r="AC535" s="378"/>
      <c r="AD535" s="378"/>
      <c r="AE535" s="378"/>
      <c r="AF535" s="378"/>
      <c r="AG535" s="378"/>
      <c r="AH535" s="378"/>
      <c r="AI535" s="378"/>
      <c r="AJ535" s="378"/>
      <c r="AK535" s="378"/>
      <c r="AL535" s="378"/>
      <c r="AM535" s="378"/>
      <c r="AN535" s="379">
        <f t="shared" si="103"/>
        <v>0</v>
      </c>
      <c r="AO535" s="379">
        <f t="shared" si="102"/>
        <v>0</v>
      </c>
      <c r="AP535" s="379">
        <f t="shared" si="102"/>
        <v>0</v>
      </c>
      <c r="AQ535" s="379">
        <f t="shared" si="102"/>
        <v>0</v>
      </c>
      <c r="AR535" s="379">
        <f t="shared" si="102"/>
        <v>0</v>
      </c>
      <c r="AS535" s="379">
        <f t="shared" si="102"/>
        <v>0</v>
      </c>
      <c r="AT535" s="379">
        <f t="shared" si="102"/>
        <v>0</v>
      </c>
      <c r="AU535" s="379">
        <f t="shared" si="102"/>
        <v>0</v>
      </c>
      <c r="AV535" s="379">
        <f t="shared" si="102"/>
        <v>0</v>
      </c>
      <c r="AW535" s="379">
        <f t="shared" si="102"/>
        <v>0</v>
      </c>
      <c r="AX535" s="183"/>
      <c r="AY535" s="183"/>
      <c r="AZ535" s="183"/>
    </row>
    <row r="536" spans="1:52" s="109" customFormat="1" outlineLevel="1">
      <c r="A536" s="578" t="str">
        <f t="shared" si="101"/>
        <v>1</v>
      </c>
      <c r="B536" s="104" t="s">
        <v>1073</v>
      </c>
      <c r="C536" s="104"/>
      <c r="D536" s="104" t="s">
        <v>1483</v>
      </c>
      <c r="L536" s="395" t="s">
        <v>103</v>
      </c>
      <c r="M536" s="371" t="s">
        <v>632</v>
      </c>
      <c r="N536" s="396" t="s">
        <v>351</v>
      </c>
      <c r="O536" s="397">
        <f>SUMIFS(ЭЭ!O$15:O$27,ЭЭ!$A$15:$A$27,$A536,ЭЭ!$M$15:$M$27,"Всего по тарифу")</f>
        <v>646.38</v>
      </c>
      <c r="P536" s="397">
        <f>SUMIFS(ЭЭ!P$15:P$27,ЭЭ!$A$15:$A$27,$A536,ЭЭ!$M$15:$M$27,"Всего по тарифу")</f>
        <v>372.4</v>
      </c>
      <c r="Q536" s="397">
        <f>SUMIFS(ЭЭ!Q$15:Q$27,ЭЭ!$A$15:$A$27,$A536,ЭЭ!$M$15:$M$27,"Всего по тарифу")</f>
        <v>372.4</v>
      </c>
      <c r="R536" s="373">
        <f>Q536-P536</f>
        <v>0</v>
      </c>
      <c r="S536" s="397">
        <f>SUMIFS(ЭЭ!R$15:R$27,ЭЭ!$A$15:$A$27,$A536,ЭЭ!$M$15:$M$27,"Всего по тарифу")</f>
        <v>738.89</v>
      </c>
      <c r="T536" s="397">
        <f>SUMIFS(ЭЭ!S$15:S$27,ЭЭ!$A$15:$A$27,$A536,ЭЭ!$M$15:$M$27,"Всего по тарифу")</f>
        <v>521.94799999999998</v>
      </c>
      <c r="U536" s="397">
        <f>SUMIFS(ЭЭ!T$15:T$27,ЭЭ!$A$15:$A$27,$A536,ЭЭ!$M$15:$M$27,"Всего по тарифу")</f>
        <v>650</v>
      </c>
      <c r="V536" s="397">
        <f>SUMIFS(ЭЭ!U$15:U$27,ЭЭ!$A$15:$A$27,$A536,ЭЭ!$M$15:$M$27,"Всего по тарифу")</f>
        <v>680</v>
      </c>
      <c r="W536" s="397">
        <f>SUMIFS(ЭЭ!V$15:V$27,ЭЭ!$A$15:$A$27,$A536,ЭЭ!$M$15:$M$27,"Всего по тарифу")</f>
        <v>750</v>
      </c>
      <c r="X536" s="397">
        <f>SUMIFS(ЭЭ!W$15:W$27,ЭЭ!$A$15:$A$27,$A536,ЭЭ!$M$15:$M$27,"Всего по тарифу")</f>
        <v>800</v>
      </c>
      <c r="Y536" s="397">
        <f>SUMIFS(ЭЭ!X$15:X$27,ЭЭ!$A$15:$A$27,$A536,ЭЭ!$M$15:$M$27,"Всего по тарифу")</f>
        <v>0</v>
      </c>
      <c r="Z536" s="397">
        <f>SUMIFS(ЭЭ!Y$15:Y$27,ЭЭ!$A$15:$A$27,$A536,ЭЭ!$M$15:$M$27,"Всего по тарифу")</f>
        <v>0</v>
      </c>
      <c r="AA536" s="397">
        <f>SUMIFS(ЭЭ!Z$15:Z$27,ЭЭ!$A$15:$A$27,$A536,ЭЭ!$M$15:$M$27,"Всего по тарифу")</f>
        <v>0</v>
      </c>
      <c r="AB536" s="397">
        <f>SUMIFS(ЭЭ!AA$15:AA$27,ЭЭ!$A$15:$A$27,$A536,ЭЭ!$M$15:$M$27,"Всего по тарифу")</f>
        <v>0</v>
      </c>
      <c r="AC536" s="397">
        <f>SUMIFS(ЭЭ!AB$15:AB$27,ЭЭ!$A$15:$A$27,$A536,ЭЭ!$M$15:$M$27,"Всего по тарифу")</f>
        <v>0</v>
      </c>
      <c r="AD536" s="397">
        <f>SUMIFS(ЭЭ!AC$15:AC$27,ЭЭ!$A$15:$A$27,$A536,ЭЭ!$M$15:$M$27,"Всего по тарифу")</f>
        <v>521.94799999999998</v>
      </c>
      <c r="AE536" s="397">
        <f>SUMIFS(ЭЭ!AD$15:AD$27,ЭЭ!$A$15:$A$27,$A536,ЭЭ!$M$15:$M$27,"Всего по тарифу")</f>
        <v>542.83000000000004</v>
      </c>
      <c r="AF536" s="397">
        <f>SUMIFS(ЭЭ!AE$15:AE$27,ЭЭ!$A$15:$A$27,$A536,ЭЭ!$M$15:$M$27,"Всего по тарифу")</f>
        <v>564.54</v>
      </c>
      <c r="AG536" s="397">
        <f>SUMIFS(ЭЭ!AF$15:AF$27,ЭЭ!$A$15:$A$27,$A536,ЭЭ!$M$15:$M$27,"Всего по тарифу")</f>
        <v>587.12</v>
      </c>
      <c r="AH536" s="397">
        <f>SUMIFS(ЭЭ!AG$15:AG$27,ЭЭ!$A$15:$A$27,$A536,ЭЭ!$M$15:$M$27,"Всего по тарифу")</f>
        <v>610.61</v>
      </c>
      <c r="AI536" s="397">
        <f>SUMIFS(ЭЭ!AH$15:AH$27,ЭЭ!$A$15:$A$27,$A536,ЭЭ!$M$15:$M$27,"Всего по тарифу")</f>
        <v>0</v>
      </c>
      <c r="AJ536" s="397">
        <f>SUMIFS(ЭЭ!AI$15:AI$27,ЭЭ!$A$15:$A$27,$A536,ЭЭ!$M$15:$M$27,"Всего по тарифу")</f>
        <v>0</v>
      </c>
      <c r="AK536" s="397">
        <f>SUMIFS(ЭЭ!AJ$15:AJ$27,ЭЭ!$A$15:$A$27,$A536,ЭЭ!$M$15:$M$27,"Всего по тарифу")</f>
        <v>0</v>
      </c>
      <c r="AL536" s="397">
        <f>SUMIFS(ЭЭ!AK$15:AK$27,ЭЭ!$A$15:$A$27,$A536,ЭЭ!$M$15:$M$27,"Всего по тарифу")</f>
        <v>0</v>
      </c>
      <c r="AM536" s="397">
        <f>SUMIFS(ЭЭ!AL$15:AL$27,ЭЭ!$A$15:$A$27,$A536,ЭЭ!$M$15:$M$27,"Всего по тарифу")</f>
        <v>0</v>
      </c>
      <c r="AN536" s="373">
        <f>IF(S536=0,0,(AD536-S536)/S536*100)</f>
        <v>-29.360527277402593</v>
      </c>
      <c r="AO536" s="373">
        <f t="shared" ref="AO536:AW536" si="106">IF(AD536=0,0,(AE536-AD536)/AD536*100)</f>
        <v>4.0007816870646238</v>
      </c>
      <c r="AP536" s="373">
        <f t="shared" si="106"/>
        <v>3.9994104968406172</v>
      </c>
      <c r="AQ536" s="373">
        <f t="shared" si="106"/>
        <v>3.9997165834130515</v>
      </c>
      <c r="AR536" s="373">
        <f t="shared" si="106"/>
        <v>4.0008856792478555</v>
      </c>
      <c r="AS536" s="373">
        <f t="shared" si="106"/>
        <v>-100</v>
      </c>
      <c r="AT536" s="373">
        <f t="shared" si="106"/>
        <v>0</v>
      </c>
      <c r="AU536" s="373">
        <f t="shared" si="106"/>
        <v>0</v>
      </c>
      <c r="AV536" s="373">
        <f t="shared" si="106"/>
        <v>0</v>
      </c>
      <c r="AW536" s="373">
        <f t="shared" si="106"/>
        <v>0</v>
      </c>
      <c r="AX536" s="183"/>
      <c r="AY536" s="183"/>
      <c r="AZ536" s="183"/>
    </row>
    <row r="537" spans="1:52" s="109" customFormat="1" ht="33.75" outlineLevel="1">
      <c r="A537" s="578" t="str">
        <f t="shared" si="101"/>
        <v>1</v>
      </c>
      <c r="B537" s="104" t="s">
        <v>1074</v>
      </c>
      <c r="C537" s="104"/>
      <c r="D537" s="104" t="s">
        <v>1484</v>
      </c>
      <c r="L537" s="395" t="s">
        <v>104</v>
      </c>
      <c r="M537" s="371" t="s">
        <v>633</v>
      </c>
      <c r="N537" s="396" t="s">
        <v>351</v>
      </c>
      <c r="O537" s="397">
        <f>SUMIFS(Амортизация!O$15:O$65,Амортизация!$A$15:$A$65,$A537,Амортизация!$M$15:$M$65,"Сумма амортизационных отчислений")</f>
        <v>0</v>
      </c>
      <c r="P537" s="397">
        <f>SUMIFS(Амортизация!P$15:P$65,Амортизация!$A$15:$A$65,$A537,Амортизация!$M$15:$M$65,"Сумма амортизационных отчислений")</f>
        <v>0</v>
      </c>
      <c r="Q537" s="397">
        <f>SUMIFS(Амортизация!Q$15:Q$65,Амортизация!$A$15:$A$65,$A537,Амортизация!$M$15:$M$65,"Сумма амортизационных отчислений")</f>
        <v>0</v>
      </c>
      <c r="R537" s="373">
        <f t="shared" si="100"/>
        <v>0</v>
      </c>
      <c r="S537" s="397">
        <f>SUMIFS(Амортизация!R$15:R$65,Амортизация!$A$15:$A$65,$A537,Амортизация!$M$15:$M$65,"Сумма амортизационных отчислений")</f>
        <v>0</v>
      </c>
      <c r="T537" s="397">
        <f>SUMIFS(Амортизация!S$15:S$65,Амортизация!$A$15:$A$65,$A537,Амортизация!$M$15:$M$65,"Сумма амортизационных отчислений")</f>
        <v>0</v>
      </c>
      <c r="U537" s="397">
        <f>SUMIFS(Амортизация!T$15:T$65,Амортизация!$A$15:$A$65,$A537,Амортизация!$M$15:$M$65,"Сумма амортизационных отчислений")</f>
        <v>0</v>
      </c>
      <c r="V537" s="397">
        <f>SUMIFS(Амортизация!U$15:U$65,Амортизация!$A$15:$A$65,$A537,Амортизация!$M$15:$M$65,"Сумма амортизационных отчислений")</f>
        <v>0</v>
      </c>
      <c r="W537" s="397">
        <f>SUMIFS(Амортизация!V$15:V$65,Амортизация!$A$15:$A$65,$A537,Амортизация!$M$15:$M$65,"Сумма амортизационных отчислений")</f>
        <v>0</v>
      </c>
      <c r="X537" s="397">
        <f>SUMIFS(Амортизация!W$15:W$65,Амортизация!$A$15:$A$65,$A537,Амортизация!$M$15:$M$65,"Сумма амортизационных отчислений")</f>
        <v>0</v>
      </c>
      <c r="Y537" s="397">
        <f>SUMIFS(Амортизация!X$15:X$65,Амортизация!$A$15:$A$65,$A537,Амортизация!$M$15:$M$65,"Сумма амортизационных отчислений")</f>
        <v>0</v>
      </c>
      <c r="Z537" s="397">
        <f>SUMIFS(Амортизация!Y$15:Y$65,Амортизация!$A$15:$A$65,$A537,Амортизация!$M$15:$M$65,"Сумма амортизационных отчислений")</f>
        <v>0</v>
      </c>
      <c r="AA537" s="397">
        <f>SUMIFS(Амортизация!Z$15:Z$65,Амортизация!$A$15:$A$65,$A537,Амортизация!$M$15:$M$65,"Сумма амортизационных отчислений")</f>
        <v>0</v>
      </c>
      <c r="AB537" s="397">
        <f>SUMIFS(Амортизация!AA$15:AA$65,Амортизация!$A$15:$A$65,$A537,Амортизация!$M$15:$M$65,"Сумма амортизационных отчислений")</f>
        <v>0</v>
      </c>
      <c r="AC537" s="397">
        <f>SUMIFS(Амортизация!AB$15:AB$65,Амортизация!$A$15:$A$65,$A537,Амортизация!$M$15:$M$65,"Сумма амортизационных отчислений")</f>
        <v>0</v>
      </c>
      <c r="AD537" s="397">
        <f>SUMIFS(Амортизация!AC$15:AC$65,Амортизация!$A$15:$A$65,$A537,Амортизация!$M$15:$M$65,"Сумма амортизационных отчислений")</f>
        <v>0</v>
      </c>
      <c r="AE537" s="397">
        <f>SUMIFS(Амортизация!AD$15:AD$65,Амортизация!$A$15:$A$65,$A537,Амортизация!$M$15:$M$65,"Сумма амортизационных отчислений")</f>
        <v>0</v>
      </c>
      <c r="AF537" s="397">
        <f>SUMIFS(Амортизация!AE$15:AE$65,Амортизация!$A$15:$A$65,$A537,Амортизация!$M$15:$M$65,"Сумма амортизационных отчислений")</f>
        <v>0</v>
      </c>
      <c r="AG537" s="397">
        <f>SUMIFS(Амортизация!AF$15:AF$65,Амортизация!$A$15:$A$65,$A537,Амортизация!$M$15:$M$65,"Сумма амортизационных отчислений")</f>
        <v>0</v>
      </c>
      <c r="AH537" s="397">
        <f>SUMIFS(Амортизация!AG$15:AG$65,Амортизация!$A$15:$A$65,$A537,Амортизация!$M$15:$M$65,"Сумма амортизационных отчислений")</f>
        <v>0</v>
      </c>
      <c r="AI537" s="397">
        <f>SUMIFS(Амортизация!AH$15:AH$65,Амортизация!$A$15:$A$65,$A537,Амортизация!$M$15:$M$65,"Сумма амортизационных отчислений")</f>
        <v>0</v>
      </c>
      <c r="AJ537" s="397">
        <f>SUMIFS(Амортизация!AI$15:AI$65,Амортизация!$A$15:$A$65,$A537,Амортизация!$M$15:$M$65,"Сумма амортизационных отчислений")</f>
        <v>0</v>
      </c>
      <c r="AK537" s="397">
        <f>SUMIFS(Амортизация!AJ$15:AJ$65,Амортизация!$A$15:$A$65,$A537,Амортизация!$M$15:$M$65,"Сумма амортизационных отчислений")</f>
        <v>0</v>
      </c>
      <c r="AL537" s="397">
        <f>SUMIFS(Амортизация!AK$15:AK$65,Амортизация!$A$15:$A$65,$A537,Амортизация!$M$15:$M$65,"Сумма амортизационных отчислений")</f>
        <v>0</v>
      </c>
      <c r="AM537" s="397">
        <f>SUMIFS(Амортизация!AL$15:AL$65,Амортизация!$A$15:$A$65,$A537,Амортизация!$M$15:$M$65,"Сумма амортизационных отчислений")</f>
        <v>0</v>
      </c>
      <c r="AN537" s="373">
        <f t="shared" si="103"/>
        <v>0</v>
      </c>
      <c r="AO537" s="373">
        <f t="shared" si="102"/>
        <v>0</v>
      </c>
      <c r="AP537" s="373">
        <f t="shared" si="102"/>
        <v>0</v>
      </c>
      <c r="AQ537" s="373">
        <f t="shared" si="102"/>
        <v>0</v>
      </c>
      <c r="AR537" s="373">
        <f t="shared" si="102"/>
        <v>0</v>
      </c>
      <c r="AS537" s="373">
        <f t="shared" si="102"/>
        <v>0</v>
      </c>
      <c r="AT537" s="373">
        <f t="shared" si="102"/>
        <v>0</v>
      </c>
      <c r="AU537" s="373">
        <f t="shared" si="102"/>
        <v>0</v>
      </c>
      <c r="AV537" s="373">
        <f t="shared" si="102"/>
        <v>0</v>
      </c>
      <c r="AW537" s="373">
        <f t="shared" si="102"/>
        <v>0</v>
      </c>
      <c r="AX537" s="183"/>
      <c r="AY537" s="183"/>
      <c r="AZ537" s="183"/>
    </row>
    <row r="538" spans="1:52" s="104" customFormat="1" outlineLevel="1">
      <c r="A538" s="578" t="str">
        <f t="shared" si="101"/>
        <v>1</v>
      </c>
      <c r="D538" s="104" t="s">
        <v>1499</v>
      </c>
      <c r="L538" s="375" t="s">
        <v>140</v>
      </c>
      <c r="M538" s="426" t="s">
        <v>1198</v>
      </c>
      <c r="N538" s="377" t="s">
        <v>351</v>
      </c>
      <c r="O538" s="378">
        <f>SUMIFS('ИП + источники'!P$17:P$65,'ИП + источники'!$A$17:$A$65,$A538,'ИП + источники'!$M$17:$M$65,"Амортизационные отчисления")+SUMIFS('ИП + источники'!P$17:P$65,'ИП + источники'!$A$17:$A$65,$A538,'ИП + источники'!$M$17:$M$65,"погашение займов и кредитов из амортизации")</f>
        <v>0</v>
      </c>
      <c r="P538" s="378">
        <f>SUMIFS('ИП + источники'!Q$17:Q$65,'ИП + источники'!$A$17:$A$65,$A538,'ИП + источники'!$M$17:$M$65,"Амортизационные отчисления")+SUMIFS('ИП + источники'!Q$17:Q$65,'ИП + источники'!$A$17:$A$65,$A538,'ИП + источники'!$M$17:$M$65,"погашение займов и кредитов из амортизации")</f>
        <v>0</v>
      </c>
      <c r="Q538" s="378">
        <f>SUMIFS('ИП + источники'!R$17:R$65,'ИП + источники'!$A$17:$A$65,$A538,'ИП + источники'!$M$17:$M$65,"Амортизационные отчисления")+SUMIFS('ИП + источники'!R$17:R$65,'ИП + источники'!$A$17:$A$65,$A538,'ИП + источники'!$M$17:$M$65,"погашение займов и кредитов из амортизации")</f>
        <v>0</v>
      </c>
      <c r="R538" s="379">
        <f t="shared" si="100"/>
        <v>0</v>
      </c>
      <c r="S538" s="378">
        <f>SUMIFS('ИП + источники'!T$17:T$65,'ИП + источники'!$A$17:$A$65,$A538,'ИП + источники'!$M$17:$M$65,"Амортизационные отчисления")+SUMIFS('ИП + источники'!T$17:T$65,'ИП + источники'!$A$17:$A$65,$A538,'ИП + источники'!$M$17:$M$65,"погашение займов и кредитов из амортизации")</f>
        <v>0</v>
      </c>
      <c r="T538" s="378">
        <f>SUMIFS('ИП + источники'!U$17:U$65,'ИП + источники'!$A$17:$A$65,$A538,'ИП + источники'!$M$17:$M$65,"Амортизационные отчисления")+SUMIFS('ИП + источники'!U$17:U$65,'ИП + источники'!$A$17:$A$65,$A538,'ИП + источники'!$M$17:$M$65,"погашение займов и кредитов из амортизации")</f>
        <v>0</v>
      </c>
      <c r="U538" s="378">
        <f>SUMIFS('ИП + источники'!V$17:V$65,'ИП + источники'!$A$17:$A$65,$A538,'ИП + источники'!$M$17:$M$65,"Амортизационные отчисления")+SUMIFS('ИП + источники'!V$17:V$65,'ИП + источники'!$A$17:$A$65,$A538,'ИП + источники'!$M$17:$M$65,"погашение займов и кредитов из амортизации")</f>
        <v>0</v>
      </c>
      <c r="V538" s="378">
        <f>SUMIFS('ИП + источники'!W$17:W$65,'ИП + источники'!$A$17:$A$65,$A538,'ИП + источники'!$M$17:$M$65,"Амортизационные отчисления")+SUMIFS('ИП + источники'!W$17:W$65,'ИП + источники'!$A$17:$A$65,$A538,'ИП + источники'!$M$17:$M$65,"погашение займов и кредитов из амортизации")</f>
        <v>0</v>
      </c>
      <c r="W538" s="378">
        <f>SUMIFS('ИП + источники'!X$17:X$65,'ИП + источники'!$A$17:$A$65,$A538,'ИП + источники'!$M$17:$M$65,"Амортизационные отчисления")+SUMIFS('ИП + источники'!X$17:X$65,'ИП + источники'!$A$17:$A$65,$A538,'ИП + источники'!$M$17:$M$65,"погашение займов и кредитов из амортизации")</f>
        <v>0</v>
      </c>
      <c r="X538" s="378">
        <f>SUMIFS('ИП + источники'!Y$17:Y$65,'ИП + источники'!$A$17:$A$65,$A538,'ИП + источники'!$M$17:$M$65,"Амортизационные отчисления")+SUMIFS('ИП + источники'!Y$17:Y$65,'ИП + источники'!$A$17:$A$65,$A538,'ИП + источники'!$M$17:$M$65,"погашение займов и кредитов из амортизации")</f>
        <v>0</v>
      </c>
      <c r="Y538" s="378">
        <f>SUMIFS('ИП + источники'!Z$17:Z$65,'ИП + источники'!$A$17:$A$65,$A538,'ИП + источники'!$M$17:$M$65,"Амортизационные отчисления")+SUMIFS('ИП + источники'!Z$17:Z$65,'ИП + источники'!$A$17:$A$65,$A538,'ИП + источники'!$M$17:$M$65,"погашение займов и кредитов из амортизации")</f>
        <v>0</v>
      </c>
      <c r="Z538" s="378">
        <f>SUMIFS('ИП + источники'!AA$17:AA$65,'ИП + источники'!$A$17:$A$65,$A538,'ИП + источники'!$M$17:$M$65,"Амортизационные отчисления")+SUMIFS('ИП + источники'!AA$17:AA$65,'ИП + источники'!$A$17:$A$65,$A538,'ИП + источники'!$M$17:$M$65,"погашение займов и кредитов из амортизации")</f>
        <v>0</v>
      </c>
      <c r="AA538" s="378">
        <f>SUMIFS('ИП + источники'!AB$17:AB$65,'ИП + источники'!$A$17:$A$65,$A538,'ИП + источники'!$M$17:$M$65,"Амортизационные отчисления")+SUMIFS('ИП + источники'!AB$17:AB$65,'ИП + источники'!$A$17:$A$65,$A538,'ИП + источники'!$M$17:$M$65,"погашение займов и кредитов из амортизации")</f>
        <v>0</v>
      </c>
      <c r="AB538" s="378">
        <f>SUMIFS('ИП + источники'!AC$17:AC$65,'ИП + источники'!$A$17:$A$65,$A538,'ИП + источники'!$M$17:$M$65,"Амортизационные отчисления")+SUMIFS('ИП + источники'!AC$17:AC$65,'ИП + источники'!$A$17:$A$65,$A538,'ИП + источники'!$M$17:$M$65,"погашение займов и кредитов из амортизации")</f>
        <v>0</v>
      </c>
      <c r="AC538" s="378">
        <f>SUMIFS('ИП + источники'!AD$17:AD$65,'ИП + источники'!$A$17:$A$65,$A538,'ИП + источники'!$M$17:$M$65,"Амортизационные отчисления")+SUMIFS('ИП + источники'!AD$17:AD$65,'ИП + источники'!$A$17:$A$65,$A538,'ИП + источники'!$M$17:$M$65,"погашение займов и кредитов из амортизации")</f>
        <v>0</v>
      </c>
      <c r="AD538" s="378">
        <f>SUMIFS('ИП + источники'!AE$17:AE$65,'ИП + источники'!$A$17:$A$65,$A538,'ИП + источники'!$M$17:$M$65,"Амортизационные отчисления")+SUMIFS('ИП + источники'!AE$17:AE$65,'ИП + источники'!$A$17:$A$65,$A538,'ИП + источники'!$M$17:$M$65,"погашение займов и кредитов из амортизации")</f>
        <v>0</v>
      </c>
      <c r="AE538" s="378">
        <f>SUMIFS('ИП + источники'!AF$17:AF$65,'ИП + источники'!$A$17:$A$65,$A538,'ИП + источники'!$M$17:$M$65,"Амортизационные отчисления")+SUMIFS('ИП + источники'!AF$17:AF$65,'ИП + источники'!$A$17:$A$65,$A538,'ИП + источники'!$M$17:$M$65,"погашение займов и кредитов из амортизации")</f>
        <v>0</v>
      </c>
      <c r="AF538" s="378">
        <f>SUMIFS('ИП + источники'!AG$17:AG$65,'ИП + источники'!$A$17:$A$65,$A538,'ИП + источники'!$M$17:$M$65,"Амортизационные отчисления")+SUMIFS('ИП + источники'!AG$17:AG$65,'ИП + источники'!$A$17:$A$65,$A538,'ИП + источники'!$M$17:$M$65,"погашение займов и кредитов из амортизации")</f>
        <v>0</v>
      </c>
      <c r="AG538" s="378">
        <f>SUMIFS('ИП + источники'!AH$17:AH$65,'ИП + источники'!$A$17:$A$65,$A538,'ИП + источники'!$M$17:$M$65,"Амортизационные отчисления")+SUMIFS('ИП + источники'!AH$17:AH$65,'ИП + источники'!$A$17:$A$65,$A538,'ИП + источники'!$M$17:$M$65,"погашение займов и кредитов из амортизации")</f>
        <v>0</v>
      </c>
      <c r="AH538" s="378">
        <f>SUMIFS('ИП + источники'!AI$17:AI$65,'ИП + источники'!$A$17:$A$65,$A538,'ИП + источники'!$M$17:$M$65,"Амортизационные отчисления")+SUMIFS('ИП + источники'!AI$17:AI$65,'ИП + источники'!$A$17:$A$65,$A538,'ИП + источники'!$M$17:$M$65,"погашение займов и кредитов из амортизации")</f>
        <v>0</v>
      </c>
      <c r="AI538" s="378">
        <f>SUMIFS('ИП + источники'!AJ$17:AJ$65,'ИП + источники'!$A$17:$A$65,$A538,'ИП + источники'!$M$17:$M$65,"Амортизационные отчисления")+SUMIFS('ИП + источники'!AJ$17:AJ$65,'ИП + источники'!$A$17:$A$65,$A538,'ИП + источники'!$M$17:$M$65,"погашение займов и кредитов из амортизации")</f>
        <v>0</v>
      </c>
      <c r="AJ538" s="378">
        <f>SUMIFS('ИП + источники'!AK$17:AK$65,'ИП + источники'!$A$17:$A$65,$A538,'ИП + источники'!$M$17:$M$65,"Амортизационные отчисления")+SUMIFS('ИП + источники'!AK$17:AK$65,'ИП + источники'!$A$17:$A$65,$A538,'ИП + источники'!$M$17:$M$65,"погашение займов и кредитов из амортизации")</f>
        <v>0</v>
      </c>
      <c r="AK538" s="378">
        <f>SUMIFS('ИП + источники'!AL$17:AL$65,'ИП + источники'!$A$17:$A$65,$A538,'ИП + источники'!$M$17:$M$65,"Амортизационные отчисления")+SUMIFS('ИП + источники'!AL$17:AL$65,'ИП + источники'!$A$17:$A$65,$A538,'ИП + источники'!$M$17:$M$65,"погашение займов и кредитов из амортизации")</f>
        <v>0</v>
      </c>
      <c r="AL538" s="378">
        <f>SUMIFS('ИП + источники'!AM$17:AM$65,'ИП + источники'!$A$17:$A$65,$A538,'ИП + источники'!$M$17:$M$65,"Амортизационные отчисления")+SUMIFS('ИП + источники'!AM$17:AM$65,'ИП + источники'!$A$17:$A$65,$A538,'ИП + источники'!$M$17:$M$65,"погашение займов и кредитов из амортизации")</f>
        <v>0</v>
      </c>
      <c r="AM538" s="378">
        <f>SUMIFS('ИП + источники'!AN$17:AN$65,'ИП + источники'!$A$17:$A$65,$A538,'ИП + источники'!$M$17:$M$65,"Амортизационные отчисления")+SUMIFS('ИП + источники'!AN$17:AN$65,'ИП + источники'!$A$17:$A$65,$A538,'ИП + источники'!$M$17:$M$65,"погашение займов и кредитов из амортизации")</f>
        <v>0</v>
      </c>
      <c r="AN538" s="379">
        <f t="shared" si="103"/>
        <v>0</v>
      </c>
      <c r="AO538" s="379">
        <f t="shared" si="102"/>
        <v>0</v>
      </c>
      <c r="AP538" s="379">
        <f t="shared" si="102"/>
        <v>0</v>
      </c>
      <c r="AQ538" s="379">
        <f t="shared" si="102"/>
        <v>0</v>
      </c>
      <c r="AR538" s="379">
        <f t="shared" si="102"/>
        <v>0</v>
      </c>
      <c r="AS538" s="379">
        <f t="shared" si="102"/>
        <v>0</v>
      </c>
      <c r="AT538" s="379">
        <f t="shared" si="102"/>
        <v>0</v>
      </c>
      <c r="AU538" s="379">
        <f t="shared" si="102"/>
        <v>0</v>
      </c>
      <c r="AV538" s="379">
        <f t="shared" si="102"/>
        <v>0</v>
      </c>
      <c r="AW538" s="379">
        <f t="shared" si="102"/>
        <v>0</v>
      </c>
      <c r="AX538" s="183"/>
      <c r="AY538" s="183"/>
      <c r="AZ538" s="183"/>
    </row>
    <row r="539" spans="1:52" s="109" customFormat="1" outlineLevel="1">
      <c r="A539" s="578" t="str">
        <f t="shared" si="101"/>
        <v>1</v>
      </c>
      <c r="B539" s="104" t="s">
        <v>634</v>
      </c>
      <c r="C539" s="104"/>
      <c r="D539" s="104" t="s">
        <v>1485</v>
      </c>
      <c r="L539" s="395" t="s">
        <v>120</v>
      </c>
      <c r="M539" s="398" t="s">
        <v>634</v>
      </c>
      <c r="N539" s="372" t="s">
        <v>351</v>
      </c>
      <c r="O539" s="374">
        <f>O540+O541+O542+O543</f>
        <v>0</v>
      </c>
      <c r="P539" s="374">
        <f t="shared" ref="P539:AM539" si="107">P540+P541+P542+P543</f>
        <v>0</v>
      </c>
      <c r="Q539" s="374">
        <f t="shared" si="107"/>
        <v>0</v>
      </c>
      <c r="R539" s="399">
        <f t="shared" si="100"/>
        <v>0</v>
      </c>
      <c r="S539" s="374">
        <f t="shared" si="107"/>
        <v>0</v>
      </c>
      <c r="T539" s="374">
        <f t="shared" si="107"/>
        <v>0</v>
      </c>
      <c r="U539" s="374">
        <f t="shared" si="107"/>
        <v>0</v>
      </c>
      <c r="V539" s="374">
        <f t="shared" si="107"/>
        <v>0</v>
      </c>
      <c r="W539" s="374">
        <f t="shared" si="107"/>
        <v>0</v>
      </c>
      <c r="X539" s="374">
        <f t="shared" si="107"/>
        <v>0</v>
      </c>
      <c r="Y539" s="374">
        <f t="shared" si="107"/>
        <v>0</v>
      </c>
      <c r="Z539" s="374">
        <f t="shared" si="107"/>
        <v>0</v>
      </c>
      <c r="AA539" s="374">
        <f t="shared" si="107"/>
        <v>0</v>
      </c>
      <c r="AB539" s="374">
        <f t="shared" si="107"/>
        <v>0</v>
      </c>
      <c r="AC539" s="374">
        <f t="shared" si="107"/>
        <v>0</v>
      </c>
      <c r="AD539" s="374">
        <f t="shared" si="107"/>
        <v>0</v>
      </c>
      <c r="AE539" s="374">
        <f t="shared" si="107"/>
        <v>0</v>
      </c>
      <c r="AF539" s="374">
        <f t="shared" si="107"/>
        <v>0</v>
      </c>
      <c r="AG539" s="374">
        <f t="shared" si="107"/>
        <v>0</v>
      </c>
      <c r="AH539" s="374">
        <f t="shared" si="107"/>
        <v>0</v>
      </c>
      <c r="AI539" s="374">
        <f t="shared" si="107"/>
        <v>0</v>
      </c>
      <c r="AJ539" s="374">
        <f t="shared" si="107"/>
        <v>0</v>
      </c>
      <c r="AK539" s="374">
        <f t="shared" si="107"/>
        <v>0</v>
      </c>
      <c r="AL539" s="374">
        <f t="shared" si="107"/>
        <v>0</v>
      </c>
      <c r="AM539" s="374">
        <f t="shared" si="107"/>
        <v>0</v>
      </c>
      <c r="AN539" s="373">
        <f t="shared" si="103"/>
        <v>0</v>
      </c>
      <c r="AO539" s="373">
        <f t="shared" si="102"/>
        <v>0</v>
      </c>
      <c r="AP539" s="373">
        <f t="shared" si="102"/>
        <v>0</v>
      </c>
      <c r="AQ539" s="373">
        <f t="shared" si="102"/>
        <v>0</v>
      </c>
      <c r="AR539" s="373">
        <f t="shared" si="102"/>
        <v>0</v>
      </c>
      <c r="AS539" s="373">
        <f t="shared" si="102"/>
        <v>0</v>
      </c>
      <c r="AT539" s="373">
        <f t="shared" si="102"/>
        <v>0</v>
      </c>
      <c r="AU539" s="373">
        <f t="shared" si="102"/>
        <v>0</v>
      </c>
      <c r="AV539" s="373">
        <f t="shared" si="102"/>
        <v>0</v>
      </c>
      <c r="AW539" s="373">
        <f t="shared" si="102"/>
        <v>0</v>
      </c>
      <c r="AX539" s="183"/>
      <c r="AY539" s="183"/>
      <c r="AZ539" s="183"/>
    </row>
    <row r="540" spans="1:52" s="104" customFormat="1" outlineLevel="1">
      <c r="A540" s="578" t="str">
        <f t="shared" si="101"/>
        <v>1</v>
      </c>
      <c r="D540" s="104" t="s">
        <v>1502</v>
      </c>
      <c r="L540" s="375" t="s">
        <v>122</v>
      </c>
      <c r="M540" s="376" t="s">
        <v>635</v>
      </c>
      <c r="N540" s="377" t="s">
        <v>351</v>
      </c>
      <c r="O540" s="532">
        <f>SUMIFS('ИП + источники'!P$15:P$65,'ИП + источники'!$A$15:$A$65,$A540,'ИП + источники'!$M$15:$M$65,"погашение займов и кредитов из нормативной прибыли")</f>
        <v>0</v>
      </c>
      <c r="P540" s="532">
        <f>SUMIFS('ИП + источники'!Q$15:Q$65,'ИП + источники'!$A$15:$A$65,$A540,'ИП + источники'!$M$15:$M$65,"погашение займов и кредитов из нормативной прибыли")</f>
        <v>0</v>
      </c>
      <c r="Q540" s="532">
        <f>SUMIFS('ИП + источники'!R$15:R$65,'ИП + источники'!$A$15:$A$65,$A540,'ИП + источники'!$M$15:$M$65,"погашение займов и кредитов из нормативной прибыли")</f>
        <v>0</v>
      </c>
      <c r="R540" s="379">
        <f t="shared" si="100"/>
        <v>0</v>
      </c>
      <c r="S540" s="532">
        <f>SUMIFS('ИП + источники'!T$15:T$65,'ИП + источники'!$A$15:$A$65,$A540,'ИП + источники'!$M$15:$M$65,"погашение займов и кредитов из нормативной прибыли")</f>
        <v>0</v>
      </c>
      <c r="T540" s="532">
        <f>SUMIFS('ИП + источники'!U$15:U$65,'ИП + источники'!$A$15:$A$65,$A540,'ИП + источники'!$M$15:$M$65,"погашение займов и кредитов из нормативной прибыли")</f>
        <v>0</v>
      </c>
      <c r="U540" s="532">
        <f>SUMIFS('ИП + источники'!V$15:V$65,'ИП + источники'!$A$15:$A$65,$A540,'ИП + источники'!$M$15:$M$65,"погашение займов и кредитов из нормативной прибыли")</f>
        <v>0</v>
      </c>
      <c r="V540" s="532">
        <f>SUMIFS('ИП + источники'!W$15:W$65,'ИП + источники'!$A$15:$A$65,$A540,'ИП + источники'!$M$15:$M$65,"погашение займов и кредитов из нормативной прибыли")</f>
        <v>0</v>
      </c>
      <c r="W540" s="532">
        <f>SUMIFS('ИП + источники'!X$15:X$65,'ИП + источники'!$A$15:$A$65,$A540,'ИП + источники'!$M$15:$M$65,"погашение займов и кредитов из нормативной прибыли")</f>
        <v>0</v>
      </c>
      <c r="X540" s="532">
        <f>SUMIFS('ИП + источники'!Y$15:Y$65,'ИП + источники'!$A$15:$A$65,$A540,'ИП + источники'!$M$15:$M$65,"погашение займов и кредитов из нормативной прибыли")</f>
        <v>0</v>
      </c>
      <c r="Y540" s="532">
        <f>SUMIFS('ИП + источники'!Z$15:Z$65,'ИП + источники'!$A$15:$A$65,$A540,'ИП + источники'!$M$15:$M$65,"погашение займов и кредитов из нормативной прибыли")</f>
        <v>0</v>
      </c>
      <c r="Z540" s="532">
        <f>SUMIFS('ИП + источники'!AA$15:AA$65,'ИП + источники'!$A$15:$A$65,$A540,'ИП + источники'!$M$15:$M$65,"погашение займов и кредитов из нормативной прибыли")</f>
        <v>0</v>
      </c>
      <c r="AA540" s="532">
        <f>SUMIFS('ИП + источники'!AB$15:AB$65,'ИП + источники'!$A$15:$A$65,$A540,'ИП + источники'!$M$15:$M$65,"погашение займов и кредитов из нормативной прибыли")</f>
        <v>0</v>
      </c>
      <c r="AB540" s="532">
        <f>SUMIFS('ИП + источники'!AC$15:AC$65,'ИП + источники'!$A$15:$A$65,$A540,'ИП + источники'!$M$15:$M$65,"погашение займов и кредитов из нормативной прибыли")</f>
        <v>0</v>
      </c>
      <c r="AC540" s="532">
        <f>SUMIFS('ИП + источники'!AD$15:AD$65,'ИП + источники'!$A$15:$A$65,$A540,'ИП + источники'!$M$15:$M$65,"погашение займов и кредитов из нормативной прибыли")</f>
        <v>0</v>
      </c>
      <c r="AD540" s="532">
        <f>SUMIFS('ИП + источники'!AE$15:AE$65,'ИП + источники'!$A$15:$A$65,$A540,'ИП + источники'!$M$15:$M$65,"погашение займов и кредитов из нормативной прибыли")</f>
        <v>0</v>
      </c>
      <c r="AE540" s="532">
        <f>SUMIFS('ИП + источники'!AF$15:AF$65,'ИП + источники'!$A$15:$A$65,$A540,'ИП + источники'!$M$15:$M$65,"погашение займов и кредитов из нормативной прибыли")</f>
        <v>0</v>
      </c>
      <c r="AF540" s="532">
        <f>SUMIFS('ИП + источники'!AG$15:AG$65,'ИП + источники'!$A$15:$A$65,$A540,'ИП + источники'!$M$15:$M$65,"погашение займов и кредитов из нормативной прибыли")</f>
        <v>0</v>
      </c>
      <c r="AG540" s="532">
        <f>SUMIFS('ИП + источники'!AH$15:AH$65,'ИП + источники'!$A$15:$A$65,$A540,'ИП + источники'!$M$15:$M$65,"погашение займов и кредитов из нормативной прибыли")</f>
        <v>0</v>
      </c>
      <c r="AH540" s="532">
        <f>SUMIFS('ИП + источники'!AI$15:AI$65,'ИП + источники'!$A$15:$A$65,$A540,'ИП + источники'!$M$15:$M$65,"погашение займов и кредитов из нормативной прибыли")</f>
        <v>0</v>
      </c>
      <c r="AI540" s="532">
        <f>SUMIFS('ИП + источники'!AJ$15:AJ$65,'ИП + источники'!$A$15:$A$65,$A540,'ИП + источники'!$M$15:$M$65,"погашение займов и кредитов из нормативной прибыли")</f>
        <v>0</v>
      </c>
      <c r="AJ540" s="532">
        <f>SUMIFS('ИП + источники'!AK$15:AK$65,'ИП + источники'!$A$15:$A$65,$A540,'ИП + источники'!$M$15:$M$65,"погашение займов и кредитов из нормативной прибыли")</f>
        <v>0</v>
      </c>
      <c r="AK540" s="532">
        <f>SUMIFS('ИП + источники'!AL$15:AL$65,'ИП + источники'!$A$15:$A$65,$A540,'ИП + источники'!$M$15:$M$65,"погашение займов и кредитов из нормативной прибыли")</f>
        <v>0</v>
      </c>
      <c r="AL540" s="532">
        <f>SUMIFS('ИП + источники'!AM$15:AM$65,'ИП + источники'!$A$15:$A$65,$A540,'ИП + источники'!$M$15:$M$65,"погашение займов и кредитов из нормативной прибыли")</f>
        <v>0</v>
      </c>
      <c r="AM540" s="532">
        <f>SUMIFS('ИП + источники'!AN$15:AN$65,'ИП + источники'!$A$15:$A$65,$A540,'ИП + источники'!$M$15:$M$65,"погашение займов и кредитов из нормативной прибыли")</f>
        <v>0</v>
      </c>
      <c r="AN540" s="379">
        <f t="shared" si="103"/>
        <v>0</v>
      </c>
      <c r="AO540" s="379">
        <f t="shared" si="102"/>
        <v>0</v>
      </c>
      <c r="AP540" s="379">
        <f t="shared" si="102"/>
        <v>0</v>
      </c>
      <c r="AQ540" s="379">
        <f t="shared" si="102"/>
        <v>0</v>
      </c>
      <c r="AR540" s="379">
        <f t="shared" si="102"/>
        <v>0</v>
      </c>
      <c r="AS540" s="379">
        <f t="shared" si="102"/>
        <v>0</v>
      </c>
      <c r="AT540" s="379">
        <f t="shared" si="102"/>
        <v>0</v>
      </c>
      <c r="AU540" s="379">
        <f t="shared" si="102"/>
        <v>0</v>
      </c>
      <c r="AV540" s="379">
        <f t="shared" si="102"/>
        <v>0</v>
      </c>
      <c r="AW540" s="379">
        <f t="shared" si="102"/>
        <v>0</v>
      </c>
      <c r="AX540" s="183"/>
      <c r="AY540" s="183"/>
      <c r="AZ540" s="183"/>
    </row>
    <row r="541" spans="1:52" s="104" customFormat="1" outlineLevel="1">
      <c r="A541" s="578" t="str">
        <f t="shared" si="101"/>
        <v>1</v>
      </c>
      <c r="D541" s="104" t="s">
        <v>1503</v>
      </c>
      <c r="L541" s="375" t="s">
        <v>123</v>
      </c>
      <c r="M541" s="376" t="s">
        <v>636</v>
      </c>
      <c r="N541" s="377" t="s">
        <v>351</v>
      </c>
      <c r="O541" s="532">
        <f>SUMIFS('ИП + источники'!P$15:P$65,'ИП + источники'!$A$15:$A$65,$A541,'ИП + источники'!$M$15:$M$65,"уплата процентов по кредитам из нормативной прибыли")</f>
        <v>0</v>
      </c>
      <c r="P541" s="532">
        <f>SUMIFS('ИП + источники'!Q$15:Q$65,'ИП + источники'!$A$15:$A$65,$A541,'ИП + источники'!$M$15:$M$65,"уплата процентов по кредитам из нормативной прибыли")</f>
        <v>0</v>
      </c>
      <c r="Q541" s="532">
        <f>SUMIFS('ИП + источники'!R$15:R$65,'ИП + источники'!$A$15:$A$65,$A541,'ИП + источники'!$M$15:$M$65,"уплата процентов по кредитам из нормативной прибыли")</f>
        <v>0</v>
      </c>
      <c r="R541" s="379">
        <f t="shared" si="100"/>
        <v>0</v>
      </c>
      <c r="S541" s="532">
        <f>SUMIFS('ИП + источники'!T$15:T$65,'ИП + источники'!$A$15:$A$65,$A541,'ИП + источники'!$M$15:$M$65,"уплата процентов по кредитам из нормативной прибыли")</f>
        <v>0</v>
      </c>
      <c r="T541" s="532">
        <f>SUMIFS('ИП + источники'!U$15:U$65,'ИП + источники'!$A$15:$A$65,$A541,'ИП + источники'!$M$15:$M$65,"уплата процентов по кредитам из нормативной прибыли")</f>
        <v>0</v>
      </c>
      <c r="U541" s="532">
        <f>SUMIFS('ИП + источники'!V$15:V$65,'ИП + источники'!$A$15:$A$65,$A541,'ИП + источники'!$M$15:$M$65,"уплата процентов по кредитам из нормативной прибыли")</f>
        <v>0</v>
      </c>
      <c r="V541" s="532">
        <f>SUMIFS('ИП + источники'!W$15:W$65,'ИП + источники'!$A$15:$A$65,$A541,'ИП + источники'!$M$15:$M$65,"уплата процентов по кредитам из нормативной прибыли")</f>
        <v>0</v>
      </c>
      <c r="W541" s="532">
        <f>SUMIFS('ИП + источники'!X$15:X$65,'ИП + источники'!$A$15:$A$65,$A541,'ИП + источники'!$M$15:$M$65,"уплата процентов по кредитам из нормативной прибыли")</f>
        <v>0</v>
      </c>
      <c r="X541" s="532">
        <f>SUMIFS('ИП + источники'!Y$15:Y$65,'ИП + источники'!$A$15:$A$65,$A541,'ИП + источники'!$M$15:$M$65,"уплата процентов по кредитам из нормативной прибыли")</f>
        <v>0</v>
      </c>
      <c r="Y541" s="532">
        <f>SUMIFS('ИП + источники'!Z$15:Z$65,'ИП + источники'!$A$15:$A$65,$A541,'ИП + источники'!$M$15:$M$65,"уплата процентов по кредитам из нормативной прибыли")</f>
        <v>0</v>
      </c>
      <c r="Z541" s="532">
        <f>SUMIFS('ИП + источники'!AA$15:AA$65,'ИП + источники'!$A$15:$A$65,$A541,'ИП + источники'!$M$15:$M$65,"уплата процентов по кредитам из нормативной прибыли")</f>
        <v>0</v>
      </c>
      <c r="AA541" s="532">
        <f>SUMIFS('ИП + источники'!AB$15:AB$65,'ИП + источники'!$A$15:$A$65,$A541,'ИП + источники'!$M$15:$M$65,"уплата процентов по кредитам из нормативной прибыли")</f>
        <v>0</v>
      </c>
      <c r="AB541" s="532">
        <f>SUMIFS('ИП + источники'!AC$15:AC$65,'ИП + источники'!$A$15:$A$65,$A541,'ИП + источники'!$M$15:$M$65,"уплата процентов по кредитам из нормативной прибыли")</f>
        <v>0</v>
      </c>
      <c r="AC541" s="532">
        <f>SUMIFS('ИП + источники'!AD$15:AD$65,'ИП + источники'!$A$15:$A$65,$A541,'ИП + источники'!$M$15:$M$65,"уплата процентов по кредитам из нормативной прибыли")</f>
        <v>0</v>
      </c>
      <c r="AD541" s="532">
        <f>SUMIFS('ИП + источники'!AE$15:AE$65,'ИП + источники'!$A$15:$A$65,$A541,'ИП + источники'!$M$15:$M$65,"уплата процентов по кредитам из нормативной прибыли")</f>
        <v>0</v>
      </c>
      <c r="AE541" s="532">
        <f>SUMIFS('ИП + источники'!AF$15:AF$65,'ИП + источники'!$A$15:$A$65,$A541,'ИП + источники'!$M$15:$M$65,"уплата процентов по кредитам из нормативной прибыли")</f>
        <v>0</v>
      </c>
      <c r="AF541" s="532">
        <f>SUMIFS('ИП + источники'!AG$15:AG$65,'ИП + источники'!$A$15:$A$65,$A541,'ИП + источники'!$M$15:$M$65,"уплата процентов по кредитам из нормативной прибыли")</f>
        <v>0</v>
      </c>
      <c r="AG541" s="532">
        <f>SUMIFS('ИП + источники'!AH$15:AH$65,'ИП + источники'!$A$15:$A$65,$A541,'ИП + источники'!$M$15:$M$65,"уплата процентов по кредитам из нормативной прибыли")</f>
        <v>0</v>
      </c>
      <c r="AH541" s="532">
        <f>SUMIFS('ИП + источники'!AI$15:AI$65,'ИП + источники'!$A$15:$A$65,$A541,'ИП + источники'!$M$15:$M$65,"уплата процентов по кредитам из нормативной прибыли")</f>
        <v>0</v>
      </c>
      <c r="AI541" s="532">
        <f>SUMIFS('ИП + источники'!AJ$15:AJ$65,'ИП + источники'!$A$15:$A$65,$A541,'ИП + источники'!$M$15:$M$65,"уплата процентов по кредитам из нормативной прибыли")</f>
        <v>0</v>
      </c>
      <c r="AJ541" s="532">
        <f>SUMIFS('ИП + источники'!AK$15:AK$65,'ИП + источники'!$A$15:$A$65,$A541,'ИП + источники'!$M$15:$M$65,"уплата процентов по кредитам из нормативной прибыли")</f>
        <v>0</v>
      </c>
      <c r="AK541" s="532">
        <f>SUMIFS('ИП + источники'!AL$15:AL$65,'ИП + источники'!$A$15:$A$65,$A541,'ИП + источники'!$M$15:$M$65,"уплата процентов по кредитам из нормативной прибыли")</f>
        <v>0</v>
      </c>
      <c r="AL541" s="532">
        <f>SUMIFS('ИП + источники'!AM$15:AM$65,'ИП + источники'!$A$15:$A$65,$A541,'ИП + источники'!$M$15:$M$65,"уплата процентов по кредитам из нормативной прибыли")</f>
        <v>0</v>
      </c>
      <c r="AM541" s="532">
        <f>SUMIFS('ИП + источники'!AN$15:AN$65,'ИП + источники'!$A$15:$A$65,$A541,'ИП + источники'!$M$15:$M$65,"уплата процентов по кредитам из нормативной прибыли")</f>
        <v>0</v>
      </c>
      <c r="AN541" s="379">
        <f t="shared" si="103"/>
        <v>0</v>
      </c>
      <c r="AO541" s="379">
        <f t="shared" si="102"/>
        <v>0</v>
      </c>
      <c r="AP541" s="379">
        <f t="shared" si="102"/>
        <v>0</v>
      </c>
      <c r="AQ541" s="379">
        <f t="shared" si="102"/>
        <v>0</v>
      </c>
      <c r="AR541" s="379">
        <f t="shared" si="102"/>
        <v>0</v>
      </c>
      <c r="AS541" s="379">
        <f t="shared" si="102"/>
        <v>0</v>
      </c>
      <c r="AT541" s="379">
        <f t="shared" si="102"/>
        <v>0</v>
      </c>
      <c r="AU541" s="379">
        <f t="shared" si="102"/>
        <v>0</v>
      </c>
      <c r="AV541" s="379">
        <f t="shared" si="102"/>
        <v>0</v>
      </c>
      <c r="AW541" s="379">
        <f t="shared" si="102"/>
        <v>0</v>
      </c>
      <c r="AX541" s="183"/>
      <c r="AY541" s="183"/>
      <c r="AZ541" s="183"/>
    </row>
    <row r="542" spans="1:52" s="104" customFormat="1" outlineLevel="1">
      <c r="A542" s="578" t="str">
        <f t="shared" si="101"/>
        <v>1</v>
      </c>
      <c r="D542" s="104" t="s">
        <v>1543</v>
      </c>
      <c r="L542" s="375" t="s">
        <v>377</v>
      </c>
      <c r="M542" s="376" t="s">
        <v>637</v>
      </c>
      <c r="N542" s="377" t="s">
        <v>351</v>
      </c>
      <c r="O542" s="532">
        <f>SUMIFS('ИП + источники'!P$15:P$65,'ИП + источники'!$A$15:$A$65,$A542,'ИП + источники'!$M$15:$M$65,"Прибыль на капвложения")</f>
        <v>0</v>
      </c>
      <c r="P542" s="532">
        <f>SUMIFS('ИП + источники'!Q$15:Q$65,'ИП + источники'!$A$15:$A$65,$A542,'ИП + источники'!$M$15:$M$65,"Прибыль на капвложения")</f>
        <v>0</v>
      </c>
      <c r="Q542" s="532">
        <f>SUMIFS('ИП + источники'!R$15:R$65,'ИП + источники'!$A$15:$A$65,$A542,'ИП + источники'!$M$15:$M$65,"Прибыль на капвложения")</f>
        <v>0</v>
      </c>
      <c r="R542" s="379">
        <f t="shared" si="100"/>
        <v>0</v>
      </c>
      <c r="S542" s="532">
        <f>SUMIFS('ИП + источники'!T$15:T$65,'ИП + источники'!$A$15:$A$65,$A542,'ИП + источники'!$M$15:$M$65,"Прибыль на капвложения")</f>
        <v>0</v>
      </c>
      <c r="T542" s="532">
        <f>SUMIFS('ИП + источники'!U$15:U$65,'ИП + источники'!$A$15:$A$65,$A542,'ИП + источники'!$M$15:$M$65,"Прибыль на капвложения")</f>
        <v>0</v>
      </c>
      <c r="U542" s="532">
        <f>SUMIFS('ИП + источники'!V$15:V$65,'ИП + источники'!$A$15:$A$65,$A542,'ИП + источники'!$M$15:$M$65,"Прибыль на капвложения")</f>
        <v>0</v>
      </c>
      <c r="V542" s="532">
        <f>SUMIFS('ИП + источники'!W$15:W$65,'ИП + источники'!$A$15:$A$65,$A542,'ИП + источники'!$M$15:$M$65,"Прибыль на капвложения")</f>
        <v>0</v>
      </c>
      <c r="W542" s="532">
        <f>SUMIFS('ИП + источники'!X$15:X$65,'ИП + источники'!$A$15:$A$65,$A542,'ИП + источники'!$M$15:$M$65,"Прибыль на капвложения")</f>
        <v>0</v>
      </c>
      <c r="X542" s="532">
        <f>SUMIFS('ИП + источники'!Y$15:Y$65,'ИП + источники'!$A$15:$A$65,$A542,'ИП + источники'!$M$15:$M$65,"Прибыль на капвложения")</f>
        <v>0</v>
      </c>
      <c r="Y542" s="532">
        <f>SUMIFS('ИП + источники'!Z$15:Z$65,'ИП + источники'!$A$15:$A$65,$A542,'ИП + источники'!$M$15:$M$65,"Прибыль на капвложения")</f>
        <v>0</v>
      </c>
      <c r="Z542" s="532">
        <f>SUMIFS('ИП + источники'!AA$15:AA$65,'ИП + источники'!$A$15:$A$65,$A542,'ИП + источники'!$M$15:$M$65,"Прибыль на капвложения")</f>
        <v>0</v>
      </c>
      <c r="AA542" s="532">
        <f>SUMIFS('ИП + источники'!AB$15:AB$65,'ИП + источники'!$A$15:$A$65,$A542,'ИП + источники'!$M$15:$M$65,"Прибыль на капвложения")</f>
        <v>0</v>
      </c>
      <c r="AB542" s="532">
        <f>SUMIFS('ИП + источники'!AC$15:AC$65,'ИП + источники'!$A$15:$A$65,$A542,'ИП + источники'!$M$15:$M$65,"Прибыль на капвложения")</f>
        <v>0</v>
      </c>
      <c r="AC542" s="532">
        <f>SUMIFS('ИП + источники'!AD$15:AD$65,'ИП + источники'!$A$15:$A$65,$A542,'ИП + источники'!$M$15:$M$65,"Прибыль на капвложения")</f>
        <v>0</v>
      </c>
      <c r="AD542" s="532">
        <f>SUMIFS('ИП + источники'!AE$15:AE$65,'ИП + источники'!$A$15:$A$65,$A542,'ИП + источники'!$M$15:$M$65,"Прибыль на капвложения")</f>
        <v>0</v>
      </c>
      <c r="AE542" s="532">
        <f>SUMIFS('ИП + источники'!AF$15:AF$65,'ИП + источники'!$A$15:$A$65,$A542,'ИП + источники'!$M$15:$M$65,"Прибыль на капвложения")</f>
        <v>0</v>
      </c>
      <c r="AF542" s="532">
        <f>SUMIFS('ИП + источники'!AG$15:AG$65,'ИП + источники'!$A$15:$A$65,$A542,'ИП + источники'!$M$15:$M$65,"Прибыль на капвложения")</f>
        <v>0</v>
      </c>
      <c r="AG542" s="532">
        <f>SUMIFS('ИП + источники'!AH$15:AH$65,'ИП + источники'!$A$15:$A$65,$A542,'ИП + источники'!$M$15:$M$65,"Прибыль на капвложения")</f>
        <v>0</v>
      </c>
      <c r="AH542" s="532">
        <f>SUMIFS('ИП + источники'!AI$15:AI$65,'ИП + источники'!$A$15:$A$65,$A542,'ИП + источники'!$M$15:$M$65,"Прибыль на капвложения")</f>
        <v>0</v>
      </c>
      <c r="AI542" s="532">
        <f>SUMIFS('ИП + источники'!AJ$15:AJ$65,'ИП + источники'!$A$15:$A$65,$A542,'ИП + источники'!$M$15:$M$65,"Прибыль на капвложения")</f>
        <v>0</v>
      </c>
      <c r="AJ542" s="532">
        <f>SUMIFS('ИП + источники'!AK$15:AK$65,'ИП + источники'!$A$15:$A$65,$A542,'ИП + источники'!$M$15:$M$65,"Прибыль на капвложения")</f>
        <v>0</v>
      </c>
      <c r="AK542" s="532">
        <f>SUMIFS('ИП + источники'!AL$15:AL$65,'ИП + источники'!$A$15:$A$65,$A542,'ИП + источники'!$M$15:$M$65,"Прибыль на капвложения")</f>
        <v>0</v>
      </c>
      <c r="AL542" s="532">
        <f>SUMIFS('ИП + источники'!AM$15:AM$65,'ИП + источники'!$A$15:$A$65,$A542,'ИП + источники'!$M$15:$M$65,"Прибыль на капвложения")</f>
        <v>0</v>
      </c>
      <c r="AM542" s="532">
        <f>SUMIFS('ИП + источники'!AN$15:AN$65,'ИП + источники'!$A$15:$A$65,$A542,'ИП + источники'!$M$15:$M$65,"Прибыль на капвложения")</f>
        <v>0</v>
      </c>
      <c r="AN542" s="379">
        <f t="shared" si="103"/>
        <v>0</v>
      </c>
      <c r="AO542" s="379">
        <f t="shared" si="102"/>
        <v>0</v>
      </c>
      <c r="AP542" s="379">
        <f t="shared" si="102"/>
        <v>0</v>
      </c>
      <c r="AQ542" s="379">
        <f t="shared" si="102"/>
        <v>0</v>
      </c>
      <c r="AR542" s="379">
        <f t="shared" si="102"/>
        <v>0</v>
      </c>
      <c r="AS542" s="379">
        <f t="shared" si="102"/>
        <v>0</v>
      </c>
      <c r="AT542" s="379">
        <f t="shared" si="102"/>
        <v>0</v>
      </c>
      <c r="AU542" s="379">
        <f t="shared" si="102"/>
        <v>0</v>
      </c>
      <c r="AV542" s="379">
        <f t="shared" si="102"/>
        <v>0</v>
      </c>
      <c r="AW542" s="379">
        <f t="shared" si="102"/>
        <v>0</v>
      </c>
      <c r="AX542" s="183"/>
      <c r="AY542" s="183"/>
      <c r="AZ542" s="183"/>
    </row>
    <row r="543" spans="1:52" s="104" customFormat="1" ht="22.5" outlineLevel="1">
      <c r="A543" s="578" t="str">
        <f t="shared" si="101"/>
        <v>1</v>
      </c>
      <c r="B543" s="104" t="s">
        <v>1424</v>
      </c>
      <c r="D543" s="104" t="s">
        <v>1560</v>
      </c>
      <c r="L543" s="375" t="s">
        <v>378</v>
      </c>
      <c r="M543" s="376" t="s">
        <v>638</v>
      </c>
      <c r="N543" s="377" t="s">
        <v>351</v>
      </c>
      <c r="O543" s="378"/>
      <c r="P543" s="378"/>
      <c r="Q543" s="378"/>
      <c r="R543" s="379">
        <f t="shared" si="100"/>
        <v>0</v>
      </c>
      <c r="S543" s="378"/>
      <c r="T543" s="378"/>
      <c r="U543" s="378"/>
      <c r="V543" s="378"/>
      <c r="W543" s="378"/>
      <c r="X543" s="378"/>
      <c r="Y543" s="378"/>
      <c r="Z543" s="378"/>
      <c r="AA543" s="378"/>
      <c r="AB543" s="378"/>
      <c r="AC543" s="378"/>
      <c r="AD543" s="378"/>
      <c r="AE543" s="378"/>
      <c r="AF543" s="378"/>
      <c r="AG543" s="378"/>
      <c r="AH543" s="378"/>
      <c r="AI543" s="378"/>
      <c r="AJ543" s="378"/>
      <c r="AK543" s="378"/>
      <c r="AL543" s="378"/>
      <c r="AM543" s="378"/>
      <c r="AN543" s="379">
        <f t="shared" si="103"/>
        <v>0</v>
      </c>
      <c r="AO543" s="379">
        <f t="shared" si="102"/>
        <v>0</v>
      </c>
      <c r="AP543" s="379">
        <f t="shared" si="102"/>
        <v>0</v>
      </c>
      <c r="AQ543" s="379">
        <f t="shared" si="102"/>
        <v>0</v>
      </c>
      <c r="AR543" s="379">
        <f t="shared" si="102"/>
        <v>0</v>
      </c>
      <c r="AS543" s="379">
        <f t="shared" si="102"/>
        <v>0</v>
      </c>
      <c r="AT543" s="379">
        <f t="shared" si="102"/>
        <v>0</v>
      </c>
      <c r="AU543" s="379">
        <f t="shared" si="102"/>
        <v>0</v>
      </c>
      <c r="AV543" s="379">
        <f t="shared" si="102"/>
        <v>0</v>
      </c>
      <c r="AW543" s="379">
        <f t="shared" si="102"/>
        <v>0</v>
      </c>
      <c r="AX543" s="183"/>
      <c r="AY543" s="183"/>
      <c r="AZ543" s="183"/>
    </row>
    <row r="544" spans="1:52" s="104" customFormat="1" ht="22.5" outlineLevel="1">
      <c r="A544" s="578" t="str">
        <f t="shared" si="101"/>
        <v>1</v>
      </c>
      <c r="B544" s="104" t="s">
        <v>639</v>
      </c>
      <c r="D544" s="104" t="s">
        <v>1486</v>
      </c>
      <c r="L544" s="375" t="s">
        <v>124</v>
      </c>
      <c r="M544" s="303" t="s">
        <v>639</v>
      </c>
      <c r="N544" s="377" t="s">
        <v>351</v>
      </c>
      <c r="O544" s="378"/>
      <c r="P544" s="378"/>
      <c r="Q544" s="378"/>
      <c r="R544" s="379">
        <f t="shared" si="100"/>
        <v>0</v>
      </c>
      <c r="S544" s="378"/>
      <c r="T544" s="378"/>
      <c r="U544" s="378"/>
      <c r="V544" s="378"/>
      <c r="W544" s="378"/>
      <c r="X544" s="378"/>
      <c r="Y544" s="378"/>
      <c r="Z544" s="378"/>
      <c r="AA544" s="378"/>
      <c r="AB544" s="378"/>
      <c r="AC544" s="378"/>
      <c r="AD544" s="378"/>
      <c r="AE544" s="378"/>
      <c r="AF544" s="378"/>
      <c r="AG544" s="378"/>
      <c r="AH544" s="378"/>
      <c r="AI544" s="378"/>
      <c r="AJ544" s="378"/>
      <c r="AK544" s="378"/>
      <c r="AL544" s="378"/>
      <c r="AM544" s="378"/>
      <c r="AN544" s="379">
        <f t="shared" si="103"/>
        <v>0</v>
      </c>
      <c r="AO544" s="379">
        <f t="shared" si="102"/>
        <v>0</v>
      </c>
      <c r="AP544" s="379">
        <f t="shared" si="102"/>
        <v>0</v>
      </c>
      <c r="AQ544" s="379">
        <f t="shared" si="102"/>
        <v>0</v>
      </c>
      <c r="AR544" s="379">
        <f t="shared" si="102"/>
        <v>0</v>
      </c>
      <c r="AS544" s="379">
        <f t="shared" si="102"/>
        <v>0</v>
      </c>
      <c r="AT544" s="379">
        <f t="shared" si="102"/>
        <v>0</v>
      </c>
      <c r="AU544" s="379">
        <f t="shared" si="102"/>
        <v>0</v>
      </c>
      <c r="AV544" s="379">
        <f t="shared" si="102"/>
        <v>0</v>
      </c>
      <c r="AW544" s="379">
        <f t="shared" si="102"/>
        <v>0</v>
      </c>
      <c r="AX544" s="183"/>
      <c r="AY544" s="183"/>
      <c r="AZ544" s="183"/>
    </row>
    <row r="545" spans="1:52" s="109" customFormat="1" outlineLevel="1">
      <c r="A545" s="578" t="str">
        <f t="shared" si="101"/>
        <v>1</v>
      </c>
      <c r="B545" s="104" t="s">
        <v>1497</v>
      </c>
      <c r="C545" s="104"/>
      <c r="D545" s="611" t="s">
        <v>1701</v>
      </c>
      <c r="L545" s="395" t="s">
        <v>125</v>
      </c>
      <c r="M545" s="609" t="s">
        <v>1612</v>
      </c>
      <c r="N545" s="396" t="s">
        <v>351</v>
      </c>
      <c r="O545" s="400"/>
      <c r="P545" s="400"/>
      <c r="Q545" s="400"/>
      <c r="R545" s="373">
        <f t="shared" si="100"/>
        <v>0</v>
      </c>
      <c r="S545" s="400"/>
      <c r="T545" s="378">
        <f>SUMIFS('Корректировка НВВ'!$P$15:$P$60,'Корректировка НВВ'!$A$15:$A$60,$A545,'Корректировка НВВ'!$D$15:$D$60,$B545)</f>
        <v>0</v>
      </c>
      <c r="U545" s="400"/>
      <c r="V545" s="400"/>
      <c r="W545" s="400"/>
      <c r="X545" s="400"/>
      <c r="Y545" s="400"/>
      <c r="Z545" s="400"/>
      <c r="AA545" s="400"/>
      <c r="AB545" s="400"/>
      <c r="AC545" s="400"/>
      <c r="AD545" s="378">
        <f>SUMIFS('Корректировка НВВ'!$Q$15:$Q$60,'Корректировка НВВ'!$A$15:$A$60,$A545,'Корректировка НВВ'!$D$15:$D$60,$B545)</f>
        <v>115.93000000000006</v>
      </c>
      <c r="AE545" s="400"/>
      <c r="AF545" s="400"/>
      <c r="AG545" s="400"/>
      <c r="AH545" s="400"/>
      <c r="AI545" s="400"/>
      <c r="AJ545" s="400"/>
      <c r="AK545" s="400"/>
      <c r="AL545" s="400"/>
      <c r="AM545" s="400"/>
      <c r="AN545" s="373">
        <f t="shared" si="103"/>
        <v>0</v>
      </c>
      <c r="AO545" s="373">
        <f t="shared" si="102"/>
        <v>-100</v>
      </c>
      <c r="AP545" s="373">
        <f t="shared" si="102"/>
        <v>0</v>
      </c>
      <c r="AQ545" s="373">
        <f t="shared" si="102"/>
        <v>0</v>
      </c>
      <c r="AR545" s="373">
        <f t="shared" si="102"/>
        <v>0</v>
      </c>
      <c r="AS545" s="373">
        <f t="shared" si="102"/>
        <v>0</v>
      </c>
      <c r="AT545" s="373">
        <f t="shared" si="102"/>
        <v>0</v>
      </c>
      <c r="AU545" s="373">
        <f t="shared" si="102"/>
        <v>0</v>
      </c>
      <c r="AV545" s="373">
        <f t="shared" si="102"/>
        <v>0</v>
      </c>
      <c r="AW545" s="373">
        <f t="shared" si="102"/>
        <v>0</v>
      </c>
      <c r="AX545" s="549"/>
      <c r="AY545" s="549"/>
      <c r="AZ545" s="549"/>
    </row>
    <row r="546" spans="1:52" s="104" customFormat="1" outlineLevel="1">
      <c r="A546" s="578" t="str">
        <f t="shared" si="101"/>
        <v>1</v>
      </c>
      <c r="L546" s="375"/>
      <c r="M546" s="303" t="s">
        <v>1700</v>
      </c>
      <c r="N546" s="377"/>
      <c r="O546" s="403"/>
      <c r="P546" s="403"/>
      <c r="Q546" s="403"/>
      <c r="R546" s="403"/>
      <c r="S546" s="403"/>
      <c r="T546" s="403"/>
      <c r="U546" s="403"/>
      <c r="V546" s="403"/>
      <c r="W546" s="403"/>
      <c r="X546" s="403"/>
      <c r="Y546" s="403"/>
      <c r="Z546" s="403"/>
      <c r="AA546" s="403"/>
      <c r="AB546" s="403"/>
      <c r="AC546" s="403"/>
      <c r="AD546" s="403"/>
      <c r="AE546" s="403"/>
      <c r="AF546" s="403"/>
      <c r="AG546" s="403"/>
      <c r="AH546" s="403"/>
      <c r="AI546" s="403"/>
      <c r="AJ546" s="403"/>
      <c r="AK546" s="403"/>
      <c r="AL546" s="403"/>
      <c r="AM546" s="403"/>
      <c r="AN546" s="403"/>
      <c r="AO546" s="403"/>
      <c r="AP546" s="403"/>
      <c r="AQ546" s="403"/>
      <c r="AR546" s="403"/>
      <c r="AS546" s="403"/>
      <c r="AT546" s="403"/>
      <c r="AU546" s="403"/>
      <c r="AV546" s="403"/>
      <c r="AW546" s="403"/>
      <c r="AX546" s="559"/>
      <c r="AY546" s="559"/>
      <c r="AZ546" s="559"/>
    </row>
    <row r="547" spans="1:52" s="104" customFormat="1" ht="33.75" outlineLevel="1">
      <c r="A547" s="578" t="str">
        <f t="shared" si="101"/>
        <v>1</v>
      </c>
      <c r="B547" s="104" t="s">
        <v>1483</v>
      </c>
      <c r="D547" s="104" t="s">
        <v>1487</v>
      </c>
      <c r="L547" s="375" t="s">
        <v>181</v>
      </c>
      <c r="M547" s="376" t="s">
        <v>640</v>
      </c>
      <c r="N547" s="377" t="s">
        <v>351</v>
      </c>
      <c r="O547" s="378"/>
      <c r="P547" s="378"/>
      <c r="Q547" s="378"/>
      <c r="R547" s="379">
        <f t="shared" si="100"/>
        <v>0</v>
      </c>
      <c r="S547" s="378"/>
      <c r="T547" s="378">
        <f>SUMIFS('Корректировка НВВ'!$P$15:$P$60,'Корректировка НВВ'!$A$15:$A$60,$A547,'Корректировка НВВ'!$D$15:$D$60,$B547)</f>
        <v>0</v>
      </c>
      <c r="U547" s="378"/>
      <c r="V547" s="378"/>
      <c r="W547" s="378"/>
      <c r="X547" s="378"/>
      <c r="Y547" s="378"/>
      <c r="Z547" s="378"/>
      <c r="AA547" s="378"/>
      <c r="AB547" s="378"/>
      <c r="AC547" s="378"/>
      <c r="AD547" s="378">
        <f>SUMIFS('Корректировка НВВ'!$Q$15:$Q$60,'Корректировка НВВ'!$A$15:$A$60,$A547,'Корректировка НВВ'!$D$15:$D$60,$B547)</f>
        <v>0</v>
      </c>
      <c r="AE547" s="378"/>
      <c r="AF547" s="378"/>
      <c r="AG547" s="378"/>
      <c r="AH547" s="378"/>
      <c r="AI547" s="378"/>
      <c r="AJ547" s="378"/>
      <c r="AK547" s="378"/>
      <c r="AL547" s="378"/>
      <c r="AM547" s="378"/>
      <c r="AN547" s="380"/>
      <c r="AO547" s="380"/>
      <c r="AP547" s="380"/>
      <c r="AQ547" s="380"/>
      <c r="AR547" s="380"/>
      <c r="AS547" s="380"/>
      <c r="AT547" s="380"/>
      <c r="AU547" s="380"/>
      <c r="AV547" s="380"/>
      <c r="AW547" s="380"/>
      <c r="AX547" s="183"/>
      <c r="AY547" s="183"/>
      <c r="AZ547" s="183"/>
    </row>
    <row r="548" spans="1:52" s="104" customFormat="1" ht="123.75" outlineLevel="1">
      <c r="A548" s="578" t="str">
        <f t="shared" si="101"/>
        <v>1</v>
      </c>
      <c r="B548" s="104" t="s">
        <v>1484</v>
      </c>
      <c r="D548" s="104" t="s">
        <v>1494</v>
      </c>
      <c r="L548" s="375" t="s">
        <v>182</v>
      </c>
      <c r="M548" s="376" t="s">
        <v>641</v>
      </c>
      <c r="N548" s="377" t="s">
        <v>351</v>
      </c>
      <c r="O548" s="378"/>
      <c r="P548" s="378"/>
      <c r="Q548" s="378"/>
      <c r="R548" s="379">
        <f t="shared" si="100"/>
        <v>0</v>
      </c>
      <c r="S548" s="378"/>
      <c r="T548" s="378">
        <f>SUMIFS('Корректировка НВВ'!$P$15:$P$60,'Корректировка НВВ'!$A$15:$A$60,$A548,'Корректировка НВВ'!$D$15:$D$60,$B548)</f>
        <v>0</v>
      </c>
      <c r="U548" s="378"/>
      <c r="V548" s="378"/>
      <c r="W548" s="378"/>
      <c r="X548" s="378"/>
      <c r="Y548" s="378"/>
      <c r="Z548" s="378"/>
      <c r="AA548" s="378"/>
      <c r="AB548" s="378"/>
      <c r="AC548" s="378"/>
      <c r="AD548" s="378">
        <f>SUMIFS('Корректировка НВВ'!$Q$15:$Q$60,'Корректировка НВВ'!$A$15:$A$60,$A548,'Корректировка НВВ'!$D$15:$D$60,$B548)</f>
        <v>0</v>
      </c>
      <c r="AE548" s="378"/>
      <c r="AF548" s="378"/>
      <c r="AG548" s="378"/>
      <c r="AH548" s="378"/>
      <c r="AI548" s="378"/>
      <c r="AJ548" s="378"/>
      <c r="AK548" s="378"/>
      <c r="AL548" s="378"/>
      <c r="AM548" s="378"/>
      <c r="AN548" s="380"/>
      <c r="AO548" s="380"/>
      <c r="AP548" s="380"/>
      <c r="AQ548" s="380"/>
      <c r="AR548" s="380"/>
      <c r="AS548" s="380"/>
      <c r="AT548" s="380"/>
      <c r="AU548" s="380"/>
      <c r="AV548" s="380"/>
      <c r="AW548" s="380"/>
      <c r="AX548" s="183"/>
      <c r="AY548" s="183"/>
      <c r="AZ548" s="183"/>
    </row>
    <row r="549" spans="1:52" s="104" customFormat="1" ht="56.25" outlineLevel="1">
      <c r="A549" s="578" t="str">
        <f t="shared" si="101"/>
        <v>1</v>
      </c>
      <c r="D549" s="104" t="s">
        <v>1495</v>
      </c>
      <c r="L549" s="375" t="s">
        <v>385</v>
      </c>
      <c r="M549" s="376" t="s">
        <v>1187</v>
      </c>
      <c r="N549" s="377" t="s">
        <v>351</v>
      </c>
      <c r="O549" s="378"/>
      <c r="P549" s="378"/>
      <c r="Q549" s="378"/>
      <c r="R549" s="379">
        <f t="shared" si="100"/>
        <v>0</v>
      </c>
      <c r="S549" s="378"/>
      <c r="T549" s="378">
        <f>SUMIFS('Корректировка НВВ'!$P$15:$P$60,'Корректировка НВВ'!$A$15:$A$60,$A549,'Корректировка НВВ'!$D$15:$D$60,"L1")+SUMIFS('Корректировка НВВ'!$P$15:$P$60,'Корректировка НВВ'!$A$15:$A$60,$A549,'Корректировка НВВ'!$D$15:$D$60,"L2")</f>
        <v>0</v>
      </c>
      <c r="U549" s="378"/>
      <c r="V549" s="378"/>
      <c r="W549" s="378"/>
      <c r="X549" s="378"/>
      <c r="Y549" s="378"/>
      <c r="Z549" s="378"/>
      <c r="AA549" s="378"/>
      <c r="AB549" s="378"/>
      <c r="AC549" s="378"/>
      <c r="AD549" s="378">
        <f>SUMIFS('Корректировка НВВ'!$Q$15:$Q$60,'Корректировка НВВ'!$A$15:$A$60,$A549,'Корректировка НВВ'!$D$15:$D$60,"L1")+SUMIFS('Корректировка НВВ'!$Q$15:$Q$60,'Корректировка НВВ'!$A$15:$A$60,$A549,'Корректировка НВВ'!$D$15:$D$60,"L2")</f>
        <v>115.93000000000006</v>
      </c>
      <c r="AE549" s="378"/>
      <c r="AF549" s="378"/>
      <c r="AG549" s="378"/>
      <c r="AH549" s="378"/>
      <c r="AI549" s="378"/>
      <c r="AJ549" s="378"/>
      <c r="AK549" s="378"/>
      <c r="AL549" s="378"/>
      <c r="AM549" s="378"/>
      <c r="AN549" s="380"/>
      <c r="AO549" s="380"/>
      <c r="AP549" s="380"/>
      <c r="AQ549" s="380"/>
      <c r="AR549" s="380"/>
      <c r="AS549" s="380"/>
      <c r="AT549" s="380"/>
      <c r="AU549" s="380"/>
      <c r="AV549" s="380"/>
      <c r="AW549" s="380"/>
      <c r="AX549" s="183"/>
      <c r="AY549" s="183"/>
      <c r="AZ549" s="183"/>
    </row>
    <row r="550" spans="1:52" s="104" customFormat="1" ht="101.25" outlineLevel="1">
      <c r="A550" s="578" t="str">
        <f t="shared" si="101"/>
        <v>1</v>
      </c>
      <c r="B550" s="104" t="s">
        <v>1485</v>
      </c>
      <c r="C550" s="531" t="b">
        <f>D451="Водоотведение"</f>
        <v>0</v>
      </c>
      <c r="D550" s="104" t="s">
        <v>1498</v>
      </c>
      <c r="L550" s="375" t="s">
        <v>386</v>
      </c>
      <c r="M550" s="381" t="s">
        <v>1478</v>
      </c>
      <c r="N550" s="382" t="s">
        <v>351</v>
      </c>
      <c r="O550" s="378"/>
      <c r="P550" s="378"/>
      <c r="Q550" s="378"/>
      <c r="R550" s="379">
        <f t="shared" ref="R550:R557" si="108">Q550-P550</f>
        <v>0</v>
      </c>
      <c r="S550" s="378"/>
      <c r="T550" s="378">
        <f>SUMIFS('Корректировка НВВ'!$P$15:$P$60,'Корректировка НВВ'!$A$15:$A$60,$A550,'Корректировка НВВ'!$D$15:$D$60,$B550)</f>
        <v>0</v>
      </c>
      <c r="U550" s="378"/>
      <c r="V550" s="378"/>
      <c r="W550" s="378"/>
      <c r="X550" s="378"/>
      <c r="Y550" s="378"/>
      <c r="Z550" s="378"/>
      <c r="AA550" s="378"/>
      <c r="AB550" s="378"/>
      <c r="AC550" s="378"/>
      <c r="AD550" s="378">
        <f>SUMIFS('Корректировка НВВ'!$Q$15:$Q$60,'Корректировка НВВ'!$A$15:$A$60,$A550,'Корректировка НВВ'!$D$15:$D$60,$B550)</f>
        <v>0</v>
      </c>
      <c r="AE550" s="378"/>
      <c r="AF550" s="378"/>
      <c r="AG550" s="378"/>
      <c r="AH550" s="378"/>
      <c r="AI550" s="378"/>
      <c r="AJ550" s="378"/>
      <c r="AK550" s="378"/>
      <c r="AL550" s="378"/>
      <c r="AM550" s="378"/>
      <c r="AN550" s="380"/>
      <c r="AO550" s="380"/>
      <c r="AP550" s="380"/>
      <c r="AQ550" s="380"/>
      <c r="AR550" s="380"/>
      <c r="AS550" s="380"/>
      <c r="AT550" s="380"/>
      <c r="AU550" s="380"/>
      <c r="AV550" s="380"/>
      <c r="AW550" s="380"/>
      <c r="AX550" s="183"/>
      <c r="AY550" s="183"/>
      <c r="AZ550" s="183"/>
    </row>
    <row r="551" spans="1:52" s="104" customFormat="1" ht="67.5" outlineLevel="1">
      <c r="A551" s="578" t="str">
        <f t="shared" si="101"/>
        <v>1</v>
      </c>
      <c r="B551" s="104" t="s">
        <v>1486</v>
      </c>
      <c r="C551" s="531" t="b">
        <f>D451="Водоотведение"</f>
        <v>0</v>
      </c>
      <c r="D551" s="104" t="s">
        <v>1623</v>
      </c>
      <c r="L551" s="375" t="s">
        <v>387</v>
      </c>
      <c r="M551" s="376" t="s">
        <v>1479</v>
      </c>
      <c r="N551" s="382" t="s">
        <v>351</v>
      </c>
      <c r="O551" s="378"/>
      <c r="P551" s="378"/>
      <c r="Q551" s="378"/>
      <c r="R551" s="379">
        <f t="shared" si="108"/>
        <v>0</v>
      </c>
      <c r="S551" s="378"/>
      <c r="T551" s="378">
        <f>SUMIFS('Корректировка НВВ'!$P$15:$P$60,'Корректировка НВВ'!$A$15:$A$60,$A551,'Корректировка НВВ'!$D$15:$D$60,$B551)</f>
        <v>0</v>
      </c>
      <c r="U551" s="378"/>
      <c r="V551" s="378"/>
      <c r="W551" s="378"/>
      <c r="X551" s="378"/>
      <c r="Y551" s="378"/>
      <c r="Z551" s="378"/>
      <c r="AA551" s="378"/>
      <c r="AB551" s="378"/>
      <c r="AC551" s="378"/>
      <c r="AD551" s="378">
        <f>SUMIFS('Корректировка НВВ'!$Q$15:$Q$60,'Корректировка НВВ'!$A$15:$A$60,$A551,'Корректировка НВВ'!$D$15:$D$60,$B551)</f>
        <v>0</v>
      </c>
      <c r="AE551" s="378"/>
      <c r="AF551" s="378"/>
      <c r="AG551" s="378"/>
      <c r="AH551" s="378"/>
      <c r="AI551" s="378"/>
      <c r="AJ551" s="378"/>
      <c r="AK551" s="378"/>
      <c r="AL551" s="378"/>
      <c r="AM551" s="378"/>
      <c r="AN551" s="380"/>
      <c r="AO551" s="380"/>
      <c r="AP551" s="380"/>
      <c r="AQ551" s="380"/>
      <c r="AR551" s="380"/>
      <c r="AS551" s="380"/>
      <c r="AT551" s="380"/>
      <c r="AU551" s="380"/>
      <c r="AV551" s="380"/>
      <c r="AW551" s="380"/>
      <c r="AX551" s="183"/>
      <c r="AY551" s="183"/>
      <c r="AZ551" s="183"/>
    </row>
    <row r="552" spans="1:52" s="104" customFormat="1" outlineLevel="1">
      <c r="A552" s="578" t="str">
        <f t="shared" si="101"/>
        <v>1</v>
      </c>
      <c r="B552" s="104" t="s">
        <v>1487</v>
      </c>
      <c r="D552" s="104" t="s">
        <v>1624</v>
      </c>
      <c r="L552" s="375" t="s">
        <v>1702</v>
      </c>
      <c r="M552" s="376" t="s">
        <v>644</v>
      </c>
      <c r="N552" s="377" t="s">
        <v>351</v>
      </c>
      <c r="O552" s="378"/>
      <c r="P552" s="378"/>
      <c r="Q552" s="378"/>
      <c r="R552" s="379">
        <f t="shared" si="108"/>
        <v>0</v>
      </c>
      <c r="S552" s="378"/>
      <c r="T552" s="378">
        <f>SUMIFS('Корректировка НВВ'!$P$15:$P$60,'Корректировка НВВ'!$A$15:$A$60,$A552,'Корректировка НВВ'!$D$15:$D$60,$B552)</f>
        <v>0</v>
      </c>
      <c r="U552" s="378"/>
      <c r="V552" s="378"/>
      <c r="W552" s="378"/>
      <c r="X552" s="378"/>
      <c r="Y552" s="378"/>
      <c r="Z552" s="378"/>
      <c r="AA552" s="378"/>
      <c r="AB552" s="378"/>
      <c r="AC552" s="378"/>
      <c r="AD552" s="378">
        <f>SUMIFS('Корректировка НВВ'!$Q$15:$Q$60,'Корректировка НВВ'!$A$15:$A$60,$A552,'Корректировка НВВ'!$D$15:$D$60,$B552)</f>
        <v>0</v>
      </c>
      <c r="AE552" s="378"/>
      <c r="AF552" s="378"/>
      <c r="AG552" s="378"/>
      <c r="AH552" s="378"/>
      <c r="AI552" s="378"/>
      <c r="AJ552" s="378"/>
      <c r="AK552" s="378"/>
      <c r="AL552" s="378"/>
      <c r="AM552" s="378"/>
      <c r="AN552" s="380"/>
      <c r="AO552" s="380"/>
      <c r="AP552" s="380"/>
      <c r="AQ552" s="380"/>
      <c r="AR552" s="380"/>
      <c r="AS552" s="380"/>
      <c r="AT552" s="380"/>
      <c r="AU552" s="380"/>
      <c r="AV552" s="380"/>
      <c r="AW552" s="380"/>
      <c r="AX552" s="183"/>
      <c r="AY552" s="183"/>
      <c r="AZ552" s="183"/>
    </row>
    <row r="553" spans="1:52" s="104" customFormat="1" ht="22.5" outlineLevel="1">
      <c r="A553" s="578" t="str">
        <f t="shared" si="101"/>
        <v>1</v>
      </c>
      <c r="B553" s="104" t="s">
        <v>1494</v>
      </c>
      <c r="D553" s="104" t="s">
        <v>1625</v>
      </c>
      <c r="L553" s="375" t="s">
        <v>1703</v>
      </c>
      <c r="M553" s="376" t="s">
        <v>645</v>
      </c>
      <c r="N553" s="377" t="s">
        <v>351</v>
      </c>
      <c r="O553" s="378">
        <f>O554+O555</f>
        <v>0</v>
      </c>
      <c r="P553" s="378">
        <f>P554+P555</f>
        <v>0</v>
      </c>
      <c r="Q553" s="378">
        <f>Q554+Q555</f>
        <v>0</v>
      </c>
      <c r="R553" s="379">
        <f t="shared" si="108"/>
        <v>0</v>
      </c>
      <c r="S553" s="378">
        <f t="shared" ref="S553:AM553" si="109">S554+S555</f>
        <v>0</v>
      </c>
      <c r="T553" s="378">
        <f>SUMIFS('Корректировка НВВ'!$P$15:$P$60,'Корректировка НВВ'!$A$15:$A$60,$A553,'Корректировка НВВ'!$D$15:$D$60,$B553)</f>
        <v>0</v>
      </c>
      <c r="U553" s="378">
        <f t="shared" si="109"/>
        <v>0</v>
      </c>
      <c r="V553" s="378">
        <f t="shared" si="109"/>
        <v>0</v>
      </c>
      <c r="W553" s="378">
        <f t="shared" si="109"/>
        <v>0</v>
      </c>
      <c r="X553" s="378">
        <f t="shared" si="109"/>
        <v>0</v>
      </c>
      <c r="Y553" s="378">
        <f t="shared" si="109"/>
        <v>0</v>
      </c>
      <c r="Z553" s="378">
        <f t="shared" si="109"/>
        <v>0</v>
      </c>
      <c r="AA553" s="378">
        <f t="shared" si="109"/>
        <v>0</v>
      </c>
      <c r="AB553" s="378">
        <f t="shared" si="109"/>
        <v>0</v>
      </c>
      <c r="AC553" s="378">
        <f t="shared" si="109"/>
        <v>0</v>
      </c>
      <c r="AD553" s="378">
        <f>SUMIFS('Корректировка НВВ'!$Q$15:$Q$60,'Корректировка НВВ'!$A$15:$A$60,$A553,'Корректировка НВВ'!$D$15:$D$60,$B553)</f>
        <v>0</v>
      </c>
      <c r="AE553" s="378">
        <f t="shared" si="109"/>
        <v>0</v>
      </c>
      <c r="AF553" s="378">
        <f t="shared" si="109"/>
        <v>0</v>
      </c>
      <c r="AG553" s="378">
        <f t="shared" si="109"/>
        <v>0</v>
      </c>
      <c r="AH553" s="378">
        <f t="shared" si="109"/>
        <v>0</v>
      </c>
      <c r="AI553" s="378">
        <f t="shared" si="109"/>
        <v>0</v>
      </c>
      <c r="AJ553" s="378">
        <f t="shared" si="109"/>
        <v>0</v>
      </c>
      <c r="AK553" s="378">
        <f t="shared" si="109"/>
        <v>0</v>
      </c>
      <c r="AL553" s="378">
        <f t="shared" si="109"/>
        <v>0</v>
      </c>
      <c r="AM553" s="378">
        <f t="shared" si="109"/>
        <v>0</v>
      </c>
      <c r="AN553" s="379">
        <f>IF(S553=0,0,(AD553-S553)/S553*100)</f>
        <v>0</v>
      </c>
      <c r="AO553" s="379">
        <f t="shared" ref="AO553:AW553" si="110">IF(AD553=0,0,(AE553-AD553)/AD553*100)</f>
        <v>0</v>
      </c>
      <c r="AP553" s="379">
        <f t="shared" si="110"/>
        <v>0</v>
      </c>
      <c r="AQ553" s="379">
        <f t="shared" si="110"/>
        <v>0</v>
      </c>
      <c r="AR553" s="379">
        <f t="shared" si="110"/>
        <v>0</v>
      </c>
      <c r="AS553" s="379">
        <f t="shared" si="110"/>
        <v>0</v>
      </c>
      <c r="AT553" s="379">
        <f t="shared" si="110"/>
        <v>0</v>
      </c>
      <c r="AU553" s="379">
        <f t="shared" si="110"/>
        <v>0</v>
      </c>
      <c r="AV553" s="379">
        <f t="shared" si="110"/>
        <v>0</v>
      </c>
      <c r="AW553" s="379">
        <f t="shared" si="110"/>
        <v>0</v>
      </c>
      <c r="AX553" s="183"/>
      <c r="AY553" s="183"/>
      <c r="AZ553" s="183"/>
    </row>
    <row r="554" spans="1:52" s="104" customFormat="1" ht="22.5" outlineLevel="1">
      <c r="A554" s="578" t="str">
        <f t="shared" si="101"/>
        <v>1</v>
      </c>
      <c r="B554" s="104" t="s">
        <v>1504</v>
      </c>
      <c r="D554" s="104" t="s">
        <v>1686</v>
      </c>
      <c r="L554" s="375" t="s">
        <v>1704</v>
      </c>
      <c r="M554" s="610" t="s">
        <v>646</v>
      </c>
      <c r="N554" s="377" t="s">
        <v>351</v>
      </c>
      <c r="O554" s="378"/>
      <c r="P554" s="378"/>
      <c r="Q554" s="378"/>
      <c r="R554" s="379">
        <f t="shared" si="108"/>
        <v>0</v>
      </c>
      <c r="S554" s="378"/>
      <c r="T554" s="378">
        <f>SUMIFS('Корректировка НВВ'!$P$15:$P$60,'Корректировка НВВ'!$A$15:$A$60,$A554,'Корректировка НВВ'!$D$15:$D$60,$B554)</f>
        <v>0</v>
      </c>
      <c r="U554" s="378"/>
      <c r="V554" s="378"/>
      <c r="W554" s="378"/>
      <c r="X554" s="378"/>
      <c r="Y554" s="378"/>
      <c r="Z554" s="378"/>
      <c r="AA554" s="378"/>
      <c r="AB554" s="378"/>
      <c r="AC554" s="378"/>
      <c r="AD554" s="378">
        <f>SUMIFS('Корректировка НВВ'!$Q$15:$Q$60,'Корректировка НВВ'!$A$15:$A$60,$A554,'Корректировка НВВ'!$D$15:$D$60,$B554)</f>
        <v>0</v>
      </c>
      <c r="AE554" s="378"/>
      <c r="AF554" s="378"/>
      <c r="AG554" s="378"/>
      <c r="AH554" s="378"/>
      <c r="AI554" s="378"/>
      <c r="AJ554" s="378"/>
      <c r="AK554" s="378"/>
      <c r="AL554" s="378"/>
      <c r="AM554" s="378"/>
      <c r="AN554" s="380"/>
      <c r="AO554" s="380"/>
      <c r="AP554" s="380"/>
      <c r="AQ554" s="380"/>
      <c r="AR554" s="380"/>
      <c r="AS554" s="380"/>
      <c r="AT554" s="380"/>
      <c r="AU554" s="380"/>
      <c r="AV554" s="380"/>
      <c r="AW554" s="380"/>
      <c r="AX554" s="183"/>
      <c r="AY554" s="183"/>
      <c r="AZ554" s="183"/>
    </row>
    <row r="555" spans="1:52" s="104" customFormat="1" ht="22.5" outlineLevel="1">
      <c r="A555" s="578" t="str">
        <f t="shared" si="101"/>
        <v>1</v>
      </c>
      <c r="B555" s="104" t="s">
        <v>1505</v>
      </c>
      <c r="D555" s="104" t="s">
        <v>1687</v>
      </c>
      <c r="L555" s="375" t="s">
        <v>1705</v>
      </c>
      <c r="M555" s="392" t="s">
        <v>647</v>
      </c>
      <c r="N555" s="377" t="s">
        <v>351</v>
      </c>
      <c r="O555" s="378"/>
      <c r="P555" s="378"/>
      <c r="Q555" s="378"/>
      <c r="R555" s="379">
        <f t="shared" si="108"/>
        <v>0</v>
      </c>
      <c r="S555" s="378"/>
      <c r="T555" s="378">
        <f>SUMIFS('Корректировка НВВ'!$P$15:$P$60,'Корректировка НВВ'!$A$15:$A$60,$A555,'Корректировка НВВ'!$D$15:$D$60,$B555)</f>
        <v>0</v>
      </c>
      <c r="U555" s="378"/>
      <c r="V555" s="378"/>
      <c r="W555" s="378"/>
      <c r="X555" s="378"/>
      <c r="Y555" s="378"/>
      <c r="Z555" s="378"/>
      <c r="AA555" s="378"/>
      <c r="AB555" s="378"/>
      <c r="AC555" s="378"/>
      <c r="AD555" s="378">
        <f>SUMIFS('Корректировка НВВ'!$Q$15:$Q$60,'Корректировка НВВ'!$A$15:$A$60,$A555,'Корректировка НВВ'!$D$15:$D$60,$B555)</f>
        <v>0</v>
      </c>
      <c r="AE555" s="378"/>
      <c r="AF555" s="378"/>
      <c r="AG555" s="378"/>
      <c r="AH555" s="378"/>
      <c r="AI555" s="378"/>
      <c r="AJ555" s="378"/>
      <c r="AK555" s="378"/>
      <c r="AL555" s="378"/>
      <c r="AM555" s="378"/>
      <c r="AN555" s="380"/>
      <c r="AO555" s="380"/>
      <c r="AP555" s="380"/>
      <c r="AQ555" s="380"/>
      <c r="AR555" s="380"/>
      <c r="AS555" s="380"/>
      <c r="AT555" s="380"/>
      <c r="AU555" s="380"/>
      <c r="AV555" s="380"/>
      <c r="AW555" s="380"/>
      <c r="AX555" s="183"/>
      <c r="AY555" s="183"/>
      <c r="AZ555" s="183"/>
    </row>
    <row r="556" spans="1:52" s="104" customFormat="1" ht="22.5" outlineLevel="1">
      <c r="A556" s="578" t="str">
        <f t="shared" si="101"/>
        <v>1</v>
      </c>
      <c r="B556" s="104" t="s">
        <v>1495</v>
      </c>
      <c r="D556" s="104" t="s">
        <v>1626</v>
      </c>
      <c r="L556" s="401" t="s">
        <v>1706</v>
      </c>
      <c r="M556" s="393" t="s">
        <v>648</v>
      </c>
      <c r="N556" s="377" t="s">
        <v>351</v>
      </c>
      <c r="O556" s="378"/>
      <c r="P556" s="378"/>
      <c r="Q556" s="378"/>
      <c r="R556" s="379">
        <f t="shared" si="108"/>
        <v>0</v>
      </c>
      <c r="S556" s="378"/>
      <c r="T556" s="378">
        <f>SUMIFS('Корректировка НВВ'!$P$15:$P$60,'Корректировка НВВ'!$A$15:$A$60,$A556,'Корректировка НВВ'!$D$15:$D$60,$B556)</f>
        <v>0</v>
      </c>
      <c r="U556" s="378"/>
      <c r="V556" s="378"/>
      <c r="W556" s="378"/>
      <c r="X556" s="378"/>
      <c r="Y556" s="378"/>
      <c r="Z556" s="378"/>
      <c r="AA556" s="378"/>
      <c r="AB556" s="378"/>
      <c r="AC556" s="378"/>
      <c r="AD556" s="378">
        <f>SUMIFS('Корректировка НВВ'!$Q$15:$Q$60,'Корректировка НВВ'!$A$15:$A$60,$A556,'Корректировка НВВ'!$D$15:$D$60,$B556)</f>
        <v>0</v>
      </c>
      <c r="AE556" s="378"/>
      <c r="AF556" s="378"/>
      <c r="AG556" s="378"/>
      <c r="AH556" s="378"/>
      <c r="AI556" s="378"/>
      <c r="AJ556" s="378"/>
      <c r="AK556" s="378"/>
      <c r="AL556" s="378"/>
      <c r="AM556" s="378"/>
      <c r="AN556" s="380"/>
      <c r="AO556" s="380"/>
      <c r="AP556" s="380"/>
      <c r="AQ556" s="380"/>
      <c r="AR556" s="380"/>
      <c r="AS556" s="380"/>
      <c r="AT556" s="380"/>
      <c r="AU556" s="380"/>
      <c r="AV556" s="380"/>
      <c r="AW556" s="380"/>
      <c r="AX556" s="183"/>
      <c r="AY556" s="183"/>
      <c r="AZ556" s="183"/>
    </row>
    <row r="557" spans="1:52" s="104" customFormat="1" outlineLevel="1">
      <c r="A557" s="578" t="str">
        <f t="shared" si="101"/>
        <v>1</v>
      </c>
      <c r="B557" s="104" t="s">
        <v>1496</v>
      </c>
      <c r="D557" s="104" t="s">
        <v>1627</v>
      </c>
      <c r="L557" s="401" t="s">
        <v>1707</v>
      </c>
      <c r="M557" s="393" t="s">
        <v>649</v>
      </c>
      <c r="N557" s="377" t="s">
        <v>351</v>
      </c>
      <c r="O557" s="378"/>
      <c r="P557" s="378"/>
      <c r="Q557" s="378"/>
      <c r="R557" s="379">
        <f t="shared" si="108"/>
        <v>0</v>
      </c>
      <c r="S557" s="378"/>
      <c r="T557" s="378">
        <f>SUMIFS('Корректировка НВВ'!$P$15:$P$60,'Корректировка НВВ'!$A$15:$A$60,$A557,'Корректировка НВВ'!$D$15:$D$60,$B557)</f>
        <v>0</v>
      </c>
      <c r="U557" s="378"/>
      <c r="V557" s="378"/>
      <c r="W557" s="378"/>
      <c r="X557" s="378"/>
      <c r="Y557" s="378"/>
      <c r="Z557" s="378"/>
      <c r="AA557" s="378"/>
      <c r="AB557" s="378"/>
      <c r="AC557" s="378"/>
      <c r="AD557" s="378">
        <f>SUMIFS('Корректировка НВВ'!$Q$15:$Q$60,'Корректировка НВВ'!$A$15:$A$60,$A557,'Корректировка НВВ'!$D$15:$D$60,$B557)</f>
        <v>0</v>
      </c>
      <c r="AE557" s="378"/>
      <c r="AF557" s="378"/>
      <c r="AG557" s="378"/>
      <c r="AH557" s="378"/>
      <c r="AI557" s="378"/>
      <c r="AJ557" s="378"/>
      <c r="AK557" s="378"/>
      <c r="AL557" s="378"/>
      <c r="AM557" s="378"/>
      <c r="AN557" s="380"/>
      <c r="AO557" s="380"/>
      <c r="AP557" s="380"/>
      <c r="AQ557" s="380"/>
      <c r="AR557" s="380"/>
      <c r="AS557" s="380"/>
      <c r="AT557" s="380"/>
      <c r="AU557" s="380"/>
      <c r="AV557" s="380"/>
      <c r="AW557" s="380"/>
      <c r="AX557" s="183"/>
      <c r="AY557" s="183"/>
      <c r="AZ557" s="183"/>
    </row>
    <row r="558" spans="1:52" s="109" customFormat="1" outlineLevel="1">
      <c r="A558" s="578" t="str">
        <f t="shared" si="101"/>
        <v>1</v>
      </c>
      <c r="D558" s="109" t="s">
        <v>1496</v>
      </c>
      <c r="L558" s="395" t="s">
        <v>126</v>
      </c>
      <c r="M558" s="398" t="s">
        <v>642</v>
      </c>
      <c r="N558" s="396" t="s">
        <v>351</v>
      </c>
      <c r="O558" s="400"/>
      <c r="P558" s="400"/>
      <c r="Q558" s="400"/>
      <c r="R558" s="373">
        <f t="shared" si="100"/>
        <v>0</v>
      </c>
      <c r="S558" s="400"/>
      <c r="T558" s="400"/>
      <c r="U558" s="400"/>
      <c r="V558" s="400"/>
      <c r="W558" s="400"/>
      <c r="X558" s="400"/>
      <c r="Y558" s="400"/>
      <c r="Z558" s="400"/>
      <c r="AA558" s="400"/>
      <c r="AB558" s="400"/>
      <c r="AC558" s="400"/>
      <c r="AD558" s="400"/>
      <c r="AE558" s="400"/>
      <c r="AF558" s="400"/>
      <c r="AG558" s="400"/>
      <c r="AH558" s="400"/>
      <c r="AI558" s="400"/>
      <c r="AJ558" s="400"/>
      <c r="AK558" s="400"/>
      <c r="AL558" s="400"/>
      <c r="AM558" s="400"/>
      <c r="AN558" s="402"/>
      <c r="AO558" s="402"/>
      <c r="AP558" s="402"/>
      <c r="AQ558" s="402"/>
      <c r="AR558" s="402"/>
      <c r="AS558" s="402"/>
      <c r="AT558" s="402"/>
      <c r="AU558" s="402"/>
      <c r="AV558" s="402"/>
      <c r="AW558" s="402"/>
      <c r="AX558" s="549"/>
      <c r="AY558" s="549"/>
      <c r="AZ558" s="549"/>
    </row>
    <row r="559" spans="1:52" s="104" customFormat="1" outlineLevel="1">
      <c r="A559" s="578" t="str">
        <f t="shared" si="101"/>
        <v>1</v>
      </c>
      <c r="D559" s="104" t="s">
        <v>1508</v>
      </c>
      <c r="L559" s="375" t="s">
        <v>141</v>
      </c>
      <c r="M559" s="376" t="s">
        <v>1197</v>
      </c>
      <c r="N559" s="377" t="s">
        <v>137</v>
      </c>
      <c r="O559" s="391">
        <f>IF(O560=0,0,O558/O560*100)</f>
        <v>0</v>
      </c>
      <c r="P559" s="391">
        <f>IF(P560=0,0,P558/P560*100)</f>
        <v>0</v>
      </c>
      <c r="Q559" s="391">
        <f>IF(Q560=0,0,Q558/Q560*100)</f>
        <v>0</v>
      </c>
      <c r="R559" s="379">
        <f>Q559-P559</f>
        <v>0</v>
      </c>
      <c r="S559" s="391">
        <f t="shared" ref="S559:AM559" si="111">IF(S560=0,0,S558/S560*100)</f>
        <v>0</v>
      </c>
      <c r="T559" s="391">
        <f t="shared" si="111"/>
        <v>0</v>
      </c>
      <c r="U559" s="391" t="e">
        <f t="shared" si="111"/>
        <v>#N/A</v>
      </c>
      <c r="V559" s="391" t="e">
        <f t="shared" si="111"/>
        <v>#N/A</v>
      </c>
      <c r="W559" s="391" t="e">
        <f t="shared" si="111"/>
        <v>#N/A</v>
      </c>
      <c r="X559" s="391" t="e">
        <f t="shared" si="111"/>
        <v>#N/A</v>
      </c>
      <c r="Y559" s="391" t="e">
        <f t="shared" si="111"/>
        <v>#N/A</v>
      </c>
      <c r="Z559" s="391" t="e">
        <f t="shared" si="111"/>
        <v>#N/A</v>
      </c>
      <c r="AA559" s="391" t="e">
        <f t="shared" si="111"/>
        <v>#N/A</v>
      </c>
      <c r="AB559" s="391" t="e">
        <f t="shared" si="111"/>
        <v>#N/A</v>
      </c>
      <c r="AC559" s="391" t="e">
        <f t="shared" si="111"/>
        <v>#N/A</v>
      </c>
      <c r="AD559" s="391">
        <f t="shared" si="111"/>
        <v>0</v>
      </c>
      <c r="AE559" s="391" t="e">
        <f t="shared" si="111"/>
        <v>#N/A</v>
      </c>
      <c r="AF559" s="391" t="e">
        <f t="shared" si="111"/>
        <v>#N/A</v>
      </c>
      <c r="AG559" s="391" t="e">
        <f t="shared" si="111"/>
        <v>#N/A</v>
      </c>
      <c r="AH559" s="391" t="e">
        <f t="shared" si="111"/>
        <v>#N/A</v>
      </c>
      <c r="AI559" s="391" t="e">
        <f t="shared" si="111"/>
        <v>#N/A</v>
      </c>
      <c r="AJ559" s="391" t="e">
        <f t="shared" si="111"/>
        <v>#N/A</v>
      </c>
      <c r="AK559" s="391" t="e">
        <f t="shared" si="111"/>
        <v>#N/A</v>
      </c>
      <c r="AL559" s="391" t="e">
        <f t="shared" si="111"/>
        <v>#N/A</v>
      </c>
      <c r="AM559" s="391" t="e">
        <f t="shared" si="111"/>
        <v>#N/A</v>
      </c>
      <c r="AN559" s="380"/>
      <c r="AO559" s="380"/>
      <c r="AP559" s="380"/>
      <c r="AQ559" s="380"/>
      <c r="AR559" s="380"/>
      <c r="AS559" s="380"/>
      <c r="AT559" s="380"/>
      <c r="AU559" s="380"/>
      <c r="AV559" s="380"/>
      <c r="AW559" s="380"/>
      <c r="AX559" s="183"/>
      <c r="AY559" s="183"/>
      <c r="AZ559" s="183"/>
    </row>
    <row r="560" spans="1:52" s="109" customFormat="1" outlineLevel="1">
      <c r="A560" s="578" t="str">
        <f t="shared" si="101"/>
        <v>1</v>
      </c>
      <c r="C560" s="104"/>
      <c r="D560" s="104" t="s">
        <v>1497</v>
      </c>
      <c r="L560" s="395" t="s">
        <v>127</v>
      </c>
      <c r="M560" s="398" t="s">
        <v>643</v>
      </c>
      <c r="N560" s="372" t="s">
        <v>351</v>
      </c>
      <c r="O560" s="536">
        <f>O452+O502+O536+O537+O539+O544</f>
        <v>652.38</v>
      </c>
      <c r="P560" s="374">
        <f>P452+P502+P536+P537+P539+P544</f>
        <v>387.66999999999996</v>
      </c>
      <c r="Q560" s="374">
        <f>Q452+Q502+Q536+Q537+Q539+Q544</f>
        <v>381.13399999999996</v>
      </c>
      <c r="R560" s="373">
        <f>Q560-P560</f>
        <v>-6.5360000000000014</v>
      </c>
      <c r="S560" s="374">
        <f t="shared" ref="S560:AM560" si="112">S452+S502+S536+S537+S539+S544</f>
        <v>754.16</v>
      </c>
      <c r="T560" s="374">
        <f t="shared" si="112"/>
        <v>1628.576</v>
      </c>
      <c r="U560" s="374" t="e">
        <f t="shared" si="112"/>
        <v>#N/A</v>
      </c>
      <c r="V560" s="374" t="e">
        <f t="shared" si="112"/>
        <v>#N/A</v>
      </c>
      <c r="W560" s="374" t="e">
        <f t="shared" si="112"/>
        <v>#N/A</v>
      </c>
      <c r="X560" s="374" t="e">
        <f t="shared" si="112"/>
        <v>#N/A</v>
      </c>
      <c r="Y560" s="374" t="e">
        <f t="shared" si="112"/>
        <v>#N/A</v>
      </c>
      <c r="Z560" s="374" t="e">
        <f t="shared" si="112"/>
        <v>#N/A</v>
      </c>
      <c r="AA560" s="374" t="e">
        <f t="shared" si="112"/>
        <v>#N/A</v>
      </c>
      <c r="AB560" s="374" t="e">
        <f t="shared" si="112"/>
        <v>#N/A</v>
      </c>
      <c r="AC560" s="374" t="e">
        <f t="shared" si="112"/>
        <v>#N/A</v>
      </c>
      <c r="AD560" s="374">
        <f t="shared" si="112"/>
        <v>1446.1264000000001</v>
      </c>
      <c r="AE560" s="374" t="e">
        <f t="shared" si="112"/>
        <v>#N/A</v>
      </c>
      <c r="AF560" s="374" t="e">
        <f t="shared" si="112"/>
        <v>#N/A</v>
      </c>
      <c r="AG560" s="374" t="e">
        <f t="shared" si="112"/>
        <v>#N/A</v>
      </c>
      <c r="AH560" s="374" t="e">
        <f t="shared" si="112"/>
        <v>#N/A</v>
      </c>
      <c r="AI560" s="374" t="e">
        <f t="shared" si="112"/>
        <v>#N/A</v>
      </c>
      <c r="AJ560" s="374" t="e">
        <f t="shared" si="112"/>
        <v>#N/A</v>
      </c>
      <c r="AK560" s="374" t="e">
        <f t="shared" si="112"/>
        <v>#N/A</v>
      </c>
      <c r="AL560" s="374" t="e">
        <f t="shared" si="112"/>
        <v>#N/A</v>
      </c>
      <c r="AM560" s="374" t="e">
        <f t="shared" si="112"/>
        <v>#N/A</v>
      </c>
      <c r="AN560" s="373">
        <f>IF(S560=0,0,(AD560-S560)/S560*100)</f>
        <v>91.753261907287595</v>
      </c>
      <c r="AO560" s="373" t="e">
        <f t="shared" ref="AO560:AW561" si="113">IF(AD560=0,0,(AE560-AD560)/AD560*100)</f>
        <v>#N/A</v>
      </c>
      <c r="AP560" s="373" t="e">
        <f t="shared" si="113"/>
        <v>#N/A</v>
      </c>
      <c r="AQ560" s="373" t="e">
        <f t="shared" si="113"/>
        <v>#N/A</v>
      </c>
      <c r="AR560" s="373" t="e">
        <f t="shared" si="113"/>
        <v>#N/A</v>
      </c>
      <c r="AS560" s="373" t="e">
        <f t="shared" si="113"/>
        <v>#N/A</v>
      </c>
      <c r="AT560" s="373" t="e">
        <f t="shared" si="113"/>
        <v>#N/A</v>
      </c>
      <c r="AU560" s="373" t="e">
        <f t="shared" si="113"/>
        <v>#N/A</v>
      </c>
      <c r="AV560" s="373" t="e">
        <f t="shared" si="113"/>
        <v>#N/A</v>
      </c>
      <c r="AW560" s="373" t="e">
        <f t="shared" si="113"/>
        <v>#N/A</v>
      </c>
      <c r="AX560" s="183"/>
      <c r="AY560" s="183"/>
      <c r="AZ560" s="183"/>
    </row>
    <row r="561" spans="1:52" s="109" customFormat="1" outlineLevel="1">
      <c r="A561" s="578" t="str">
        <f t="shared" si="101"/>
        <v>1</v>
      </c>
      <c r="C561" s="104"/>
      <c r="D561" s="104" t="s">
        <v>1628</v>
      </c>
      <c r="L561" s="395" t="s">
        <v>128</v>
      </c>
      <c r="M561" s="398" t="s">
        <v>650</v>
      </c>
      <c r="N561" s="396" t="s">
        <v>351</v>
      </c>
      <c r="O561" s="536">
        <f t="shared" ref="O561:AM561" si="114">O560+O545+O558</f>
        <v>652.38</v>
      </c>
      <c r="P561" s="374">
        <f t="shared" si="114"/>
        <v>387.66999999999996</v>
      </c>
      <c r="Q561" s="374">
        <f t="shared" si="114"/>
        <v>381.13399999999996</v>
      </c>
      <c r="R561" s="374">
        <f t="shared" si="114"/>
        <v>-6.5360000000000014</v>
      </c>
      <c r="S561" s="374">
        <f t="shared" si="114"/>
        <v>754.16</v>
      </c>
      <c r="T561" s="374">
        <f t="shared" si="114"/>
        <v>1628.576</v>
      </c>
      <c r="U561" s="374" t="e">
        <f t="shared" si="114"/>
        <v>#N/A</v>
      </c>
      <c r="V561" s="374" t="e">
        <f t="shared" si="114"/>
        <v>#N/A</v>
      </c>
      <c r="W561" s="374" t="e">
        <f t="shared" si="114"/>
        <v>#N/A</v>
      </c>
      <c r="X561" s="374" t="e">
        <f t="shared" si="114"/>
        <v>#N/A</v>
      </c>
      <c r="Y561" s="374" t="e">
        <f t="shared" si="114"/>
        <v>#N/A</v>
      </c>
      <c r="Z561" s="374" t="e">
        <f t="shared" si="114"/>
        <v>#N/A</v>
      </c>
      <c r="AA561" s="374" t="e">
        <f t="shared" si="114"/>
        <v>#N/A</v>
      </c>
      <c r="AB561" s="374" t="e">
        <f t="shared" si="114"/>
        <v>#N/A</v>
      </c>
      <c r="AC561" s="374" t="e">
        <f t="shared" si="114"/>
        <v>#N/A</v>
      </c>
      <c r="AD561" s="374">
        <f t="shared" si="114"/>
        <v>1562.0564000000002</v>
      </c>
      <c r="AE561" s="374" t="e">
        <f t="shared" si="114"/>
        <v>#N/A</v>
      </c>
      <c r="AF561" s="374" t="e">
        <f t="shared" si="114"/>
        <v>#N/A</v>
      </c>
      <c r="AG561" s="374" t="e">
        <f t="shared" si="114"/>
        <v>#N/A</v>
      </c>
      <c r="AH561" s="374" t="e">
        <f t="shared" si="114"/>
        <v>#N/A</v>
      </c>
      <c r="AI561" s="374" t="e">
        <f t="shared" si="114"/>
        <v>#N/A</v>
      </c>
      <c r="AJ561" s="374" t="e">
        <f t="shared" si="114"/>
        <v>#N/A</v>
      </c>
      <c r="AK561" s="374" t="e">
        <f t="shared" si="114"/>
        <v>#N/A</v>
      </c>
      <c r="AL561" s="374" t="e">
        <f t="shared" si="114"/>
        <v>#N/A</v>
      </c>
      <c r="AM561" s="374" t="e">
        <f t="shared" si="114"/>
        <v>#N/A</v>
      </c>
      <c r="AN561" s="373">
        <f>IF(S561=0,0,(AD561-S561)/S561*100)</f>
        <v>107.12533149464308</v>
      </c>
      <c r="AO561" s="373" t="e">
        <f t="shared" si="113"/>
        <v>#N/A</v>
      </c>
      <c r="AP561" s="373" t="e">
        <f t="shared" si="113"/>
        <v>#N/A</v>
      </c>
      <c r="AQ561" s="373" t="e">
        <f t="shared" si="113"/>
        <v>#N/A</v>
      </c>
      <c r="AR561" s="373" t="e">
        <f t="shared" si="113"/>
        <v>#N/A</v>
      </c>
      <c r="AS561" s="373" t="e">
        <f t="shared" si="113"/>
        <v>#N/A</v>
      </c>
      <c r="AT561" s="373" t="e">
        <f t="shared" si="113"/>
        <v>#N/A</v>
      </c>
      <c r="AU561" s="373" t="e">
        <f t="shared" si="113"/>
        <v>#N/A</v>
      </c>
      <c r="AV561" s="373" t="e">
        <f t="shared" si="113"/>
        <v>#N/A</v>
      </c>
      <c r="AW561" s="373" t="e">
        <f t="shared" si="113"/>
        <v>#N/A</v>
      </c>
      <c r="AX561" s="183"/>
      <c r="AY561" s="183"/>
      <c r="AZ561" s="183"/>
    </row>
    <row r="562" spans="1:52" s="104" customFormat="1" ht="15" outlineLevel="1">
      <c r="A562" s="578" t="str">
        <f t="shared" si="101"/>
        <v>1</v>
      </c>
      <c r="C562" s="531" t="b">
        <f>B451="двухставочный"</f>
        <v>0</v>
      </c>
      <c r="D562" s="608" t="s">
        <v>1688</v>
      </c>
      <c r="L562" s="401" t="s">
        <v>1196</v>
      </c>
      <c r="M562" s="393" t="s">
        <v>1360</v>
      </c>
      <c r="N562" s="377" t="s">
        <v>351</v>
      </c>
      <c r="O562" s="378"/>
      <c r="P562" s="378"/>
      <c r="Q562" s="378"/>
      <c r="R562" s="379">
        <f>Q562-P562</f>
        <v>0</v>
      </c>
      <c r="S562" s="378"/>
      <c r="T562" s="378"/>
      <c r="U562" s="378"/>
      <c r="V562" s="378"/>
      <c r="W562" s="378"/>
      <c r="X562" s="378"/>
      <c r="Y562" s="378"/>
      <c r="Z562" s="378"/>
      <c r="AA562" s="378"/>
      <c r="AB562" s="378"/>
      <c r="AC562" s="378"/>
      <c r="AD562" s="378"/>
      <c r="AE562" s="378"/>
      <c r="AF562" s="378"/>
      <c r="AG562" s="378"/>
      <c r="AH562" s="378"/>
      <c r="AI562" s="378"/>
      <c r="AJ562" s="378"/>
      <c r="AK562" s="378"/>
      <c r="AL562" s="378"/>
      <c r="AM562" s="378"/>
      <c r="AN562" s="380"/>
      <c r="AO562" s="380"/>
      <c r="AP562" s="380"/>
      <c r="AQ562" s="380"/>
      <c r="AR562" s="380"/>
      <c r="AS562" s="380"/>
      <c r="AT562" s="380"/>
      <c r="AU562" s="380"/>
      <c r="AV562" s="380"/>
      <c r="AW562" s="380"/>
      <c r="AX562" s="183"/>
      <c r="AY562" s="183"/>
      <c r="AZ562" s="183"/>
    </row>
    <row r="563" spans="1:52" s="104" customFormat="1" ht="15" outlineLevel="1">
      <c r="A563" s="578" t="str">
        <f t="shared" si="101"/>
        <v>1</v>
      </c>
      <c r="C563" s="531" t="b">
        <f>B451="двухставочный"</f>
        <v>0</v>
      </c>
      <c r="D563" s="608" t="s">
        <v>1689</v>
      </c>
      <c r="L563" s="401" t="s">
        <v>1252</v>
      </c>
      <c r="M563" s="393" t="s">
        <v>1361</v>
      </c>
      <c r="N563" s="377" t="s">
        <v>351</v>
      </c>
      <c r="O563" s="378"/>
      <c r="P563" s="378"/>
      <c r="Q563" s="378"/>
      <c r="R563" s="379">
        <f>Q563-P563</f>
        <v>0</v>
      </c>
      <c r="S563" s="378"/>
      <c r="T563" s="378"/>
      <c r="U563" s="378"/>
      <c r="V563" s="378"/>
      <c r="W563" s="378"/>
      <c r="X563" s="378"/>
      <c r="Y563" s="378"/>
      <c r="Z563" s="378"/>
      <c r="AA563" s="378"/>
      <c r="AB563" s="378"/>
      <c r="AC563" s="378"/>
      <c r="AD563" s="378"/>
      <c r="AE563" s="378"/>
      <c r="AF563" s="378"/>
      <c r="AG563" s="378"/>
      <c r="AH563" s="378"/>
      <c r="AI563" s="378"/>
      <c r="AJ563" s="378"/>
      <c r="AK563" s="378"/>
      <c r="AL563" s="378"/>
      <c r="AM563" s="378"/>
      <c r="AN563" s="380"/>
      <c r="AO563" s="380"/>
      <c r="AP563" s="380"/>
      <c r="AQ563" s="380"/>
      <c r="AR563" s="380"/>
      <c r="AS563" s="380"/>
      <c r="AT563" s="380"/>
      <c r="AU563" s="380"/>
      <c r="AV563" s="380"/>
      <c r="AW563" s="380"/>
      <c r="AX563" s="183"/>
      <c r="AY563" s="183"/>
      <c r="AZ563" s="183"/>
    </row>
    <row r="564" spans="1:52" s="109" customFormat="1" outlineLevel="1">
      <c r="A564" s="578" t="str">
        <f t="shared" si="101"/>
        <v>1</v>
      </c>
      <c r="B564" s="104" t="s">
        <v>1176</v>
      </c>
      <c r="C564" s="104"/>
      <c r="D564" s="104" t="s">
        <v>1629</v>
      </c>
      <c r="L564" s="395" t="s">
        <v>129</v>
      </c>
      <c r="M564" s="398" t="s">
        <v>651</v>
      </c>
      <c r="N564" s="396" t="s">
        <v>310</v>
      </c>
      <c r="O564" s="477">
        <f>SUMIFS(Баланс!O$16:O$67,Баланс!$A$16:$A$67,$A564,Баланс!$B$16:$B$67,"ПО")</f>
        <v>40</v>
      </c>
      <c r="P564" s="477">
        <f>SUMIFS(Баланс!P$16:P$67,Баланс!$A$16:$A$67,$A564,Баланс!$B$16:$B$67,"ПО")</f>
        <v>40</v>
      </c>
      <c r="Q564" s="477">
        <f>SUMIFS(Баланс!Q$16:Q$67,Баланс!$A$16:$A$67,$A564,Баланс!$B$16:$B$67,"ПО")</f>
        <v>40</v>
      </c>
      <c r="R564" s="477">
        <f>Q564-P564</f>
        <v>0</v>
      </c>
      <c r="S564" s="477">
        <f>SUMIFS(Баланс!R$16:R$67,Баланс!$A$16:$A$67,$A564,Баланс!$B$16:$B$67,"ПО")</f>
        <v>40</v>
      </c>
      <c r="T564" s="477">
        <f>SUMIFS(Баланс!S$16:S$67,Баланс!$A$16:$A$67,$A564,Баланс!$B$16:$B$67,"ПО")</f>
        <v>40</v>
      </c>
      <c r="U564" s="477">
        <f>SUMIFS(Баланс!T$16:T$67,Баланс!$A$16:$A$67,$A564,Баланс!$B$16:$B$67,"ПО")</f>
        <v>40</v>
      </c>
      <c r="V564" s="477">
        <f>SUMIFS(Баланс!U$16:U$67,Баланс!$A$16:$A$67,$A564,Баланс!$B$16:$B$67,"ПО")</f>
        <v>40</v>
      </c>
      <c r="W564" s="477">
        <f>SUMIFS(Баланс!V$16:V$67,Баланс!$A$16:$A$67,$A564,Баланс!$B$16:$B$67,"ПО")</f>
        <v>40</v>
      </c>
      <c r="X564" s="477">
        <f>SUMIFS(Баланс!W$16:W$67,Баланс!$A$16:$A$67,$A564,Баланс!$B$16:$B$67,"ПО")</f>
        <v>40</v>
      </c>
      <c r="Y564" s="477">
        <f>SUMIFS(Баланс!X$16:X$67,Баланс!$A$16:$A$67,$A564,Баланс!$B$16:$B$67,"ПО")</f>
        <v>40</v>
      </c>
      <c r="Z564" s="477">
        <f>SUMIFS(Баланс!Y$16:Y$67,Баланс!$A$16:$A$67,$A564,Баланс!$B$16:$B$67,"ПО")</f>
        <v>40</v>
      </c>
      <c r="AA564" s="477">
        <f>SUMIFS(Баланс!Z$16:Z$67,Баланс!$A$16:$A$67,$A564,Баланс!$B$16:$B$67,"ПО")</f>
        <v>40</v>
      </c>
      <c r="AB564" s="477">
        <f>SUMIFS(Баланс!AA$16:AA$67,Баланс!$A$16:$A$67,$A564,Баланс!$B$16:$B$67,"ПО")</f>
        <v>40</v>
      </c>
      <c r="AC564" s="477">
        <f>SUMIFS(Баланс!AB$16:AB$67,Баланс!$A$16:$A$67,$A564,Баланс!$B$16:$B$67,"ПО")</f>
        <v>40</v>
      </c>
      <c r="AD564" s="477">
        <f>SUMIFS(Баланс!AC$16:AC$67,Баланс!$A$16:$A$67,$A564,Баланс!$B$16:$B$67,"ПО")</f>
        <v>40</v>
      </c>
      <c r="AE564" s="477">
        <f>SUMIFS(Баланс!AD$16:AD$67,Баланс!$A$16:$A$67,$A564,Баланс!$B$16:$B$67,"ПО")</f>
        <v>40</v>
      </c>
      <c r="AF564" s="477">
        <f>SUMIFS(Баланс!AE$16:AE$67,Баланс!$A$16:$A$67,$A564,Баланс!$B$16:$B$67,"ПО")</f>
        <v>40</v>
      </c>
      <c r="AG564" s="477">
        <f>SUMIFS(Баланс!AF$16:AF$67,Баланс!$A$16:$A$67,$A564,Баланс!$B$16:$B$67,"ПО")</f>
        <v>40</v>
      </c>
      <c r="AH564" s="477">
        <f>SUMIFS(Баланс!AG$16:AG$67,Баланс!$A$16:$A$67,$A564,Баланс!$B$16:$B$67,"ПО")</f>
        <v>40</v>
      </c>
      <c r="AI564" s="477">
        <f>SUMIFS(Баланс!AH$16:AH$67,Баланс!$A$16:$A$67,$A564,Баланс!$B$16:$B$67,"ПО")</f>
        <v>0</v>
      </c>
      <c r="AJ564" s="477">
        <f>SUMIFS(Баланс!AI$16:AI$67,Баланс!$A$16:$A$67,$A564,Баланс!$B$16:$B$67,"ПО")</f>
        <v>0</v>
      </c>
      <c r="AK564" s="477">
        <f>SUMIFS(Баланс!AJ$16:AJ$67,Баланс!$A$16:$A$67,$A564,Баланс!$B$16:$B$67,"ПО")</f>
        <v>0</v>
      </c>
      <c r="AL564" s="477">
        <f>SUMIFS(Баланс!AK$16:AK$67,Баланс!$A$16:$A$67,$A564,Баланс!$B$16:$B$67,"ПО")</f>
        <v>0</v>
      </c>
      <c r="AM564" s="477">
        <f>SUMIFS(Баланс!AL$16:AL$67,Баланс!$A$16:$A$67,$A564,Баланс!$B$16:$B$67,"ПО")</f>
        <v>0</v>
      </c>
      <c r="AN564" s="402"/>
      <c r="AO564" s="402"/>
      <c r="AP564" s="402"/>
      <c r="AQ564" s="402"/>
      <c r="AR564" s="402"/>
      <c r="AS564" s="402"/>
      <c r="AT564" s="402"/>
      <c r="AU564" s="402"/>
      <c r="AV564" s="402"/>
      <c r="AW564" s="402"/>
      <c r="AX564" s="183"/>
      <c r="AY564" s="183"/>
      <c r="AZ564" s="183"/>
    </row>
    <row r="565" spans="1:52" s="104" customFormat="1" outlineLevel="1">
      <c r="A565" s="578" t="str">
        <f t="shared" si="101"/>
        <v>1</v>
      </c>
      <c r="B565" s="104" t="s">
        <v>1172</v>
      </c>
      <c r="D565" s="104" t="s">
        <v>1690</v>
      </c>
      <c r="L565" s="375" t="s">
        <v>1708</v>
      </c>
      <c r="M565" s="381" t="s">
        <v>1102</v>
      </c>
      <c r="N565" s="377" t="s">
        <v>310</v>
      </c>
      <c r="O565" s="533">
        <f>O564/2</f>
        <v>20</v>
      </c>
      <c r="P565" s="533">
        <f>P564/2</f>
        <v>20</v>
      </c>
      <c r="Q565" s="533">
        <f>Q564/2</f>
        <v>20</v>
      </c>
      <c r="R565" s="422">
        <f t="shared" si="100"/>
        <v>0</v>
      </c>
      <c r="S565" s="533">
        <f t="shared" ref="S565:AM565" si="115">S564/2</f>
        <v>20</v>
      </c>
      <c r="T565" s="533">
        <f t="shared" si="115"/>
        <v>20</v>
      </c>
      <c r="U565" s="533">
        <f t="shared" si="115"/>
        <v>20</v>
      </c>
      <c r="V565" s="533">
        <f t="shared" si="115"/>
        <v>20</v>
      </c>
      <c r="W565" s="533">
        <f t="shared" si="115"/>
        <v>20</v>
      </c>
      <c r="X565" s="533">
        <f t="shared" si="115"/>
        <v>20</v>
      </c>
      <c r="Y565" s="533">
        <f t="shared" si="115"/>
        <v>20</v>
      </c>
      <c r="Z565" s="533">
        <f t="shared" si="115"/>
        <v>20</v>
      </c>
      <c r="AA565" s="533">
        <f t="shared" si="115"/>
        <v>20</v>
      </c>
      <c r="AB565" s="533">
        <f t="shared" si="115"/>
        <v>20</v>
      </c>
      <c r="AC565" s="533">
        <f t="shared" si="115"/>
        <v>20</v>
      </c>
      <c r="AD565" s="533">
        <f t="shared" si="115"/>
        <v>20</v>
      </c>
      <c r="AE565" s="533">
        <f t="shared" si="115"/>
        <v>20</v>
      </c>
      <c r="AF565" s="533">
        <f t="shared" si="115"/>
        <v>20</v>
      </c>
      <c r="AG565" s="533">
        <f t="shared" si="115"/>
        <v>20</v>
      </c>
      <c r="AH565" s="533">
        <f t="shared" si="115"/>
        <v>20</v>
      </c>
      <c r="AI565" s="533">
        <f t="shared" si="115"/>
        <v>0</v>
      </c>
      <c r="AJ565" s="533">
        <f t="shared" si="115"/>
        <v>0</v>
      </c>
      <c r="AK565" s="533">
        <f t="shared" si="115"/>
        <v>0</v>
      </c>
      <c r="AL565" s="533">
        <f t="shared" si="115"/>
        <v>0</v>
      </c>
      <c r="AM565" s="533">
        <f t="shared" si="115"/>
        <v>0</v>
      </c>
      <c r="AN565" s="380"/>
      <c r="AO565" s="380"/>
      <c r="AP565" s="380"/>
      <c r="AQ565" s="380"/>
      <c r="AR565" s="380"/>
      <c r="AS565" s="380"/>
      <c r="AT565" s="380"/>
      <c r="AU565" s="380"/>
      <c r="AV565" s="380"/>
      <c r="AW565" s="380"/>
      <c r="AX565" s="183"/>
      <c r="AY565" s="183"/>
      <c r="AZ565" s="183"/>
    </row>
    <row r="566" spans="1:52" s="104" customFormat="1" outlineLevel="1">
      <c r="A566" s="578" t="str">
        <f t="shared" si="101"/>
        <v>1</v>
      </c>
      <c r="B566" s="104" t="s">
        <v>1167</v>
      </c>
      <c r="D566" s="104" t="s">
        <v>1691</v>
      </c>
      <c r="L566" s="375" t="s">
        <v>1709</v>
      </c>
      <c r="M566" s="381" t="s">
        <v>1101</v>
      </c>
      <c r="N566" s="377" t="s">
        <v>652</v>
      </c>
      <c r="O566" s="532"/>
      <c r="P566" s="532"/>
      <c r="Q566" s="532"/>
      <c r="R566" s="379">
        <f t="shared" si="100"/>
        <v>0</v>
      </c>
      <c r="S566" s="532"/>
      <c r="T566" s="532"/>
      <c r="U566" s="532"/>
      <c r="V566" s="532"/>
      <c r="W566" s="532"/>
      <c r="X566" s="532"/>
      <c r="Y566" s="532"/>
      <c r="Z566" s="532"/>
      <c r="AA566" s="532"/>
      <c r="AB566" s="532"/>
      <c r="AC566" s="532"/>
      <c r="AD566" s="532"/>
      <c r="AE566" s="532"/>
      <c r="AF566" s="532"/>
      <c r="AG566" s="532"/>
      <c r="AH566" s="532"/>
      <c r="AI566" s="532"/>
      <c r="AJ566" s="532"/>
      <c r="AK566" s="532"/>
      <c r="AL566" s="532"/>
      <c r="AM566" s="532"/>
      <c r="AN566" s="380"/>
      <c r="AO566" s="380"/>
      <c r="AP566" s="380"/>
      <c r="AQ566" s="380"/>
      <c r="AR566" s="380"/>
      <c r="AS566" s="380"/>
      <c r="AT566" s="380"/>
      <c r="AU566" s="380"/>
      <c r="AV566" s="380"/>
      <c r="AW566" s="380"/>
      <c r="AX566" s="183"/>
      <c r="AY566" s="183"/>
      <c r="AZ566" s="183"/>
    </row>
    <row r="567" spans="1:52" s="104" customFormat="1" outlineLevel="1">
      <c r="A567" s="578" t="str">
        <f t="shared" si="101"/>
        <v>1</v>
      </c>
      <c r="B567" s="104" t="s">
        <v>1173</v>
      </c>
      <c r="D567" s="104" t="s">
        <v>1692</v>
      </c>
      <c r="L567" s="375" t="s">
        <v>1710</v>
      </c>
      <c r="M567" s="381" t="s">
        <v>1103</v>
      </c>
      <c r="N567" s="377" t="s">
        <v>310</v>
      </c>
      <c r="O567" s="534">
        <f>O564-O565</f>
        <v>20</v>
      </c>
      <c r="P567" s="534">
        <f>P564-P565</f>
        <v>20</v>
      </c>
      <c r="Q567" s="534">
        <f>Q564-Q565</f>
        <v>20</v>
      </c>
      <c r="R567" s="422">
        <f t="shared" si="100"/>
        <v>0</v>
      </c>
      <c r="S567" s="534">
        <f t="shared" ref="S567:AM567" si="116">S564-S565</f>
        <v>20</v>
      </c>
      <c r="T567" s="534">
        <f t="shared" si="116"/>
        <v>20</v>
      </c>
      <c r="U567" s="534">
        <f t="shared" si="116"/>
        <v>20</v>
      </c>
      <c r="V567" s="534">
        <f t="shared" si="116"/>
        <v>20</v>
      </c>
      <c r="W567" s="534">
        <f t="shared" si="116"/>
        <v>20</v>
      </c>
      <c r="X567" s="534">
        <f t="shared" si="116"/>
        <v>20</v>
      </c>
      <c r="Y567" s="534">
        <f t="shared" si="116"/>
        <v>20</v>
      </c>
      <c r="Z567" s="534">
        <f t="shared" si="116"/>
        <v>20</v>
      </c>
      <c r="AA567" s="534">
        <f t="shared" si="116"/>
        <v>20</v>
      </c>
      <c r="AB567" s="534">
        <f t="shared" si="116"/>
        <v>20</v>
      </c>
      <c r="AC567" s="534">
        <f t="shared" si="116"/>
        <v>20</v>
      </c>
      <c r="AD567" s="534">
        <f t="shared" si="116"/>
        <v>20</v>
      </c>
      <c r="AE567" s="534">
        <f t="shared" si="116"/>
        <v>20</v>
      </c>
      <c r="AF567" s="534">
        <f t="shared" si="116"/>
        <v>20</v>
      </c>
      <c r="AG567" s="534">
        <f t="shared" si="116"/>
        <v>20</v>
      </c>
      <c r="AH567" s="534">
        <f t="shared" si="116"/>
        <v>20</v>
      </c>
      <c r="AI567" s="534">
        <f t="shared" si="116"/>
        <v>0</v>
      </c>
      <c r="AJ567" s="534">
        <f t="shared" si="116"/>
        <v>0</v>
      </c>
      <c r="AK567" s="534">
        <f t="shared" si="116"/>
        <v>0</v>
      </c>
      <c r="AL567" s="534">
        <f t="shared" si="116"/>
        <v>0</v>
      </c>
      <c r="AM567" s="534">
        <f t="shared" si="116"/>
        <v>0</v>
      </c>
      <c r="AN567" s="380"/>
      <c r="AO567" s="380"/>
      <c r="AP567" s="380"/>
      <c r="AQ567" s="380"/>
      <c r="AR567" s="380"/>
      <c r="AS567" s="380"/>
      <c r="AT567" s="380"/>
      <c r="AU567" s="380"/>
      <c r="AV567" s="380"/>
      <c r="AW567" s="380"/>
      <c r="AX567" s="183"/>
      <c r="AY567" s="183"/>
      <c r="AZ567" s="183"/>
    </row>
    <row r="568" spans="1:52" s="104" customFormat="1" outlineLevel="1">
      <c r="A568" s="578" t="str">
        <f t="shared" si="101"/>
        <v>1</v>
      </c>
      <c r="B568" s="104" t="s">
        <v>1168</v>
      </c>
      <c r="D568" s="104" t="s">
        <v>1693</v>
      </c>
      <c r="L568" s="375" t="s">
        <v>1711</v>
      </c>
      <c r="M568" s="381" t="s">
        <v>1104</v>
      </c>
      <c r="N568" s="377" t="s">
        <v>652</v>
      </c>
      <c r="O568" s="532">
        <f>IF(O567=0,0,(O561-O565*O566)/O567)</f>
        <v>32.619</v>
      </c>
      <c r="P568" s="532">
        <f>IF(P567=0,0,(P561-P565*P566)/P567)</f>
        <v>19.383499999999998</v>
      </c>
      <c r="Q568" s="532">
        <f>IF(Q567=0,0,(Q561-Q565*Q566)/Q567)</f>
        <v>19.056699999999999</v>
      </c>
      <c r="R568" s="379">
        <f t="shared" si="100"/>
        <v>-0.32679999999999865</v>
      </c>
      <c r="S568" s="532">
        <f t="shared" ref="S568:AM568" si="117">IF(S567=0,0,(S561-S565*S566)/S567)</f>
        <v>37.707999999999998</v>
      </c>
      <c r="T568" s="532">
        <f>IF(T567=0,0,(T561-T565*T566)/T567)</f>
        <v>81.428799999999995</v>
      </c>
      <c r="U568" s="532" t="e">
        <f t="shared" si="117"/>
        <v>#N/A</v>
      </c>
      <c r="V568" s="532" t="e">
        <f t="shared" si="117"/>
        <v>#N/A</v>
      </c>
      <c r="W568" s="532" t="e">
        <f t="shared" si="117"/>
        <v>#N/A</v>
      </c>
      <c r="X568" s="532" t="e">
        <f t="shared" si="117"/>
        <v>#N/A</v>
      </c>
      <c r="Y568" s="532" t="e">
        <f t="shared" si="117"/>
        <v>#N/A</v>
      </c>
      <c r="Z568" s="532" t="e">
        <f t="shared" si="117"/>
        <v>#N/A</v>
      </c>
      <c r="AA568" s="532" t="e">
        <f t="shared" si="117"/>
        <v>#N/A</v>
      </c>
      <c r="AB568" s="532" t="e">
        <f t="shared" si="117"/>
        <v>#N/A</v>
      </c>
      <c r="AC568" s="532" t="e">
        <f t="shared" si="117"/>
        <v>#N/A</v>
      </c>
      <c r="AD568" s="532">
        <f>IF(AD567=0,0,(AD561-AD565*AD566)/AD567)</f>
        <v>78.102820000000008</v>
      </c>
      <c r="AE568" s="532" t="e">
        <f>IF(AE567=0,0,(AE561-AE565*AE566)/AE567)</f>
        <v>#N/A</v>
      </c>
      <c r="AF568" s="532" t="e">
        <f>IF(AF567=0,0,(AF561-AF565*AF566)/AF567)</f>
        <v>#N/A</v>
      </c>
      <c r="AG568" s="532" t="e">
        <f t="shared" si="117"/>
        <v>#N/A</v>
      </c>
      <c r="AH568" s="532" t="e">
        <f t="shared" si="117"/>
        <v>#N/A</v>
      </c>
      <c r="AI568" s="532">
        <f t="shared" si="117"/>
        <v>0</v>
      </c>
      <c r="AJ568" s="532">
        <f t="shared" si="117"/>
        <v>0</v>
      </c>
      <c r="AK568" s="532">
        <f t="shared" si="117"/>
        <v>0</v>
      </c>
      <c r="AL568" s="532">
        <f t="shared" si="117"/>
        <v>0</v>
      </c>
      <c r="AM568" s="532">
        <f t="shared" si="117"/>
        <v>0</v>
      </c>
      <c r="AN568" s="380"/>
      <c r="AO568" s="380"/>
      <c r="AP568" s="380"/>
      <c r="AQ568" s="380"/>
      <c r="AR568" s="380"/>
      <c r="AS568" s="380"/>
      <c r="AT568" s="380"/>
      <c r="AU568" s="380"/>
      <c r="AV568" s="380"/>
      <c r="AW568" s="380"/>
      <c r="AX568" s="183"/>
      <c r="AY568" s="183"/>
      <c r="AZ568" s="183"/>
    </row>
    <row r="569" spans="1:52" s="104" customFormat="1" outlineLevel="1">
      <c r="A569" s="578" t="str">
        <f t="shared" si="101"/>
        <v>1</v>
      </c>
      <c r="D569" s="104" t="s">
        <v>1694</v>
      </c>
      <c r="L569" s="375" t="s">
        <v>1712</v>
      </c>
      <c r="M569" s="376" t="s">
        <v>653</v>
      </c>
      <c r="N569" s="377" t="s">
        <v>137</v>
      </c>
      <c r="O569" s="530">
        <f>IF(O566=0,0,O568/O566*100)</f>
        <v>0</v>
      </c>
      <c r="P569" s="530">
        <f>IF(P566=0,0,P568/P566*100)</f>
        <v>0</v>
      </c>
      <c r="Q569" s="530">
        <f>IF(Q566=0,0,Q568/Q566*100)</f>
        <v>0</v>
      </c>
      <c r="R569" s="403"/>
      <c r="S569" s="530">
        <f t="shared" ref="S569:AM569" si="118">IF(S566=0,0,S568/S566*100)</f>
        <v>0</v>
      </c>
      <c r="T569" s="530">
        <f t="shared" si="118"/>
        <v>0</v>
      </c>
      <c r="U569" s="530">
        <f t="shared" si="118"/>
        <v>0</v>
      </c>
      <c r="V569" s="530">
        <f t="shared" si="118"/>
        <v>0</v>
      </c>
      <c r="W569" s="530">
        <f t="shared" si="118"/>
        <v>0</v>
      </c>
      <c r="X569" s="530">
        <f t="shared" si="118"/>
        <v>0</v>
      </c>
      <c r="Y569" s="530">
        <f t="shared" si="118"/>
        <v>0</v>
      </c>
      <c r="Z569" s="530">
        <f t="shared" si="118"/>
        <v>0</v>
      </c>
      <c r="AA569" s="530">
        <f t="shared" si="118"/>
        <v>0</v>
      </c>
      <c r="AB569" s="530">
        <f t="shared" si="118"/>
        <v>0</v>
      </c>
      <c r="AC569" s="530">
        <f t="shared" si="118"/>
        <v>0</v>
      </c>
      <c r="AD569" s="530">
        <f t="shared" si="118"/>
        <v>0</v>
      </c>
      <c r="AE569" s="530">
        <f t="shared" si="118"/>
        <v>0</v>
      </c>
      <c r="AF569" s="530">
        <f t="shared" si="118"/>
        <v>0</v>
      </c>
      <c r="AG569" s="530">
        <f t="shared" si="118"/>
        <v>0</v>
      </c>
      <c r="AH569" s="530">
        <f t="shared" si="118"/>
        <v>0</v>
      </c>
      <c r="AI569" s="530">
        <f t="shared" si="118"/>
        <v>0</v>
      </c>
      <c r="AJ569" s="530">
        <f t="shared" si="118"/>
        <v>0</v>
      </c>
      <c r="AK569" s="530">
        <f t="shared" si="118"/>
        <v>0</v>
      </c>
      <c r="AL569" s="530">
        <f t="shared" si="118"/>
        <v>0</v>
      </c>
      <c r="AM569" s="530">
        <f t="shared" si="118"/>
        <v>0</v>
      </c>
      <c r="AN569" s="380"/>
      <c r="AO569" s="380"/>
      <c r="AP569" s="380"/>
      <c r="AQ569" s="380"/>
      <c r="AR569" s="380"/>
      <c r="AS569" s="380"/>
      <c r="AT569" s="380"/>
      <c r="AU569" s="380"/>
      <c r="AV569" s="380"/>
      <c r="AW569" s="380"/>
      <c r="AX569" s="183"/>
      <c r="AY569" s="183"/>
      <c r="AZ569" s="183"/>
    </row>
    <row r="570" spans="1:52" s="104" customFormat="1" outlineLevel="1">
      <c r="A570" s="578" t="str">
        <f t="shared" si="101"/>
        <v>1</v>
      </c>
      <c r="D570" s="104" t="s">
        <v>1695</v>
      </c>
      <c r="L570" s="375" t="s">
        <v>1713</v>
      </c>
      <c r="M570" s="376" t="s">
        <v>654</v>
      </c>
      <c r="N570" s="377" t="s">
        <v>652</v>
      </c>
      <c r="O570" s="532">
        <f>IF(O564=0,0,O561/O564)</f>
        <v>16.3095</v>
      </c>
      <c r="P570" s="532">
        <f>IF(P564=0,0,P561/P564)</f>
        <v>9.691749999999999</v>
      </c>
      <c r="Q570" s="532">
        <f>IF(Q564=0,0,Q561/Q564)</f>
        <v>9.5283499999999997</v>
      </c>
      <c r="R570" s="379">
        <f t="shared" si="100"/>
        <v>-0.16339999999999932</v>
      </c>
      <c r="S570" s="532">
        <f>IF(S564=0,0,S561/S564)</f>
        <v>18.853999999999999</v>
      </c>
      <c r="T570" s="532">
        <f>IF(T564=0,0,T561/T564)</f>
        <v>40.714399999999998</v>
      </c>
      <c r="U570" s="532" t="e">
        <f t="shared" ref="U570:AM570" si="119">IF(U564=0,0,U561/U564)</f>
        <v>#N/A</v>
      </c>
      <c r="V570" s="532" t="e">
        <f t="shared" si="119"/>
        <v>#N/A</v>
      </c>
      <c r="W570" s="532" t="e">
        <f t="shared" si="119"/>
        <v>#N/A</v>
      </c>
      <c r="X570" s="532" t="e">
        <f t="shared" si="119"/>
        <v>#N/A</v>
      </c>
      <c r="Y570" s="532" t="e">
        <f t="shared" si="119"/>
        <v>#N/A</v>
      </c>
      <c r="Z570" s="532" t="e">
        <f t="shared" si="119"/>
        <v>#N/A</v>
      </c>
      <c r="AA570" s="532" t="e">
        <f t="shared" si="119"/>
        <v>#N/A</v>
      </c>
      <c r="AB570" s="532" t="e">
        <f t="shared" si="119"/>
        <v>#N/A</v>
      </c>
      <c r="AC570" s="532" t="e">
        <f t="shared" si="119"/>
        <v>#N/A</v>
      </c>
      <c r="AD570" s="532">
        <f>IF(AD564=0,0,AD561/AD564)</f>
        <v>39.051410000000004</v>
      </c>
      <c r="AE570" s="532" t="e">
        <f>IF(AE564=0,0,AE561/AE564)</f>
        <v>#N/A</v>
      </c>
      <c r="AF570" s="532" t="e">
        <f>IF(AF564=0,0,AF561/AF564)</f>
        <v>#N/A</v>
      </c>
      <c r="AG570" s="532" t="e">
        <f t="shared" si="119"/>
        <v>#N/A</v>
      </c>
      <c r="AH570" s="532" t="e">
        <f t="shared" si="119"/>
        <v>#N/A</v>
      </c>
      <c r="AI570" s="532">
        <f t="shared" si="119"/>
        <v>0</v>
      </c>
      <c r="AJ570" s="532">
        <f t="shared" si="119"/>
        <v>0</v>
      </c>
      <c r="AK570" s="532">
        <f t="shared" si="119"/>
        <v>0</v>
      </c>
      <c r="AL570" s="532">
        <f t="shared" si="119"/>
        <v>0</v>
      </c>
      <c r="AM570" s="532">
        <f t="shared" si="119"/>
        <v>0</v>
      </c>
      <c r="AN570" s="380"/>
      <c r="AO570" s="380"/>
      <c r="AP570" s="380"/>
      <c r="AQ570" s="380"/>
      <c r="AR570" s="380"/>
      <c r="AS570" s="380"/>
      <c r="AT570" s="380"/>
      <c r="AU570" s="380"/>
      <c r="AV570" s="380"/>
      <c r="AW570" s="380"/>
      <c r="AX570" s="183"/>
      <c r="AY570" s="183"/>
      <c r="AZ570" s="183"/>
    </row>
    <row r="571" spans="1:52" s="109" customFormat="1" outlineLevel="1">
      <c r="A571" s="578" t="str">
        <f t="shared" si="101"/>
        <v>1</v>
      </c>
      <c r="C571" s="104"/>
      <c r="D571" s="104" t="s">
        <v>1630</v>
      </c>
      <c r="L571" s="395" t="s">
        <v>130</v>
      </c>
      <c r="M571" s="398" t="s">
        <v>1368</v>
      </c>
      <c r="N571" s="396" t="s">
        <v>351</v>
      </c>
      <c r="O571" s="536">
        <f>IF(O564=0,0,O561/O564*O572)</f>
        <v>644.22524999999996</v>
      </c>
      <c r="P571" s="536">
        <f>IF(P564=0,0,P561/P564*P572)</f>
        <v>382.82412499999998</v>
      </c>
      <c r="Q571" s="536">
        <f>IF(Q564=0,0,Q561/Q564*Q572)</f>
        <v>376.36982499999999</v>
      </c>
      <c r="R571" s="374">
        <f>R573*R574+R575*R576</f>
        <v>0</v>
      </c>
      <c r="S571" s="536">
        <f>IF(S564=0,0,S561/S564*S572)</f>
        <v>744.73299999999995</v>
      </c>
      <c r="T571" s="536">
        <f>IF(T564=0,0,T561/T564*T572)</f>
        <v>1608.2187999999999</v>
      </c>
      <c r="U571" s="536" t="e">
        <f t="shared" ref="U571:AM571" si="120">IF(U564=0,0,U561/U564*U572)</f>
        <v>#N/A</v>
      </c>
      <c r="V571" s="536" t="e">
        <f t="shared" si="120"/>
        <v>#N/A</v>
      </c>
      <c r="W571" s="536" t="e">
        <f t="shared" si="120"/>
        <v>#N/A</v>
      </c>
      <c r="X571" s="536" t="e">
        <f t="shared" si="120"/>
        <v>#N/A</v>
      </c>
      <c r="Y571" s="536" t="e">
        <f t="shared" si="120"/>
        <v>#N/A</v>
      </c>
      <c r="Z571" s="536" t="e">
        <f t="shared" si="120"/>
        <v>#N/A</v>
      </c>
      <c r="AA571" s="536" t="e">
        <f t="shared" si="120"/>
        <v>#N/A</v>
      </c>
      <c r="AB571" s="536" t="e">
        <f t="shared" si="120"/>
        <v>#N/A</v>
      </c>
      <c r="AC571" s="536" t="e">
        <f t="shared" si="120"/>
        <v>#N/A</v>
      </c>
      <c r="AD571" s="536">
        <f>IF(AD564=0,0,AD561/AD564*AD572)</f>
        <v>1542.5306950000002</v>
      </c>
      <c r="AE571" s="536" t="e">
        <f>IF(AE564=0,0,AE561/AE564*AE572)</f>
        <v>#N/A</v>
      </c>
      <c r="AF571" s="536" t="e">
        <f>IF(AF564=0,0,AF561/AF564*AF572)</f>
        <v>#N/A</v>
      </c>
      <c r="AG571" s="536" t="e">
        <f t="shared" si="120"/>
        <v>#N/A</v>
      </c>
      <c r="AH571" s="536" t="e">
        <f t="shared" si="120"/>
        <v>#N/A</v>
      </c>
      <c r="AI571" s="536">
        <f t="shared" si="120"/>
        <v>0</v>
      </c>
      <c r="AJ571" s="536">
        <f t="shared" si="120"/>
        <v>0</v>
      </c>
      <c r="AK571" s="536">
        <f t="shared" si="120"/>
        <v>0</v>
      </c>
      <c r="AL571" s="536">
        <f t="shared" si="120"/>
        <v>0</v>
      </c>
      <c r="AM571" s="536">
        <f t="shared" si="120"/>
        <v>0</v>
      </c>
      <c r="AN571" s="373">
        <f>IF(S571=0,0,(AD571-S571)/S571*100)</f>
        <v>107.12533149464308</v>
      </c>
      <c r="AO571" s="373" t="e">
        <f>IF(AD571=0,0,(AE571-AD571)/AD571*100)</f>
        <v>#N/A</v>
      </c>
      <c r="AP571" s="373" t="e">
        <f>IF(AE571=0,0,(AF571-AE571)/AE571*100)</f>
        <v>#N/A</v>
      </c>
      <c r="AQ571" s="373" t="e">
        <f>IF(AF571=0,0,(AG571-AF571)/AF571*100)</f>
        <v>#N/A</v>
      </c>
      <c r="AR571" s="373" t="e">
        <f t="shared" ref="AR571:AW571" si="121">IF(AG571=0,0,(AH571-AG571)/AG571*100)</f>
        <v>#N/A</v>
      </c>
      <c r="AS571" s="373" t="e">
        <f t="shared" si="121"/>
        <v>#N/A</v>
      </c>
      <c r="AT571" s="373">
        <f t="shared" si="121"/>
        <v>0</v>
      </c>
      <c r="AU571" s="373">
        <f t="shared" si="121"/>
        <v>0</v>
      </c>
      <c r="AV571" s="373">
        <f t="shared" si="121"/>
        <v>0</v>
      </c>
      <c r="AW571" s="373">
        <f t="shared" si="121"/>
        <v>0</v>
      </c>
      <c r="AX571" s="183"/>
      <c r="AY571" s="183"/>
      <c r="AZ571" s="183"/>
    </row>
    <row r="572" spans="1:52" s="109" customFormat="1" outlineLevel="1">
      <c r="A572" s="578" t="str">
        <f t="shared" si="101"/>
        <v>1</v>
      </c>
      <c r="B572" s="104" t="s">
        <v>1177</v>
      </c>
      <c r="C572" s="104"/>
      <c r="D572" s="104" t="s">
        <v>1631</v>
      </c>
      <c r="L572" s="395" t="s">
        <v>131</v>
      </c>
      <c r="M572" s="398" t="s">
        <v>655</v>
      </c>
      <c r="N572" s="396" t="s">
        <v>310</v>
      </c>
      <c r="O572" s="477">
        <f>SUMIFS(Баланс!O$16:O$67,Баланс!$A$16:$A$67,$A572,Баланс!$B$16:$B$67,"население")</f>
        <v>39.5</v>
      </c>
      <c r="P572" s="477">
        <f>SUMIFS(Баланс!P$16:P$67,Баланс!$A$16:$A$67,$A572,Баланс!$B$16:$B$67,"население")</f>
        <v>39.5</v>
      </c>
      <c r="Q572" s="477">
        <f>SUMIFS(Баланс!Q$16:Q$67,Баланс!$A$16:$A$67,$A572,Баланс!$B$16:$B$67,"население")</f>
        <v>39.5</v>
      </c>
      <c r="R572" s="477">
        <f>Q572-P572</f>
        <v>0</v>
      </c>
      <c r="S572" s="477">
        <f>SUMIFS(Баланс!R$16:R$67,Баланс!$A$16:$A$67,$A572,Баланс!$B$16:$B$67,"население")</f>
        <v>39.5</v>
      </c>
      <c r="T572" s="477">
        <f>SUMIFS(Баланс!S$16:S$67,Баланс!$A$16:$A$67,$A572,Баланс!$B$16:$B$67,"население")</f>
        <v>39.5</v>
      </c>
      <c r="U572" s="477">
        <f>SUMIFS(Баланс!T$16:T$67,Баланс!$A$16:$A$67,$A572,Баланс!$B$16:$B$67,"население")</f>
        <v>39.5</v>
      </c>
      <c r="V572" s="477">
        <f>SUMIFS(Баланс!U$16:U$67,Баланс!$A$16:$A$67,$A572,Баланс!$B$16:$B$67,"население")</f>
        <v>39.5</v>
      </c>
      <c r="W572" s="477">
        <f>SUMIFS(Баланс!V$16:V$67,Баланс!$A$16:$A$67,$A572,Баланс!$B$16:$B$67,"население")</f>
        <v>39.5</v>
      </c>
      <c r="X572" s="477">
        <f>SUMIFS(Баланс!W$16:W$67,Баланс!$A$16:$A$67,$A572,Баланс!$B$16:$B$67,"население")</f>
        <v>39.5</v>
      </c>
      <c r="Y572" s="477">
        <f>SUMIFS(Баланс!X$16:X$67,Баланс!$A$16:$A$67,$A572,Баланс!$B$16:$B$67,"население")</f>
        <v>39.5</v>
      </c>
      <c r="Z572" s="477">
        <f>SUMIFS(Баланс!Y$16:Y$67,Баланс!$A$16:$A$67,$A572,Баланс!$B$16:$B$67,"население")</f>
        <v>39.5</v>
      </c>
      <c r="AA572" s="477">
        <f>SUMIFS(Баланс!Z$16:Z$67,Баланс!$A$16:$A$67,$A572,Баланс!$B$16:$B$67,"население")</f>
        <v>39.5</v>
      </c>
      <c r="AB572" s="477">
        <f>SUMIFS(Баланс!AA$16:AA$67,Баланс!$A$16:$A$67,$A572,Баланс!$B$16:$B$67,"население")</f>
        <v>39.5</v>
      </c>
      <c r="AC572" s="477">
        <f>SUMIFS(Баланс!AB$16:AB$67,Баланс!$A$16:$A$67,$A572,Баланс!$B$16:$B$67,"население")</f>
        <v>39.5</v>
      </c>
      <c r="AD572" s="477">
        <f>SUMIFS(Баланс!AC$16:AC$67,Баланс!$A$16:$A$67,$A572,Баланс!$B$16:$B$67,"население")</f>
        <v>39.5</v>
      </c>
      <c r="AE572" s="477">
        <f>SUMIFS(Баланс!AD$16:AD$67,Баланс!$A$16:$A$67,$A572,Баланс!$B$16:$B$67,"население")</f>
        <v>39.5</v>
      </c>
      <c r="AF572" s="477">
        <f>SUMIFS(Баланс!AE$16:AE$67,Баланс!$A$16:$A$67,$A572,Баланс!$B$16:$B$67,"население")</f>
        <v>39.5</v>
      </c>
      <c r="AG572" s="477">
        <f>SUMIFS(Баланс!AF$16:AF$67,Баланс!$A$16:$A$67,$A572,Баланс!$B$16:$B$67,"население")</f>
        <v>39.5</v>
      </c>
      <c r="AH572" s="477">
        <f>SUMIFS(Баланс!AG$16:AG$67,Баланс!$A$16:$A$67,$A572,Баланс!$B$16:$B$67,"население")</f>
        <v>39.5</v>
      </c>
      <c r="AI572" s="477">
        <f>SUMIFS(Баланс!AH$16:AH$67,Баланс!$A$16:$A$67,$A572,Баланс!$B$16:$B$67,"население")</f>
        <v>0</v>
      </c>
      <c r="AJ572" s="477">
        <f>SUMIFS(Баланс!AI$16:AI$67,Баланс!$A$16:$A$67,$A572,Баланс!$B$16:$B$67,"население")</f>
        <v>0</v>
      </c>
      <c r="AK572" s="477">
        <f>SUMIFS(Баланс!AJ$16:AJ$67,Баланс!$A$16:$A$67,$A572,Баланс!$B$16:$B$67,"население")</f>
        <v>0</v>
      </c>
      <c r="AL572" s="477">
        <f>SUMIFS(Баланс!AK$16:AK$67,Баланс!$A$16:$A$67,$A572,Баланс!$B$16:$B$67,"население")</f>
        <v>0</v>
      </c>
      <c r="AM572" s="477">
        <f>SUMIFS(Баланс!AL$16:AL$67,Баланс!$A$16:$A$67,$A572,Баланс!$B$16:$B$67,"население")</f>
        <v>0</v>
      </c>
      <c r="AN572" s="402"/>
      <c r="AO572" s="402"/>
      <c r="AP572" s="402"/>
      <c r="AQ572" s="402"/>
      <c r="AR572" s="402"/>
      <c r="AS572" s="402"/>
      <c r="AT572" s="402"/>
      <c r="AU572" s="402"/>
      <c r="AV572" s="402"/>
      <c r="AW572" s="402"/>
      <c r="AX572" s="183"/>
      <c r="AY572" s="183"/>
      <c r="AZ572" s="183"/>
    </row>
    <row r="573" spans="1:52" s="104" customFormat="1" outlineLevel="1">
      <c r="A573" s="578" t="str">
        <f t="shared" si="101"/>
        <v>1</v>
      </c>
      <c r="B573" s="104" t="s">
        <v>1174</v>
      </c>
      <c r="D573" s="104" t="s">
        <v>1696</v>
      </c>
      <c r="L573" s="404" t="s">
        <v>1714</v>
      </c>
      <c r="M573" s="381" t="s">
        <v>1161</v>
      </c>
      <c r="N573" s="405" t="s">
        <v>310</v>
      </c>
      <c r="O573" s="533">
        <f>O572/2</f>
        <v>19.75</v>
      </c>
      <c r="P573" s="533">
        <f>P572/2</f>
        <v>19.75</v>
      </c>
      <c r="Q573" s="533">
        <f>Q572/2</f>
        <v>19.75</v>
      </c>
      <c r="R573" s="422">
        <f>Q573-P573</f>
        <v>0</v>
      </c>
      <c r="S573" s="533">
        <f>S572/2</f>
        <v>19.75</v>
      </c>
      <c r="T573" s="533">
        <f t="shared" ref="T573:AM573" si="122">T572/2</f>
        <v>19.75</v>
      </c>
      <c r="U573" s="533">
        <f t="shared" si="122"/>
        <v>19.75</v>
      </c>
      <c r="V573" s="533">
        <f t="shared" si="122"/>
        <v>19.75</v>
      </c>
      <c r="W573" s="533">
        <f t="shared" si="122"/>
        <v>19.75</v>
      </c>
      <c r="X573" s="533">
        <f t="shared" si="122"/>
        <v>19.75</v>
      </c>
      <c r="Y573" s="533">
        <f t="shared" si="122"/>
        <v>19.75</v>
      </c>
      <c r="Z573" s="533">
        <f t="shared" si="122"/>
        <v>19.75</v>
      </c>
      <c r="AA573" s="533">
        <f t="shared" si="122"/>
        <v>19.75</v>
      </c>
      <c r="AB573" s="533">
        <f t="shared" si="122"/>
        <v>19.75</v>
      </c>
      <c r="AC573" s="533">
        <f t="shared" si="122"/>
        <v>19.75</v>
      </c>
      <c r="AD573" s="533">
        <f t="shared" si="122"/>
        <v>19.75</v>
      </c>
      <c r="AE573" s="533">
        <f t="shared" si="122"/>
        <v>19.75</v>
      </c>
      <c r="AF573" s="533">
        <f t="shared" si="122"/>
        <v>19.75</v>
      </c>
      <c r="AG573" s="533">
        <f t="shared" si="122"/>
        <v>19.75</v>
      </c>
      <c r="AH573" s="533">
        <f t="shared" si="122"/>
        <v>19.75</v>
      </c>
      <c r="AI573" s="533">
        <f t="shared" si="122"/>
        <v>0</v>
      </c>
      <c r="AJ573" s="533">
        <f t="shared" si="122"/>
        <v>0</v>
      </c>
      <c r="AK573" s="533">
        <f t="shared" si="122"/>
        <v>0</v>
      </c>
      <c r="AL573" s="533">
        <f t="shared" si="122"/>
        <v>0</v>
      </c>
      <c r="AM573" s="533">
        <f t="shared" si="122"/>
        <v>0</v>
      </c>
      <c r="AN573" s="380"/>
      <c r="AO573" s="380"/>
      <c r="AP573" s="380"/>
      <c r="AQ573" s="380"/>
      <c r="AR573" s="380"/>
      <c r="AS573" s="380"/>
      <c r="AT573" s="380"/>
      <c r="AU573" s="380"/>
      <c r="AV573" s="380"/>
      <c r="AW573" s="380"/>
      <c r="AX573" s="183"/>
      <c r="AY573" s="183"/>
      <c r="AZ573" s="183"/>
    </row>
    <row r="574" spans="1:52" s="104" customFormat="1" outlineLevel="1">
      <c r="A574" s="578" t="str">
        <f t="shared" si="101"/>
        <v>1</v>
      </c>
      <c r="B574" s="104" t="s">
        <v>1170</v>
      </c>
      <c r="D574" s="104" t="s">
        <v>1697</v>
      </c>
      <c r="L574" s="404" t="s">
        <v>1715</v>
      </c>
      <c r="M574" s="381" t="s">
        <v>1162</v>
      </c>
      <c r="N574" s="405" t="s">
        <v>652</v>
      </c>
      <c r="O574" s="532">
        <f>IF(O572=0,0,O566*IF(plat_nds="да",1.2,1) )</f>
        <v>0</v>
      </c>
      <c r="P574" s="532">
        <f>IF(P572=0,0,P566*IF(plat_nds="да",1.2,1) )</f>
        <v>0</v>
      </c>
      <c r="Q574" s="532">
        <f>IF(Q572=0,0,Q566*IF(plat_nds="да",1.2,1) )</f>
        <v>0</v>
      </c>
      <c r="R574" s="379">
        <f>Q574-P574</f>
        <v>0</v>
      </c>
      <c r="S574" s="532">
        <f t="shared" ref="S574:AM574" si="123">IF(S572=0,0,S566*IF(plat_nds="да",1.2,1) )</f>
        <v>0</v>
      </c>
      <c r="T574" s="532">
        <f t="shared" si="123"/>
        <v>0</v>
      </c>
      <c r="U574" s="532">
        <f t="shared" si="123"/>
        <v>0</v>
      </c>
      <c r="V574" s="532">
        <f t="shared" si="123"/>
        <v>0</v>
      </c>
      <c r="W574" s="532">
        <f t="shared" si="123"/>
        <v>0</v>
      </c>
      <c r="X574" s="532">
        <f t="shared" si="123"/>
        <v>0</v>
      </c>
      <c r="Y574" s="532">
        <f t="shared" si="123"/>
        <v>0</v>
      </c>
      <c r="Z574" s="532">
        <f t="shared" si="123"/>
        <v>0</v>
      </c>
      <c r="AA574" s="532">
        <f t="shared" si="123"/>
        <v>0</v>
      </c>
      <c r="AB574" s="532">
        <f t="shared" si="123"/>
        <v>0</v>
      </c>
      <c r="AC574" s="532">
        <f t="shared" si="123"/>
        <v>0</v>
      </c>
      <c r="AD574" s="532">
        <f t="shared" si="123"/>
        <v>0</v>
      </c>
      <c r="AE574" s="532">
        <f t="shared" si="123"/>
        <v>0</v>
      </c>
      <c r="AF574" s="532">
        <f t="shared" si="123"/>
        <v>0</v>
      </c>
      <c r="AG574" s="532">
        <f t="shared" si="123"/>
        <v>0</v>
      </c>
      <c r="AH574" s="532">
        <f t="shared" si="123"/>
        <v>0</v>
      </c>
      <c r="AI574" s="532">
        <f t="shared" si="123"/>
        <v>0</v>
      </c>
      <c r="AJ574" s="532">
        <f t="shared" si="123"/>
        <v>0</v>
      </c>
      <c r="AK574" s="532">
        <f t="shared" si="123"/>
        <v>0</v>
      </c>
      <c r="AL574" s="532">
        <f t="shared" si="123"/>
        <v>0</v>
      </c>
      <c r="AM574" s="532">
        <f t="shared" si="123"/>
        <v>0</v>
      </c>
      <c r="AN574" s="380"/>
      <c r="AO574" s="380"/>
      <c r="AP574" s="380"/>
      <c r="AQ574" s="380"/>
      <c r="AR574" s="380"/>
      <c r="AS574" s="380"/>
      <c r="AT574" s="380"/>
      <c r="AU574" s="380"/>
      <c r="AV574" s="380"/>
      <c r="AW574" s="380"/>
      <c r="AX574" s="183"/>
      <c r="AY574" s="183"/>
      <c r="AZ574" s="183"/>
    </row>
    <row r="575" spans="1:52" s="104" customFormat="1" outlineLevel="1">
      <c r="A575" s="578" t="str">
        <f t="shared" si="101"/>
        <v>1</v>
      </c>
      <c r="B575" s="104" t="s">
        <v>1175</v>
      </c>
      <c r="D575" s="104" t="s">
        <v>1698</v>
      </c>
      <c r="L575" s="404" t="s">
        <v>1716</v>
      </c>
      <c r="M575" s="381" t="s">
        <v>1163</v>
      </c>
      <c r="N575" s="405" t="s">
        <v>310</v>
      </c>
      <c r="O575" s="534">
        <f>O572-O573</f>
        <v>19.75</v>
      </c>
      <c r="P575" s="534">
        <f>P572-P573</f>
        <v>19.75</v>
      </c>
      <c r="Q575" s="534">
        <f>Q572-Q573</f>
        <v>19.75</v>
      </c>
      <c r="R575" s="422">
        <f>Q575-P575</f>
        <v>0</v>
      </c>
      <c r="S575" s="534">
        <f t="shared" ref="S575:AM575" si="124">S572-S573</f>
        <v>19.75</v>
      </c>
      <c r="T575" s="534">
        <f t="shared" si="124"/>
        <v>19.75</v>
      </c>
      <c r="U575" s="534">
        <f t="shared" si="124"/>
        <v>19.75</v>
      </c>
      <c r="V575" s="534">
        <f t="shared" si="124"/>
        <v>19.75</v>
      </c>
      <c r="W575" s="534">
        <f t="shared" si="124"/>
        <v>19.75</v>
      </c>
      <c r="X575" s="534">
        <f t="shared" si="124"/>
        <v>19.75</v>
      </c>
      <c r="Y575" s="534">
        <f t="shared" si="124"/>
        <v>19.75</v>
      </c>
      <c r="Z575" s="534">
        <f t="shared" si="124"/>
        <v>19.75</v>
      </c>
      <c r="AA575" s="534">
        <f t="shared" si="124"/>
        <v>19.75</v>
      </c>
      <c r="AB575" s="534">
        <f t="shared" si="124"/>
        <v>19.75</v>
      </c>
      <c r="AC575" s="534">
        <f t="shared" si="124"/>
        <v>19.75</v>
      </c>
      <c r="AD575" s="534">
        <f t="shared" si="124"/>
        <v>19.75</v>
      </c>
      <c r="AE575" s="534">
        <f t="shared" si="124"/>
        <v>19.75</v>
      </c>
      <c r="AF575" s="534">
        <f t="shared" si="124"/>
        <v>19.75</v>
      </c>
      <c r="AG575" s="534">
        <f t="shared" si="124"/>
        <v>19.75</v>
      </c>
      <c r="AH575" s="534">
        <f t="shared" si="124"/>
        <v>19.75</v>
      </c>
      <c r="AI575" s="534">
        <f t="shared" si="124"/>
        <v>0</v>
      </c>
      <c r="AJ575" s="534">
        <f t="shared" si="124"/>
        <v>0</v>
      </c>
      <c r="AK575" s="534">
        <f t="shared" si="124"/>
        <v>0</v>
      </c>
      <c r="AL575" s="534">
        <f t="shared" si="124"/>
        <v>0</v>
      </c>
      <c r="AM575" s="534">
        <f t="shared" si="124"/>
        <v>0</v>
      </c>
      <c r="AN575" s="380"/>
      <c r="AO575" s="380"/>
      <c r="AP575" s="380"/>
      <c r="AQ575" s="380"/>
      <c r="AR575" s="380"/>
      <c r="AS575" s="380"/>
      <c r="AT575" s="380"/>
      <c r="AU575" s="380"/>
      <c r="AV575" s="380"/>
      <c r="AW575" s="380"/>
      <c r="AX575" s="183"/>
      <c r="AY575" s="183"/>
      <c r="AZ575" s="183"/>
    </row>
    <row r="576" spans="1:52" s="104" customFormat="1" outlineLevel="1">
      <c r="A576" s="578" t="str">
        <f t="shared" si="101"/>
        <v>1</v>
      </c>
      <c r="B576" s="104" t="s">
        <v>1169</v>
      </c>
      <c r="D576" s="104" t="s">
        <v>1699</v>
      </c>
      <c r="L576" s="404" t="s">
        <v>1717</v>
      </c>
      <c r="M576" s="381" t="s">
        <v>1164</v>
      </c>
      <c r="N576" s="405" t="s">
        <v>652</v>
      </c>
      <c r="O576" s="532">
        <f>IF(O572=0,0,O568*IF(plat_nds="да",1.2,1) )</f>
        <v>32.619</v>
      </c>
      <c r="P576" s="532">
        <f>IF(P572=0,0,P568*IF(plat_nds="да",1.2,1) )</f>
        <v>19.383499999999998</v>
      </c>
      <c r="Q576" s="532">
        <f>IF(Q572=0,0,Q568*IF(plat_nds="да",1.2,1) )</f>
        <v>19.056699999999999</v>
      </c>
      <c r="R576" s="379">
        <f>Q576-P576</f>
        <v>-0.32679999999999865</v>
      </c>
      <c r="S576" s="532">
        <f t="shared" ref="S576:AM576" si="125">IF(S572=0,0,S568*IF(plat_nds="да",1.2,1) )</f>
        <v>37.707999999999998</v>
      </c>
      <c r="T576" s="532">
        <f t="shared" si="125"/>
        <v>81.428799999999995</v>
      </c>
      <c r="U576" s="532" t="e">
        <f t="shared" si="125"/>
        <v>#N/A</v>
      </c>
      <c r="V576" s="532" t="e">
        <f t="shared" si="125"/>
        <v>#N/A</v>
      </c>
      <c r="W576" s="532" t="e">
        <f t="shared" si="125"/>
        <v>#N/A</v>
      </c>
      <c r="X576" s="532" t="e">
        <f t="shared" si="125"/>
        <v>#N/A</v>
      </c>
      <c r="Y576" s="532" t="e">
        <f t="shared" si="125"/>
        <v>#N/A</v>
      </c>
      <c r="Z576" s="532" t="e">
        <f t="shared" si="125"/>
        <v>#N/A</v>
      </c>
      <c r="AA576" s="532" t="e">
        <f t="shared" si="125"/>
        <v>#N/A</v>
      </c>
      <c r="AB576" s="532" t="e">
        <f t="shared" si="125"/>
        <v>#N/A</v>
      </c>
      <c r="AC576" s="532" t="e">
        <f t="shared" si="125"/>
        <v>#N/A</v>
      </c>
      <c r="AD576" s="532">
        <f t="shared" si="125"/>
        <v>78.102820000000008</v>
      </c>
      <c r="AE576" s="532" t="e">
        <f t="shared" si="125"/>
        <v>#N/A</v>
      </c>
      <c r="AF576" s="532" t="e">
        <f t="shared" si="125"/>
        <v>#N/A</v>
      </c>
      <c r="AG576" s="532" t="e">
        <f t="shared" si="125"/>
        <v>#N/A</v>
      </c>
      <c r="AH576" s="532" t="e">
        <f t="shared" si="125"/>
        <v>#N/A</v>
      </c>
      <c r="AI576" s="532">
        <f t="shared" si="125"/>
        <v>0</v>
      </c>
      <c r="AJ576" s="532">
        <f t="shared" si="125"/>
        <v>0</v>
      </c>
      <c r="AK576" s="532">
        <f t="shared" si="125"/>
        <v>0</v>
      </c>
      <c r="AL576" s="532">
        <f t="shared" si="125"/>
        <v>0</v>
      </c>
      <c r="AM576" s="532">
        <f t="shared" si="125"/>
        <v>0</v>
      </c>
      <c r="AN576" s="380"/>
      <c r="AO576" s="380"/>
      <c r="AP576" s="380"/>
      <c r="AQ576" s="380"/>
      <c r="AR576" s="380"/>
      <c r="AS576" s="380"/>
      <c r="AT576" s="380"/>
      <c r="AU576" s="380"/>
      <c r="AV576" s="380"/>
      <c r="AW576" s="380"/>
      <c r="AX576" s="183"/>
      <c r="AY576" s="183"/>
      <c r="AZ576" s="183"/>
    </row>
    <row r="577" spans="1:163">
      <c r="A577" s="134" t="s">
        <v>1385</v>
      </c>
    </row>
    <row r="578" spans="1:163" s="104" customFormat="1" ht="14.25" outlineLevel="1">
      <c r="A578" s="295" t="str">
        <f ca="1">OFFSET(A578,-1,0)</f>
        <v>et_List15_1</v>
      </c>
      <c r="D578" s="607" t="s">
        <v>1659</v>
      </c>
      <c r="E578" s="104">
        <f>M578</f>
        <v>0</v>
      </c>
      <c r="K578" s="135" t="s">
        <v>264</v>
      </c>
      <c r="L578" s="375" t="s">
        <v>1386</v>
      </c>
      <c r="M578" s="562"/>
      <c r="N578" s="377" t="s">
        <v>351</v>
      </c>
      <c r="O578" s="378"/>
      <c r="P578" s="378"/>
      <c r="Q578" s="378"/>
      <c r="R578" s="379">
        <f>Q578-P578</f>
        <v>0</v>
      </c>
      <c r="S578" s="378"/>
      <c r="T578" s="378"/>
      <c r="U578" s="403"/>
      <c r="V578" s="403"/>
      <c r="W578" s="403"/>
      <c r="X578" s="403"/>
      <c r="Y578" s="403"/>
      <c r="Z578" s="403"/>
      <c r="AA578" s="403"/>
      <c r="AB578" s="403"/>
      <c r="AC578" s="403"/>
      <c r="AD578" s="378"/>
      <c r="AE578" s="403"/>
      <c r="AF578" s="403"/>
      <c r="AG578" s="403"/>
      <c r="AH578" s="403"/>
      <c r="AI578" s="403"/>
      <c r="AJ578" s="403"/>
      <c r="AK578" s="403"/>
      <c r="AL578" s="403"/>
      <c r="AM578" s="403"/>
      <c r="AN578" s="379">
        <f>IF(S578=0,0,(AD578-S578)/S578*100)</f>
        <v>0</v>
      </c>
      <c r="AO578" s="403"/>
      <c r="AP578" s="403"/>
      <c r="AQ578" s="403"/>
      <c r="AR578" s="403"/>
      <c r="AS578" s="403"/>
      <c r="AT578" s="403"/>
      <c r="AU578" s="403"/>
      <c r="AV578" s="403"/>
      <c r="AW578" s="403"/>
      <c r="AX578" s="183"/>
      <c r="AY578" s="183"/>
      <c r="AZ578" s="183"/>
    </row>
    <row r="579" spans="1:163">
      <c r="A579" s="578"/>
    </row>
    <row r="580" spans="1:163" s="131" customFormat="1" ht="30" customHeight="1">
      <c r="A580" s="130" t="s">
        <v>1070</v>
      </c>
      <c r="M580" s="132"/>
      <c r="N580" s="132"/>
      <c r="O580" s="132"/>
      <c r="P580" s="132"/>
      <c r="AA580" s="133"/>
    </row>
    <row r="581" spans="1:163">
      <c r="A581" s="134" t="s">
        <v>1071</v>
      </c>
    </row>
    <row r="582" spans="1:163" s="295" customFormat="1" ht="15" customHeight="1">
      <c r="A582" s="172" t="s">
        <v>18</v>
      </c>
      <c r="F582" s="295" t="str">
        <f>INDEX('Общие сведения'!$N$114:$N$127,MATCH($A582,'Общие сведения'!$D$114:$D$127,0))</f>
        <v>одноставочный</v>
      </c>
      <c r="G582" s="296"/>
      <c r="L582" s="710" t="s">
        <v>16</v>
      </c>
      <c r="M582" s="711"/>
      <c r="N582" s="345" t="str">
        <f>"Тариф " &amp; A582</f>
        <v>Тариф 1</v>
      </c>
      <c r="O582" s="346"/>
      <c r="P582" s="346"/>
      <c r="Q582" s="346"/>
      <c r="R582" s="346"/>
      <c r="S582" s="346"/>
      <c r="T582" s="346"/>
      <c r="U582" s="346"/>
      <c r="V582" s="346"/>
      <c r="W582" s="346"/>
      <c r="X582" s="346"/>
      <c r="Y582" s="346"/>
      <c r="Z582" s="346"/>
      <c r="AA582" s="346"/>
      <c r="AB582" s="346"/>
      <c r="AC582" s="346"/>
      <c r="AD582" s="346"/>
      <c r="AE582" s="346"/>
      <c r="AF582" s="346"/>
      <c r="AG582" s="346"/>
      <c r="AH582" s="346"/>
      <c r="AI582" s="346"/>
      <c r="AJ582" s="346"/>
      <c r="AK582" s="346"/>
      <c r="AL582" s="346"/>
      <c r="AM582" s="346"/>
      <c r="AN582" s="346"/>
      <c r="AO582" s="346"/>
      <c r="AP582" s="346"/>
      <c r="AQ582" s="346"/>
      <c r="AR582" s="346"/>
      <c r="AS582" s="346"/>
      <c r="AT582" s="346"/>
      <c r="AU582" s="346"/>
      <c r="AV582" s="346"/>
      <c r="AW582" s="346"/>
      <c r="AX582" s="346"/>
      <c r="AY582" s="346"/>
      <c r="AZ582" s="346"/>
      <c r="BA582" s="346"/>
      <c r="BB582" s="346"/>
      <c r="BC582" s="346"/>
      <c r="BD582" s="346"/>
      <c r="BE582" s="346"/>
      <c r="BF582" s="346"/>
      <c r="BG582" s="346"/>
      <c r="BH582" s="346"/>
      <c r="BI582" s="346"/>
      <c r="BJ582" s="346"/>
      <c r="BK582" s="346"/>
      <c r="BL582" s="346"/>
      <c r="BM582" s="346"/>
      <c r="BN582" s="346"/>
      <c r="BO582" s="346"/>
      <c r="BP582" s="346"/>
      <c r="BQ582" s="346"/>
      <c r="BR582" s="346"/>
      <c r="BS582" s="346"/>
      <c r="BT582" s="346"/>
      <c r="BU582" s="346"/>
      <c r="BV582" s="346"/>
      <c r="BW582" s="346"/>
      <c r="BX582" s="346"/>
      <c r="BY582" s="346"/>
      <c r="BZ582" s="346"/>
      <c r="CA582" s="346"/>
      <c r="CB582" s="346"/>
      <c r="CC582" s="346"/>
      <c r="CD582" s="346"/>
      <c r="CE582" s="346"/>
      <c r="CF582" s="346"/>
      <c r="CG582" s="346"/>
      <c r="CH582" s="346"/>
      <c r="CI582" s="346"/>
      <c r="CJ582" s="346"/>
      <c r="CK582" s="346"/>
      <c r="CL582" s="346"/>
      <c r="CM582" s="346"/>
      <c r="CN582" s="346"/>
      <c r="CO582" s="346"/>
      <c r="CP582" s="346"/>
      <c r="CQ582" s="346"/>
      <c r="CR582" s="346"/>
      <c r="CS582" s="346"/>
      <c r="CT582" s="346"/>
      <c r="CU582" s="346"/>
      <c r="CV582" s="346"/>
      <c r="CW582" s="346"/>
      <c r="CX582" s="346"/>
      <c r="CY582" s="346"/>
      <c r="CZ582" s="346"/>
      <c r="DA582" s="346"/>
      <c r="DB582" s="346"/>
      <c r="DC582" s="346"/>
      <c r="DD582" s="346"/>
      <c r="DE582" s="346"/>
      <c r="DF582" s="346"/>
      <c r="DG582" s="346"/>
      <c r="DH582" s="346"/>
      <c r="DI582" s="346"/>
      <c r="DJ582" s="346"/>
      <c r="DK582" s="346"/>
      <c r="DL582" s="346"/>
      <c r="DM582" s="346"/>
      <c r="DN582" s="346"/>
      <c r="DO582" s="346"/>
      <c r="DP582" s="346"/>
      <c r="DQ582" s="346"/>
      <c r="DR582" s="346"/>
      <c r="DS582" s="346"/>
      <c r="DT582" s="346"/>
      <c r="DU582" s="346"/>
      <c r="DV582" s="346"/>
      <c r="DW582" s="346"/>
      <c r="DX582" s="346"/>
      <c r="DY582" s="346"/>
      <c r="DZ582" s="346"/>
      <c r="EA582" s="346"/>
      <c r="EB582" s="346"/>
      <c r="EC582" s="346"/>
      <c r="ED582" s="346"/>
      <c r="EE582" s="346"/>
      <c r="EF582" s="346"/>
      <c r="EG582" s="346"/>
      <c r="EH582" s="346"/>
      <c r="EI582" s="346"/>
      <c r="EJ582" s="346"/>
      <c r="EK582" s="346"/>
      <c r="EL582" s="346"/>
      <c r="EM582" s="346"/>
      <c r="EN582" s="346"/>
      <c r="EO582" s="346"/>
      <c r="EP582" s="346"/>
      <c r="EQ582" s="346"/>
      <c r="ER582" s="346"/>
      <c r="ES582" s="346"/>
      <c r="ET582" s="346"/>
      <c r="EU582" s="346"/>
      <c r="EV582" s="346"/>
      <c r="EW582" s="346"/>
      <c r="EX582" s="346"/>
      <c r="EY582" s="346"/>
      <c r="EZ582" s="346"/>
      <c r="FA582" s="346"/>
      <c r="FB582" s="346"/>
      <c r="FC582" s="346"/>
      <c r="FD582" s="346"/>
      <c r="FE582" s="346"/>
      <c r="FF582" s="346"/>
      <c r="FG582" s="347"/>
    </row>
    <row r="583" spans="1:163" s="295" customFormat="1" ht="15" customHeight="1" outlineLevel="1">
      <c r="A583" s="295" t="str">
        <f>A582</f>
        <v>1</v>
      </c>
      <c r="L583" s="712" t="s">
        <v>656</v>
      </c>
      <c r="M583" s="713"/>
      <c r="N583" s="345" t="str">
        <f>INDEX('Общие сведения'!$K$114:$K$127,MATCH($A583,'Общие сведения'!$D$114:$D$127,0))</f>
        <v>питьевая вода</v>
      </c>
      <c r="O583" s="348"/>
      <c r="P583" s="348"/>
      <c r="Q583" s="348"/>
      <c r="R583" s="348"/>
      <c r="S583" s="348"/>
      <c r="T583" s="348"/>
      <c r="U583" s="348"/>
      <c r="V583" s="348"/>
      <c r="W583" s="348"/>
      <c r="X583" s="348"/>
      <c r="Y583" s="348"/>
      <c r="Z583" s="348"/>
      <c r="AA583" s="348"/>
      <c r="AB583" s="348"/>
      <c r="AC583" s="348"/>
      <c r="AD583" s="348"/>
      <c r="AE583" s="348"/>
      <c r="AF583" s="348"/>
      <c r="AG583" s="348"/>
      <c r="AH583" s="348"/>
      <c r="AI583" s="348"/>
      <c r="AJ583" s="348"/>
      <c r="AK583" s="348"/>
      <c r="AL583" s="348"/>
      <c r="AM583" s="348"/>
      <c r="AN583" s="348"/>
      <c r="AO583" s="348"/>
      <c r="AP583" s="348"/>
      <c r="AQ583" s="348"/>
      <c r="AR583" s="348"/>
      <c r="AS583" s="348"/>
      <c r="AT583" s="348"/>
      <c r="AU583" s="348"/>
      <c r="AV583" s="348"/>
      <c r="AW583" s="348"/>
      <c r="AX583" s="348"/>
      <c r="AY583" s="348"/>
      <c r="AZ583" s="348"/>
      <c r="BA583" s="348"/>
      <c r="BB583" s="348"/>
      <c r="BC583" s="348"/>
      <c r="BD583" s="348"/>
      <c r="BE583" s="348"/>
      <c r="BF583" s="348"/>
      <c r="BG583" s="348"/>
      <c r="BH583" s="348"/>
      <c r="BI583" s="348"/>
      <c r="BJ583" s="348"/>
      <c r="BK583" s="348"/>
      <c r="BL583" s="348"/>
      <c r="BM583" s="348"/>
      <c r="BN583" s="348"/>
      <c r="BO583" s="348"/>
      <c r="BP583" s="348"/>
      <c r="BQ583" s="348"/>
      <c r="BR583" s="348"/>
      <c r="BS583" s="348"/>
      <c r="BT583" s="348"/>
      <c r="BU583" s="348"/>
      <c r="BV583" s="348"/>
      <c r="BW583" s="348"/>
      <c r="BX583" s="348"/>
      <c r="BY583" s="348"/>
      <c r="BZ583" s="348"/>
      <c r="CA583" s="348"/>
      <c r="CB583" s="348"/>
      <c r="CC583" s="348"/>
      <c r="CD583" s="348"/>
      <c r="CE583" s="348"/>
      <c r="CF583" s="348"/>
      <c r="CG583" s="348"/>
      <c r="CH583" s="348"/>
      <c r="CI583" s="348"/>
      <c r="CJ583" s="348"/>
      <c r="CK583" s="348"/>
      <c r="CL583" s="348"/>
      <c r="CM583" s="348"/>
      <c r="CN583" s="348"/>
      <c r="CO583" s="348"/>
      <c r="CP583" s="348"/>
      <c r="CQ583" s="348"/>
      <c r="CR583" s="348"/>
      <c r="CS583" s="348"/>
      <c r="CT583" s="348"/>
      <c r="CU583" s="348"/>
      <c r="CV583" s="348"/>
      <c r="CW583" s="348"/>
      <c r="CX583" s="348"/>
      <c r="CY583" s="348"/>
      <c r="CZ583" s="348"/>
      <c r="DA583" s="348"/>
      <c r="DB583" s="348"/>
      <c r="DC583" s="348"/>
      <c r="DD583" s="348"/>
      <c r="DE583" s="348"/>
      <c r="DF583" s="348"/>
      <c r="DG583" s="348"/>
      <c r="DH583" s="348"/>
      <c r="DI583" s="348"/>
      <c r="DJ583" s="348"/>
      <c r="DK583" s="348"/>
      <c r="DL583" s="348"/>
      <c r="DM583" s="348"/>
      <c r="DN583" s="348"/>
      <c r="DO583" s="348"/>
      <c r="DP583" s="348"/>
      <c r="DQ583" s="348"/>
      <c r="DR583" s="348"/>
      <c r="DS583" s="348"/>
      <c r="DT583" s="348"/>
      <c r="DU583" s="348"/>
      <c r="DV583" s="348"/>
      <c r="DW583" s="348"/>
      <c r="DX583" s="348"/>
      <c r="DY583" s="348"/>
      <c r="DZ583" s="348"/>
      <c r="EA583" s="348"/>
      <c r="EB583" s="348"/>
      <c r="EC583" s="348"/>
      <c r="ED583" s="348"/>
      <c r="EE583" s="348"/>
      <c r="EF583" s="348"/>
      <c r="EG583" s="348"/>
      <c r="EH583" s="348"/>
      <c r="EI583" s="348"/>
      <c r="EJ583" s="348"/>
      <c r="EK583" s="348"/>
      <c r="EL583" s="348"/>
      <c r="EM583" s="348"/>
      <c r="EN583" s="348"/>
      <c r="EO583" s="348"/>
      <c r="EP583" s="348"/>
      <c r="EQ583" s="348"/>
      <c r="ER583" s="348"/>
      <c r="ES583" s="348"/>
      <c r="ET583" s="348"/>
      <c r="EU583" s="348"/>
      <c r="EV583" s="348"/>
      <c r="EW583" s="348"/>
      <c r="EX583" s="348"/>
      <c r="EY583" s="348"/>
      <c r="EZ583" s="348"/>
      <c r="FA583" s="348"/>
      <c r="FB583" s="348"/>
      <c r="FC583" s="348"/>
      <c r="FD583" s="348"/>
      <c r="FE583" s="348"/>
      <c r="FF583" s="348"/>
      <c r="FG583" s="349"/>
    </row>
    <row r="584" spans="1:163" s="295" customFormat="1" ht="15" customHeight="1" outlineLevel="1">
      <c r="A584" s="295" t="str">
        <f t="shared" ref="A584:A621" si="126">A583</f>
        <v>1</v>
      </c>
      <c r="L584" s="712" t="s">
        <v>657</v>
      </c>
      <c r="M584" s="713"/>
      <c r="N584" s="345" t="str">
        <f>INDEX('Общие сведения'!$L$114:$L$127,MATCH($A584,'Общие сведения'!$D$114:$D$127,0))</f>
        <v>тариф на питьевую воду</v>
      </c>
      <c r="O584" s="348"/>
      <c r="P584" s="348"/>
      <c r="Q584" s="348"/>
      <c r="R584" s="348"/>
      <c r="S584" s="348"/>
      <c r="T584" s="348"/>
      <c r="U584" s="348"/>
      <c r="V584" s="348"/>
      <c r="W584" s="348"/>
      <c r="X584" s="348"/>
      <c r="Y584" s="348"/>
      <c r="Z584" s="348"/>
      <c r="AA584" s="348"/>
      <c r="AB584" s="348"/>
      <c r="AC584" s="348"/>
      <c r="AD584" s="348"/>
      <c r="AE584" s="348"/>
      <c r="AF584" s="348"/>
      <c r="AG584" s="348"/>
      <c r="AH584" s="348"/>
      <c r="AI584" s="348"/>
      <c r="AJ584" s="348"/>
      <c r="AK584" s="348"/>
      <c r="AL584" s="348"/>
      <c r="AM584" s="348"/>
      <c r="AN584" s="348"/>
      <c r="AO584" s="348"/>
      <c r="AP584" s="348"/>
      <c r="AQ584" s="348"/>
      <c r="AR584" s="348"/>
      <c r="AS584" s="348"/>
      <c r="AT584" s="348"/>
      <c r="AU584" s="348"/>
      <c r="AV584" s="348"/>
      <c r="AW584" s="348"/>
      <c r="AX584" s="348"/>
      <c r="AY584" s="348"/>
      <c r="AZ584" s="348"/>
      <c r="BA584" s="348"/>
      <c r="BB584" s="348"/>
      <c r="BC584" s="348"/>
      <c r="BD584" s="348"/>
      <c r="BE584" s="348"/>
      <c r="BF584" s="348"/>
      <c r="BG584" s="348"/>
      <c r="BH584" s="348"/>
      <c r="BI584" s="348"/>
      <c r="BJ584" s="348"/>
      <c r="BK584" s="348"/>
      <c r="BL584" s="348"/>
      <c r="BM584" s="348"/>
      <c r="BN584" s="348"/>
      <c r="BO584" s="348"/>
      <c r="BP584" s="348"/>
      <c r="BQ584" s="348"/>
      <c r="BR584" s="348"/>
      <c r="BS584" s="348"/>
      <c r="BT584" s="348"/>
      <c r="BU584" s="348"/>
      <c r="BV584" s="348"/>
      <c r="BW584" s="348"/>
      <c r="BX584" s="348"/>
      <c r="BY584" s="348"/>
      <c r="BZ584" s="348"/>
      <c r="CA584" s="348"/>
      <c r="CB584" s="348"/>
      <c r="CC584" s="348"/>
      <c r="CD584" s="348"/>
      <c r="CE584" s="348"/>
      <c r="CF584" s="348"/>
      <c r="CG584" s="348"/>
      <c r="CH584" s="348"/>
      <c r="CI584" s="348"/>
      <c r="CJ584" s="348"/>
      <c r="CK584" s="348"/>
      <c r="CL584" s="348"/>
      <c r="CM584" s="348"/>
      <c r="CN584" s="348"/>
      <c r="CO584" s="348"/>
      <c r="CP584" s="348"/>
      <c r="CQ584" s="348"/>
      <c r="CR584" s="348"/>
      <c r="CS584" s="348"/>
      <c r="CT584" s="348"/>
      <c r="CU584" s="348"/>
      <c r="CV584" s="348"/>
      <c r="CW584" s="348"/>
      <c r="CX584" s="348"/>
      <c r="CY584" s="348"/>
      <c r="CZ584" s="348"/>
      <c r="DA584" s="348"/>
      <c r="DB584" s="348"/>
      <c r="DC584" s="348"/>
      <c r="DD584" s="348"/>
      <c r="DE584" s="348"/>
      <c r="DF584" s="348"/>
      <c r="DG584" s="348"/>
      <c r="DH584" s="348"/>
      <c r="DI584" s="348"/>
      <c r="DJ584" s="348"/>
      <c r="DK584" s="348"/>
      <c r="DL584" s="348"/>
      <c r="DM584" s="348"/>
      <c r="DN584" s="348"/>
      <c r="DO584" s="348"/>
      <c r="DP584" s="348"/>
      <c r="DQ584" s="348"/>
      <c r="DR584" s="348"/>
      <c r="DS584" s="348"/>
      <c r="DT584" s="348"/>
      <c r="DU584" s="348"/>
      <c r="DV584" s="348"/>
      <c r="DW584" s="348"/>
      <c r="DX584" s="348"/>
      <c r="DY584" s="348"/>
      <c r="DZ584" s="348"/>
      <c r="EA584" s="348"/>
      <c r="EB584" s="348"/>
      <c r="EC584" s="348"/>
      <c r="ED584" s="348"/>
      <c r="EE584" s="348"/>
      <c r="EF584" s="348"/>
      <c r="EG584" s="348"/>
      <c r="EH584" s="348"/>
      <c r="EI584" s="348"/>
      <c r="EJ584" s="348"/>
      <c r="EK584" s="348"/>
      <c r="EL584" s="348"/>
      <c r="EM584" s="348"/>
      <c r="EN584" s="348"/>
      <c r="EO584" s="348"/>
      <c r="EP584" s="348"/>
      <c r="EQ584" s="348"/>
      <c r="ER584" s="348"/>
      <c r="ES584" s="348"/>
      <c r="ET584" s="348"/>
      <c r="EU584" s="348"/>
      <c r="EV584" s="348"/>
      <c r="EW584" s="348"/>
      <c r="EX584" s="348"/>
      <c r="EY584" s="348"/>
      <c r="EZ584" s="348"/>
      <c r="FA584" s="348"/>
      <c r="FB584" s="348"/>
      <c r="FC584" s="348"/>
      <c r="FD584" s="348"/>
      <c r="FE584" s="348"/>
      <c r="FF584" s="348"/>
      <c r="FG584" s="349"/>
    </row>
    <row r="585" spans="1:163" s="295" customFormat="1" ht="15" customHeight="1" outlineLevel="1">
      <c r="A585" s="295" t="str">
        <f t="shared" si="126"/>
        <v>1</v>
      </c>
      <c r="L585" s="712" t="s">
        <v>263</v>
      </c>
      <c r="M585" s="713"/>
      <c r="N585" s="345">
        <f>INDEX('Общие сведения'!$M$114:$M$127,MATCH($A585,'Общие сведения'!$D$114:$D$127,0))</f>
        <v>0</v>
      </c>
      <c r="O585" s="348"/>
      <c r="P585" s="348"/>
      <c r="Q585" s="348"/>
      <c r="R585" s="348"/>
      <c r="S585" s="348"/>
      <c r="T585" s="348"/>
      <c r="U585" s="348"/>
      <c r="V585" s="348"/>
      <c r="W585" s="348"/>
      <c r="X585" s="348"/>
      <c r="Y585" s="348"/>
      <c r="Z585" s="348"/>
      <c r="AA585" s="348"/>
      <c r="AB585" s="348"/>
      <c r="AC585" s="348"/>
      <c r="AD585" s="348"/>
      <c r="AE585" s="348"/>
      <c r="AF585" s="348"/>
      <c r="AG585" s="348"/>
      <c r="AH585" s="348"/>
      <c r="AI585" s="348"/>
      <c r="AJ585" s="348"/>
      <c r="AK585" s="348"/>
      <c r="AL585" s="348"/>
      <c r="AM585" s="348"/>
      <c r="AN585" s="348"/>
      <c r="AO585" s="348"/>
      <c r="AP585" s="348"/>
      <c r="AQ585" s="348"/>
      <c r="AR585" s="348"/>
      <c r="AS585" s="348"/>
      <c r="AT585" s="348"/>
      <c r="AU585" s="348"/>
      <c r="AV585" s="348"/>
      <c r="AW585" s="348"/>
      <c r="AX585" s="348"/>
      <c r="AY585" s="348"/>
      <c r="AZ585" s="348"/>
      <c r="BA585" s="348"/>
      <c r="BB585" s="348"/>
      <c r="BC585" s="348"/>
      <c r="BD585" s="348"/>
      <c r="BE585" s="348"/>
      <c r="BF585" s="348"/>
      <c r="BG585" s="348"/>
      <c r="BH585" s="348"/>
      <c r="BI585" s="348"/>
      <c r="BJ585" s="348"/>
      <c r="BK585" s="348"/>
      <c r="BL585" s="348"/>
      <c r="BM585" s="348"/>
      <c r="BN585" s="348"/>
      <c r="BO585" s="348"/>
      <c r="BP585" s="348"/>
      <c r="BQ585" s="348"/>
      <c r="BR585" s="348"/>
      <c r="BS585" s="348"/>
      <c r="BT585" s="348"/>
      <c r="BU585" s="348"/>
      <c r="BV585" s="348"/>
      <c r="BW585" s="348"/>
      <c r="BX585" s="348"/>
      <c r="BY585" s="348"/>
      <c r="BZ585" s="348"/>
      <c r="CA585" s="348"/>
      <c r="CB585" s="348"/>
      <c r="CC585" s="348"/>
      <c r="CD585" s="348"/>
      <c r="CE585" s="348"/>
      <c r="CF585" s="348"/>
      <c r="CG585" s="348"/>
      <c r="CH585" s="348"/>
      <c r="CI585" s="348"/>
      <c r="CJ585" s="348"/>
      <c r="CK585" s="348"/>
      <c r="CL585" s="348"/>
      <c r="CM585" s="348"/>
      <c r="CN585" s="348"/>
      <c r="CO585" s="348"/>
      <c r="CP585" s="348"/>
      <c r="CQ585" s="348"/>
      <c r="CR585" s="348"/>
      <c r="CS585" s="348"/>
      <c r="CT585" s="348"/>
      <c r="CU585" s="348"/>
      <c r="CV585" s="348"/>
      <c r="CW585" s="348"/>
      <c r="CX585" s="348"/>
      <c r="CY585" s="348"/>
      <c r="CZ585" s="348"/>
      <c r="DA585" s="348"/>
      <c r="DB585" s="348"/>
      <c r="DC585" s="348"/>
      <c r="DD585" s="348"/>
      <c r="DE585" s="348"/>
      <c r="DF585" s="348"/>
      <c r="DG585" s="348"/>
      <c r="DH585" s="348"/>
      <c r="DI585" s="348"/>
      <c r="DJ585" s="348"/>
      <c r="DK585" s="348"/>
      <c r="DL585" s="348"/>
      <c r="DM585" s="348"/>
      <c r="DN585" s="348"/>
      <c r="DO585" s="348"/>
      <c r="DP585" s="348"/>
      <c r="DQ585" s="348"/>
      <c r="DR585" s="348"/>
      <c r="DS585" s="348"/>
      <c r="DT585" s="348"/>
      <c r="DU585" s="348"/>
      <c r="DV585" s="348"/>
      <c r="DW585" s="348"/>
      <c r="DX585" s="348"/>
      <c r="DY585" s="348"/>
      <c r="DZ585" s="348"/>
      <c r="EA585" s="348"/>
      <c r="EB585" s="348"/>
      <c r="EC585" s="348"/>
      <c r="ED585" s="348"/>
      <c r="EE585" s="348"/>
      <c r="EF585" s="348"/>
      <c r="EG585" s="348"/>
      <c r="EH585" s="348"/>
      <c r="EI585" s="348"/>
      <c r="EJ585" s="348"/>
      <c r="EK585" s="348"/>
      <c r="EL585" s="348"/>
      <c r="EM585" s="348"/>
      <c r="EN585" s="348"/>
      <c r="EO585" s="348"/>
      <c r="EP585" s="348"/>
      <c r="EQ585" s="348"/>
      <c r="ER585" s="348"/>
      <c r="ES585" s="348"/>
      <c r="ET585" s="348"/>
      <c r="EU585" s="348"/>
      <c r="EV585" s="348"/>
      <c r="EW585" s="348"/>
      <c r="EX585" s="348"/>
      <c r="EY585" s="348"/>
      <c r="EZ585" s="348"/>
      <c r="FA585" s="348"/>
      <c r="FB585" s="348"/>
      <c r="FC585" s="348"/>
      <c r="FD585" s="348"/>
      <c r="FE585" s="348"/>
      <c r="FF585" s="348"/>
      <c r="FG585" s="349"/>
    </row>
    <row r="586" spans="1:163" s="295" customFormat="1" ht="15" customHeight="1" outlineLevel="1">
      <c r="A586" s="295" t="str">
        <f t="shared" si="126"/>
        <v>1</v>
      </c>
      <c r="G586" s="295" t="b">
        <f>F582="одноставочный"</f>
        <v>1</v>
      </c>
      <c r="L586" s="350" t="s">
        <v>658</v>
      </c>
      <c r="M586" s="351"/>
      <c r="N586" s="352"/>
      <c r="O586" s="352"/>
      <c r="P586" s="352"/>
      <c r="Q586" s="352"/>
      <c r="R586" s="352"/>
      <c r="S586" s="352"/>
      <c r="T586" s="352"/>
      <c r="U586" s="352"/>
      <c r="V586" s="352"/>
      <c r="W586" s="352"/>
      <c r="X586" s="352"/>
      <c r="Y586" s="352"/>
      <c r="Z586" s="352"/>
      <c r="AA586" s="352"/>
      <c r="AB586" s="352"/>
      <c r="AC586" s="352"/>
      <c r="AD586" s="352"/>
      <c r="AE586" s="352"/>
      <c r="AF586" s="352"/>
      <c r="AG586" s="352"/>
      <c r="AH586" s="352"/>
      <c r="AI586" s="352"/>
      <c r="AJ586" s="352"/>
      <c r="AK586" s="352"/>
      <c r="AL586" s="352"/>
      <c r="AM586" s="352"/>
      <c r="AN586" s="352"/>
      <c r="AO586" s="352"/>
      <c r="AP586" s="352"/>
      <c r="AQ586" s="352"/>
      <c r="AR586" s="352"/>
      <c r="AS586" s="352"/>
      <c r="AT586" s="353"/>
      <c r="AU586" s="352"/>
      <c r="AV586" s="352"/>
      <c r="AW586" s="353"/>
      <c r="AX586" s="352"/>
      <c r="AY586" s="352"/>
      <c r="AZ586" s="353"/>
      <c r="BA586" s="352"/>
      <c r="BB586" s="352"/>
      <c r="BC586" s="353"/>
      <c r="BD586" s="352"/>
      <c r="BE586" s="352"/>
      <c r="BF586" s="353"/>
      <c r="BG586" s="352"/>
      <c r="BH586" s="352"/>
      <c r="BI586" s="353"/>
      <c r="BJ586" s="352"/>
      <c r="BK586" s="352"/>
      <c r="BL586" s="353"/>
      <c r="BM586" s="352"/>
      <c r="BN586" s="352"/>
      <c r="BO586" s="353"/>
      <c r="BP586" s="352"/>
      <c r="BQ586" s="352"/>
      <c r="BR586" s="353"/>
      <c r="BS586" s="352"/>
      <c r="BT586" s="352"/>
      <c r="BU586" s="353"/>
      <c r="BV586" s="352"/>
      <c r="BW586" s="352"/>
      <c r="BX586" s="353"/>
      <c r="BY586" s="352"/>
      <c r="BZ586" s="352"/>
      <c r="CA586" s="353"/>
      <c r="CB586" s="352"/>
      <c r="CC586" s="352"/>
      <c r="CD586" s="353"/>
      <c r="CE586" s="352"/>
      <c r="CF586" s="352"/>
      <c r="CG586" s="353"/>
      <c r="CH586" s="352"/>
      <c r="CI586" s="352"/>
      <c r="CJ586" s="353"/>
      <c r="CK586" s="352"/>
      <c r="CL586" s="352"/>
      <c r="CM586" s="353"/>
      <c r="CN586" s="352"/>
      <c r="CO586" s="352"/>
      <c r="CP586" s="353"/>
      <c r="CQ586" s="352"/>
      <c r="CR586" s="352"/>
      <c r="CS586" s="353"/>
      <c r="CT586" s="352"/>
      <c r="CU586" s="352"/>
      <c r="CV586" s="353"/>
      <c r="CW586" s="352"/>
      <c r="CX586" s="352"/>
      <c r="CY586" s="353"/>
      <c r="CZ586" s="352"/>
      <c r="DA586" s="352"/>
      <c r="DB586" s="353"/>
      <c r="DC586" s="352"/>
      <c r="DD586" s="352"/>
      <c r="DE586" s="353"/>
      <c r="DF586" s="352"/>
      <c r="DG586" s="352"/>
      <c r="DH586" s="353"/>
      <c r="DI586" s="352"/>
      <c r="DJ586" s="352"/>
      <c r="DK586" s="353"/>
      <c r="DL586" s="352"/>
      <c r="DM586" s="352"/>
      <c r="DN586" s="353"/>
      <c r="DO586" s="352"/>
      <c r="DP586" s="352"/>
      <c r="DQ586" s="353"/>
      <c r="DR586" s="352"/>
      <c r="DS586" s="352"/>
      <c r="DT586" s="353"/>
      <c r="DU586" s="352"/>
      <c r="DV586" s="352"/>
      <c r="DW586" s="353"/>
      <c r="DX586" s="352"/>
      <c r="DY586" s="352"/>
      <c r="DZ586" s="353"/>
      <c r="EA586" s="352"/>
      <c r="EB586" s="352"/>
      <c r="EC586" s="353"/>
      <c r="ED586" s="352"/>
      <c r="EE586" s="352"/>
      <c r="EF586" s="353"/>
      <c r="EG586" s="352"/>
      <c r="EH586" s="352"/>
      <c r="EI586" s="353"/>
      <c r="EJ586" s="352"/>
      <c r="EK586" s="352"/>
      <c r="EL586" s="353"/>
      <c r="EM586" s="352"/>
      <c r="EN586" s="352"/>
      <c r="EO586" s="353"/>
      <c r="EP586" s="352"/>
      <c r="EQ586" s="352"/>
      <c r="ER586" s="353"/>
      <c r="ES586" s="352"/>
      <c r="ET586" s="352"/>
      <c r="EU586" s="353"/>
      <c r="EV586" s="352"/>
      <c r="EW586" s="352"/>
      <c r="EX586" s="353"/>
      <c r="EY586" s="352"/>
      <c r="EZ586" s="352"/>
      <c r="FA586" s="353"/>
      <c r="FB586" s="352"/>
      <c r="FC586" s="352"/>
      <c r="FD586" s="353"/>
      <c r="FE586" s="352"/>
      <c r="FF586" s="352"/>
      <c r="FG586" s="353"/>
    </row>
    <row r="587" spans="1:163" s="354" customFormat="1" ht="15" customHeight="1" outlineLevel="1">
      <c r="A587" s="295" t="str">
        <f t="shared" si="126"/>
        <v>1</v>
      </c>
      <c r="B587" s="295" t="s">
        <v>1167</v>
      </c>
      <c r="C587" s="598" t="s">
        <v>1491</v>
      </c>
      <c r="D587" s="598" t="s">
        <v>1718</v>
      </c>
      <c r="G587" s="295" t="b">
        <f>F582="одноставочный"</f>
        <v>1</v>
      </c>
      <c r="L587" s="355" t="s">
        <v>1105</v>
      </c>
      <c r="M587" s="356" t="s">
        <v>652</v>
      </c>
      <c r="N587" s="357" t="e">
        <f>SUMIFS(INDEX(Калькуляция!$T$15:$AM$141,,MATCH(N$3,Калькуляция!$T$3:$AM$3,0)),Калькуляция!$A$15:$A$141,$A587,Калькуляция!$B$15:$B$141,$B587)</f>
        <v>#N/A</v>
      </c>
      <c r="O587" s="357" t="e">
        <f>SUMIFS(INDEX(Калькуляция!$T$15:$AM$141,,MATCH(O$3,Калькуляция!$T$3:$AM$3,0)),Калькуляция!$A$15:$A$141,$A587,Калькуляция!$B$15:$B$141,$B587)</f>
        <v>#N/A</v>
      </c>
      <c r="P587" s="358" t="e">
        <f>IF(N587=0,0,(O587-N587)/N587*100)</f>
        <v>#N/A</v>
      </c>
      <c r="Q587" s="357" t="e">
        <f>SUMIFS(INDEX(Калькуляция!$T$15:$AM$141,,MATCH(Q$3,Калькуляция!$T$3:$AM$3,0)),Калькуляция!$A$15:$A$141,$A587,Калькуляция!$B$15:$B$141,$B587)</f>
        <v>#N/A</v>
      </c>
      <c r="R587" s="357" t="e">
        <f>SUMIFS(INDEX(Калькуляция!$T$15:$AM$141,,MATCH(R$3,Калькуляция!$T$3:$AM$3,0)),Калькуляция!$A$15:$A$141,$A587,Калькуляция!$B$15:$B$141,$B587)</f>
        <v>#N/A</v>
      </c>
      <c r="S587" s="358" t="e">
        <f>IF(Q587=0,0,(R587-Q587)/Q587*100)</f>
        <v>#N/A</v>
      </c>
      <c r="T587" s="357" t="e">
        <f>SUMIFS(INDEX(Калькуляция!$T$15:$AM$141,,MATCH(T$3,Калькуляция!$T$3:$AM$3,0)),Калькуляция!$A$15:$A$141,$A587,Калькуляция!$B$15:$B$141,$B587)</f>
        <v>#N/A</v>
      </c>
      <c r="U587" s="357" t="e">
        <f>SUMIFS(INDEX(Калькуляция!$T$15:$AM$141,,MATCH(U$3,Калькуляция!$T$3:$AM$3,0)),Калькуляция!$A$15:$A$141,$A587,Калькуляция!$B$15:$B$141,$B587)</f>
        <v>#N/A</v>
      </c>
      <c r="V587" s="358" t="e">
        <f>IF(T587=0,0,(U587-T587)/T587*100)</f>
        <v>#N/A</v>
      </c>
      <c r="W587" s="357" t="e">
        <f>SUMIFS(INDEX(Калькуляция!$T$15:$AM$141,,MATCH(W$3,Калькуляция!$T$3:$AM$3,0)),Калькуляция!$A$15:$A$141,$A587,Калькуляция!$B$15:$B$141,$B587)</f>
        <v>#N/A</v>
      </c>
      <c r="X587" s="357" t="e">
        <f>SUMIFS(INDEX(Калькуляция!$T$15:$AM$141,,MATCH(X$3,Калькуляция!$T$3:$AM$3,0)),Калькуляция!$A$15:$A$141,$A587,Калькуляция!$B$15:$B$141,$B587)</f>
        <v>#N/A</v>
      </c>
      <c r="Y587" s="358" t="e">
        <f>IF(W587=0,0,(X587-W587)/W587*100)</f>
        <v>#N/A</v>
      </c>
      <c r="Z587" s="357" t="e">
        <f>SUMIFS(INDEX(Калькуляция!$T$15:$AM$141,,MATCH(Z$3,Калькуляция!$T$3:$AM$3,0)),Калькуляция!$A$15:$A$141,$A587,Калькуляция!$B$15:$B$141,$B587)</f>
        <v>#N/A</v>
      </c>
      <c r="AA587" s="357" t="e">
        <f>SUMIFS(INDEX(Калькуляция!$T$15:$AM$141,,MATCH(AA$3,Калькуляция!$T$3:$AM$3,0)),Калькуляция!$A$15:$A$141,$A587,Калькуляция!$B$15:$B$141,$B587)</f>
        <v>#N/A</v>
      </c>
      <c r="AB587" s="358" t="e">
        <f>IF(Z587=0,0,(AA587-Z587)/Z587*100)</f>
        <v>#N/A</v>
      </c>
      <c r="AC587" s="357" t="e">
        <f>SUMIFS(INDEX(Калькуляция!$T$15:$AM$141,,MATCH(AC$3,Калькуляция!$T$3:$AM$3,0)),Калькуляция!$A$15:$A$141,$A587,Калькуляция!$B$15:$B$141,$B587)</f>
        <v>#N/A</v>
      </c>
      <c r="AD587" s="357" t="e">
        <f>SUMIFS(INDEX(Калькуляция!$T$15:$AM$141,,MATCH(AD$3,Калькуляция!$T$3:$AM$3,0)),Калькуляция!$A$15:$A$141,$A587,Калькуляция!$B$15:$B$141,$B587)</f>
        <v>#N/A</v>
      </c>
      <c r="AE587" s="358" t="e">
        <f>IF(AC587=0,0,(AD587-AC587)/AC587*100)</f>
        <v>#N/A</v>
      </c>
      <c r="AF587" s="357" t="e">
        <f>SUMIFS(INDEX(Калькуляция!$T$15:$AM$141,,MATCH(AF$3,Калькуляция!$T$3:$AM$3,0)),Калькуляция!$A$15:$A$141,$A587,Калькуляция!$B$15:$B$141,$B587)</f>
        <v>#N/A</v>
      </c>
      <c r="AG587" s="357" t="e">
        <f>SUMIFS(INDEX(Калькуляция!$T$15:$AM$141,,MATCH(AG$3,Калькуляция!$T$3:$AM$3,0)),Калькуляция!$A$15:$A$141,$A587,Калькуляция!$B$15:$B$141,$B587)</f>
        <v>#N/A</v>
      </c>
      <c r="AH587" s="358" t="e">
        <f>IF(AF587=0,0,(AG587-AF587)/AF587*100)</f>
        <v>#N/A</v>
      </c>
      <c r="AI587" s="357" t="e">
        <f>SUMIFS(INDEX(Калькуляция!$T$15:$AM$141,,MATCH(AI$3,Калькуляция!$T$3:$AM$3,0)),Калькуляция!$A$15:$A$141,$A587,Калькуляция!$B$15:$B$141,$B587)</f>
        <v>#N/A</v>
      </c>
      <c r="AJ587" s="357" t="e">
        <f>SUMIFS(INDEX(Калькуляция!$T$15:$AM$141,,MATCH(AJ$3,Калькуляция!$T$3:$AM$3,0)),Калькуляция!$A$15:$A$141,$A587,Калькуляция!$B$15:$B$141,$B587)</f>
        <v>#N/A</v>
      </c>
      <c r="AK587" s="358" t="e">
        <f>IF(AI587=0,0,(AJ587-AI587)/AI587*100)</f>
        <v>#N/A</v>
      </c>
      <c r="AL587" s="357" t="e">
        <f>SUMIFS(INDEX(Калькуляция!$T$15:$AM$141,,MATCH(AL$3,Калькуляция!$T$3:$AM$3,0)),Калькуляция!$A$15:$A$141,$A587,Калькуляция!$B$15:$B$141,$B587)</f>
        <v>#N/A</v>
      </c>
      <c r="AM587" s="357" t="e">
        <f>SUMIFS(INDEX(Калькуляция!$T$15:$AM$141,,MATCH(AM$3,Калькуляция!$T$3:$AM$3,0)),Калькуляция!$A$15:$A$141,$A587,Калькуляция!$B$15:$B$141,$B587)</f>
        <v>#N/A</v>
      </c>
      <c r="AN587" s="358" t="e">
        <f>IF(AL587=0,0,(AM587-AL587)/AL587*100)</f>
        <v>#N/A</v>
      </c>
      <c r="AO587" s="357" t="e">
        <f>SUMIFS(INDEX(Калькуляция!$T$15:$AM$141,,MATCH(AO$3,Калькуляция!$T$3:$AM$3,0)),Калькуляция!$A$15:$A$141,$A587,Калькуляция!$B$15:$B$141,$B587)</f>
        <v>#N/A</v>
      </c>
      <c r="AP587" s="357" t="e">
        <f>SUMIFS(INDEX(Калькуляция!$T$15:$AM$141,,MATCH(AP$3,Калькуляция!$T$3:$AM$3,0)),Калькуляция!$A$15:$A$141,$A587,Калькуляция!$B$15:$B$141,$B587)</f>
        <v>#N/A</v>
      </c>
      <c r="AQ587" s="358" t="e">
        <f>IF(AO587=0,0,(AP587-AO587)/AO587*100)</f>
        <v>#N/A</v>
      </c>
      <c r="AR587" s="357"/>
      <c r="AS587" s="357"/>
      <c r="AT587" s="358">
        <f>IF(AR587=0,0,(AS587-AR587)/AR587*100)</f>
        <v>0</v>
      </c>
      <c r="AU587" s="357"/>
      <c r="AV587" s="357"/>
      <c r="AW587" s="358">
        <f>IF(AU587=0,0,(AV587-AU587)/AU587*100)</f>
        <v>0</v>
      </c>
      <c r="AX587" s="357"/>
      <c r="AY587" s="357"/>
      <c r="AZ587" s="358">
        <f>IF(AX587=0,0,(AY587-AX587)/AX587*100)</f>
        <v>0</v>
      </c>
      <c r="BA587" s="357"/>
      <c r="BB587" s="357"/>
      <c r="BC587" s="358">
        <f>IF(BA587=0,0,(BB587-BA587)/BA587*100)</f>
        <v>0</v>
      </c>
      <c r="BD587" s="357"/>
      <c r="BE587" s="357"/>
      <c r="BF587" s="358">
        <f>IF(BD587=0,0,(BE587-BD587)/BD587*100)</f>
        <v>0</v>
      </c>
      <c r="BG587" s="357"/>
      <c r="BH587" s="357"/>
      <c r="BI587" s="358">
        <f>IF(BG587=0,0,(BH587-BG587)/BG587*100)</f>
        <v>0</v>
      </c>
      <c r="BJ587" s="357"/>
      <c r="BK587" s="357"/>
      <c r="BL587" s="358">
        <f>IF(BJ587=0,0,(BK587-BJ587)/BJ587*100)</f>
        <v>0</v>
      </c>
      <c r="BM587" s="357"/>
      <c r="BN587" s="357"/>
      <c r="BO587" s="358">
        <f>IF(BM587=0,0,(BN587-BM587)/BM587*100)</f>
        <v>0</v>
      </c>
      <c r="BP587" s="357"/>
      <c r="BQ587" s="357"/>
      <c r="BR587" s="358">
        <f>IF(BP587=0,0,(BQ587-BP587)/BP587*100)</f>
        <v>0</v>
      </c>
      <c r="BS587" s="357"/>
      <c r="BT587" s="357"/>
      <c r="BU587" s="358">
        <f>IF(BS587=0,0,(BT587-BS587)/BS587*100)</f>
        <v>0</v>
      </c>
      <c r="BV587" s="357"/>
      <c r="BW587" s="357"/>
      <c r="BX587" s="358">
        <f>IF(BV587=0,0,(BW587-BV587)/BV587*100)</f>
        <v>0</v>
      </c>
      <c r="BY587" s="357"/>
      <c r="BZ587" s="357"/>
      <c r="CA587" s="358">
        <f>IF(BY587=0,0,(BZ587-BY587)/BY587*100)</f>
        <v>0</v>
      </c>
      <c r="CB587" s="357"/>
      <c r="CC587" s="357"/>
      <c r="CD587" s="358">
        <f>IF(CB587=0,0,(CC587-CB587)/CB587*100)</f>
        <v>0</v>
      </c>
      <c r="CE587" s="357"/>
      <c r="CF587" s="357"/>
      <c r="CG587" s="358">
        <f>IF(CE587=0,0,(CF587-CE587)/CE587*100)</f>
        <v>0</v>
      </c>
      <c r="CH587" s="357"/>
      <c r="CI587" s="357"/>
      <c r="CJ587" s="358">
        <f>IF(CH587=0,0,(CI587-CH587)/CH587*100)</f>
        <v>0</v>
      </c>
      <c r="CK587" s="357"/>
      <c r="CL587" s="357"/>
      <c r="CM587" s="358">
        <f>IF(CK587=0,0,(CL587-CK587)/CK587*100)</f>
        <v>0</v>
      </c>
      <c r="CN587" s="357"/>
      <c r="CO587" s="357"/>
      <c r="CP587" s="358">
        <f>IF(CN587=0,0,(CO587-CN587)/CN587*100)</f>
        <v>0</v>
      </c>
      <c r="CQ587" s="357"/>
      <c r="CR587" s="357"/>
      <c r="CS587" s="358">
        <f>IF(CQ587=0,0,(CR587-CQ587)/CQ587*100)</f>
        <v>0</v>
      </c>
      <c r="CT587" s="357"/>
      <c r="CU587" s="357"/>
      <c r="CV587" s="358">
        <f>IF(CT587=0,0,(CU587-CT587)/CT587*100)</f>
        <v>0</v>
      </c>
      <c r="CW587" s="357"/>
      <c r="CX587" s="357"/>
      <c r="CY587" s="358">
        <f>IF(CW587=0,0,(CX587-CW587)/CW587*100)</f>
        <v>0</v>
      </c>
      <c r="CZ587" s="357"/>
      <c r="DA587" s="357"/>
      <c r="DB587" s="358">
        <f>IF(CZ587=0,0,(DA587-CZ587)/CZ587*100)</f>
        <v>0</v>
      </c>
      <c r="DC587" s="357"/>
      <c r="DD587" s="357"/>
      <c r="DE587" s="358">
        <f>IF(DC587=0,0,(DD587-DC587)/DC587*100)</f>
        <v>0</v>
      </c>
      <c r="DF587" s="357"/>
      <c r="DG587" s="357"/>
      <c r="DH587" s="358">
        <f>IF(DF587=0,0,(DG587-DF587)/DF587*100)</f>
        <v>0</v>
      </c>
      <c r="DI587" s="357"/>
      <c r="DJ587" s="357"/>
      <c r="DK587" s="358">
        <f>IF(DI587=0,0,(DJ587-DI587)/DI587*100)</f>
        <v>0</v>
      </c>
      <c r="DL587" s="357"/>
      <c r="DM587" s="357"/>
      <c r="DN587" s="358">
        <f>IF(DL587=0,0,(DM587-DL587)/DL587*100)</f>
        <v>0</v>
      </c>
      <c r="DO587" s="357"/>
      <c r="DP587" s="357"/>
      <c r="DQ587" s="358">
        <f>IF(DO587=0,0,(DP587-DO587)/DO587*100)</f>
        <v>0</v>
      </c>
      <c r="DR587" s="357"/>
      <c r="DS587" s="357"/>
      <c r="DT587" s="358">
        <f>IF(DR587=0,0,(DS587-DR587)/DR587*100)</f>
        <v>0</v>
      </c>
      <c r="DU587" s="357"/>
      <c r="DV587" s="357"/>
      <c r="DW587" s="358">
        <f>IF(DU587=0,0,(DV587-DU587)/DU587*100)</f>
        <v>0</v>
      </c>
      <c r="DX587" s="357"/>
      <c r="DY587" s="357"/>
      <c r="DZ587" s="358">
        <f>IF(DX587=0,0,(DY587-DX587)/DX587*100)</f>
        <v>0</v>
      </c>
      <c r="EA587" s="357"/>
      <c r="EB587" s="357"/>
      <c r="EC587" s="358">
        <f>IF(EA587=0,0,(EB587-EA587)/EA587*100)</f>
        <v>0</v>
      </c>
      <c r="ED587" s="357"/>
      <c r="EE587" s="357"/>
      <c r="EF587" s="358">
        <f>IF(ED587=0,0,(EE587-ED587)/ED587*100)</f>
        <v>0</v>
      </c>
      <c r="EG587" s="357"/>
      <c r="EH587" s="357"/>
      <c r="EI587" s="358">
        <f>IF(EG587=0,0,(EH587-EG587)/EG587*100)</f>
        <v>0</v>
      </c>
      <c r="EJ587" s="357"/>
      <c r="EK587" s="357"/>
      <c r="EL587" s="358">
        <f>IF(EJ587=0,0,(EK587-EJ587)/EJ587*100)</f>
        <v>0</v>
      </c>
      <c r="EM587" s="357"/>
      <c r="EN587" s="357"/>
      <c r="EO587" s="358">
        <f>IF(EM587=0,0,(EN587-EM587)/EM587*100)</f>
        <v>0</v>
      </c>
      <c r="EP587" s="357"/>
      <c r="EQ587" s="357"/>
      <c r="ER587" s="358">
        <f>IF(EP587=0,0,(EQ587-EP587)/EP587*100)</f>
        <v>0</v>
      </c>
      <c r="ES587" s="357"/>
      <c r="ET587" s="357"/>
      <c r="EU587" s="358">
        <f>IF(ES587=0,0,(ET587-ES587)/ES587*100)</f>
        <v>0</v>
      </c>
      <c r="EV587" s="357"/>
      <c r="EW587" s="357"/>
      <c r="EX587" s="358">
        <f>IF(EV587=0,0,(EW587-EV587)/EV587*100)</f>
        <v>0</v>
      </c>
      <c r="EY587" s="357"/>
      <c r="EZ587" s="357"/>
      <c r="FA587" s="358">
        <f>IF(EY587=0,0,(EZ587-EY587)/EY587*100)</f>
        <v>0</v>
      </c>
      <c r="FB587" s="357"/>
      <c r="FC587" s="357"/>
      <c r="FD587" s="358">
        <f>IF(FB587=0,0,(FC587-FB587)/FB587*100)</f>
        <v>0</v>
      </c>
      <c r="FE587" s="357"/>
      <c r="FF587" s="357"/>
      <c r="FG587" s="358">
        <f>IF(FE587=0,0,(FF587-FE587)/FE587*100)</f>
        <v>0</v>
      </c>
    </row>
    <row r="588" spans="1:163" s="354" customFormat="1" ht="15" customHeight="1" outlineLevel="1">
      <c r="A588" s="295" t="str">
        <f t="shared" si="126"/>
        <v>1</v>
      </c>
      <c r="B588" s="295" t="s">
        <v>1168</v>
      </c>
      <c r="C588" s="598" t="s">
        <v>1491</v>
      </c>
      <c r="D588" s="598" t="s">
        <v>1719</v>
      </c>
      <c r="G588" s="295" t="b">
        <f>F582="одноставочный"</f>
        <v>1</v>
      </c>
      <c r="L588" s="355" t="s">
        <v>1106</v>
      </c>
      <c r="M588" s="356" t="s">
        <v>652</v>
      </c>
      <c r="N588" s="357" t="e">
        <f>SUMIFS(INDEX(Калькуляция!$T$15:$AM$141,,MATCH(N$3,Калькуляция!$T$3:$AM$3,0)),Калькуляция!$A$15:$A$141,$A588,Калькуляция!$B$15:$B$141,$B588)</f>
        <v>#N/A</v>
      </c>
      <c r="O588" s="357" t="e">
        <f>SUMIFS(INDEX(Калькуляция!$T$15:$AM$141,,MATCH(O$3,Калькуляция!$T$3:$AM$3,0)),Калькуляция!$A$15:$A$141,$A588,Калькуляция!$B$15:$B$141,$B588)</f>
        <v>#N/A</v>
      </c>
      <c r="P588" s="358" t="e">
        <f>IF(N588=0,0,(O588-N588)/N588*100)</f>
        <v>#N/A</v>
      </c>
      <c r="Q588" s="357" t="e">
        <f>SUMIFS(INDEX(Калькуляция!$T$15:$AM$141,,MATCH(Q$3,Калькуляция!$T$3:$AM$3,0)),Калькуляция!$A$15:$A$141,$A588,Калькуляция!$B$15:$B$141,$B588)</f>
        <v>#N/A</v>
      </c>
      <c r="R588" s="357" t="e">
        <f>SUMIFS(INDEX(Калькуляция!$T$15:$AM$141,,MATCH(R$3,Калькуляция!$T$3:$AM$3,0)),Калькуляция!$A$15:$A$141,$A588,Калькуляция!$B$15:$B$141,$B588)</f>
        <v>#N/A</v>
      </c>
      <c r="S588" s="358" t="e">
        <f>IF(Q588=0,0,(R588-Q588)/Q588*100)</f>
        <v>#N/A</v>
      </c>
      <c r="T588" s="357" t="e">
        <f>SUMIFS(INDEX(Калькуляция!$T$15:$AM$141,,MATCH(T$3,Калькуляция!$T$3:$AM$3,0)),Калькуляция!$A$15:$A$141,$A588,Калькуляция!$B$15:$B$141,$B588)</f>
        <v>#N/A</v>
      </c>
      <c r="U588" s="357" t="e">
        <f>SUMIFS(INDEX(Калькуляция!$T$15:$AM$141,,MATCH(U$3,Калькуляция!$T$3:$AM$3,0)),Калькуляция!$A$15:$A$141,$A588,Калькуляция!$B$15:$B$141,$B588)</f>
        <v>#N/A</v>
      </c>
      <c r="V588" s="358" t="e">
        <f>IF(T588=0,0,(U588-T588)/T588*100)</f>
        <v>#N/A</v>
      </c>
      <c r="W588" s="357" t="e">
        <f>SUMIFS(INDEX(Калькуляция!$T$15:$AM$141,,MATCH(W$3,Калькуляция!$T$3:$AM$3,0)),Калькуляция!$A$15:$A$141,$A588,Калькуляция!$B$15:$B$141,$B588)</f>
        <v>#N/A</v>
      </c>
      <c r="X588" s="357" t="e">
        <f>SUMIFS(INDEX(Калькуляция!$T$15:$AM$141,,MATCH(X$3,Калькуляция!$T$3:$AM$3,0)),Калькуляция!$A$15:$A$141,$A588,Калькуляция!$B$15:$B$141,$B588)</f>
        <v>#N/A</v>
      </c>
      <c r="Y588" s="358" t="e">
        <f>IF(W588=0,0,(X588-W588)/W588*100)</f>
        <v>#N/A</v>
      </c>
      <c r="Z588" s="357" t="e">
        <f>SUMIFS(INDEX(Калькуляция!$T$15:$AM$141,,MATCH(Z$3,Калькуляция!$T$3:$AM$3,0)),Калькуляция!$A$15:$A$141,$A588,Калькуляция!$B$15:$B$141,$B588)</f>
        <v>#N/A</v>
      </c>
      <c r="AA588" s="357" t="e">
        <f>SUMIFS(INDEX(Калькуляция!$T$15:$AM$141,,MATCH(AA$3,Калькуляция!$T$3:$AM$3,0)),Калькуляция!$A$15:$A$141,$A588,Калькуляция!$B$15:$B$141,$B588)</f>
        <v>#N/A</v>
      </c>
      <c r="AB588" s="358" t="e">
        <f>IF(Z588=0,0,(AA588-Z588)/Z588*100)</f>
        <v>#N/A</v>
      </c>
      <c r="AC588" s="357" t="e">
        <f>SUMIFS(INDEX(Калькуляция!$T$15:$AM$141,,MATCH(AC$3,Калькуляция!$T$3:$AM$3,0)),Калькуляция!$A$15:$A$141,$A588,Калькуляция!$B$15:$B$141,$B588)</f>
        <v>#N/A</v>
      </c>
      <c r="AD588" s="357" t="e">
        <f>SUMIFS(INDEX(Калькуляция!$T$15:$AM$141,,MATCH(AD$3,Калькуляция!$T$3:$AM$3,0)),Калькуляция!$A$15:$A$141,$A588,Калькуляция!$B$15:$B$141,$B588)</f>
        <v>#N/A</v>
      </c>
      <c r="AE588" s="358" t="e">
        <f>IF(AC588=0,0,(AD588-AC588)/AC588*100)</f>
        <v>#N/A</v>
      </c>
      <c r="AF588" s="357" t="e">
        <f>SUMIFS(INDEX(Калькуляция!$T$15:$AM$141,,MATCH(AF$3,Калькуляция!$T$3:$AM$3,0)),Калькуляция!$A$15:$A$141,$A588,Калькуляция!$B$15:$B$141,$B588)</f>
        <v>#N/A</v>
      </c>
      <c r="AG588" s="357" t="e">
        <f>SUMIFS(INDEX(Калькуляция!$T$15:$AM$141,,MATCH(AG$3,Калькуляция!$T$3:$AM$3,0)),Калькуляция!$A$15:$A$141,$A588,Калькуляция!$B$15:$B$141,$B588)</f>
        <v>#N/A</v>
      </c>
      <c r="AH588" s="358" t="e">
        <f>IF(AF588=0,0,(AG588-AF588)/AF588*100)</f>
        <v>#N/A</v>
      </c>
      <c r="AI588" s="357" t="e">
        <f>SUMIFS(INDEX(Калькуляция!$T$15:$AM$141,,MATCH(AI$3,Калькуляция!$T$3:$AM$3,0)),Калькуляция!$A$15:$A$141,$A588,Калькуляция!$B$15:$B$141,$B588)</f>
        <v>#N/A</v>
      </c>
      <c r="AJ588" s="357" t="e">
        <f>SUMIFS(INDEX(Калькуляция!$T$15:$AM$141,,MATCH(AJ$3,Калькуляция!$T$3:$AM$3,0)),Калькуляция!$A$15:$A$141,$A588,Калькуляция!$B$15:$B$141,$B588)</f>
        <v>#N/A</v>
      </c>
      <c r="AK588" s="358" t="e">
        <f>IF(AI588=0,0,(AJ588-AI588)/AI588*100)</f>
        <v>#N/A</v>
      </c>
      <c r="AL588" s="357" t="e">
        <f>SUMIFS(INDEX(Калькуляция!$T$15:$AM$141,,MATCH(AL$3,Калькуляция!$T$3:$AM$3,0)),Калькуляция!$A$15:$A$141,$A588,Калькуляция!$B$15:$B$141,$B588)</f>
        <v>#N/A</v>
      </c>
      <c r="AM588" s="357" t="e">
        <f>SUMIFS(INDEX(Калькуляция!$T$15:$AM$141,,MATCH(AM$3,Калькуляция!$T$3:$AM$3,0)),Калькуляция!$A$15:$A$141,$A588,Калькуляция!$B$15:$B$141,$B588)</f>
        <v>#N/A</v>
      </c>
      <c r="AN588" s="358" t="e">
        <f>IF(AL588=0,0,(AM588-AL588)/AL588*100)</f>
        <v>#N/A</v>
      </c>
      <c r="AO588" s="357" t="e">
        <f>SUMIFS(INDEX(Калькуляция!$T$15:$AM$141,,MATCH(AO$3,Калькуляция!$T$3:$AM$3,0)),Калькуляция!$A$15:$A$141,$A588,Калькуляция!$B$15:$B$141,$B588)</f>
        <v>#N/A</v>
      </c>
      <c r="AP588" s="357" t="e">
        <f>SUMIFS(INDEX(Калькуляция!$T$15:$AM$141,,MATCH(AP$3,Калькуляция!$T$3:$AM$3,0)),Калькуляция!$A$15:$A$141,$A588,Калькуляция!$B$15:$B$141,$B588)</f>
        <v>#N/A</v>
      </c>
      <c r="AQ588" s="358" t="e">
        <f>IF(AO588=0,0,(AP588-AO588)/AO588*100)</f>
        <v>#N/A</v>
      </c>
      <c r="AR588" s="357"/>
      <c r="AS588" s="357"/>
      <c r="AT588" s="358">
        <f>IF(AR588=0,0,(AS588-AR588)/AR588*100)</f>
        <v>0</v>
      </c>
      <c r="AU588" s="357"/>
      <c r="AV588" s="357"/>
      <c r="AW588" s="358">
        <f>IF(AU588=0,0,(AV588-AU588)/AU588*100)</f>
        <v>0</v>
      </c>
      <c r="AX588" s="357"/>
      <c r="AY588" s="357"/>
      <c r="AZ588" s="358">
        <f>IF(AX588=0,0,(AY588-AX588)/AX588*100)</f>
        <v>0</v>
      </c>
      <c r="BA588" s="357"/>
      <c r="BB588" s="357"/>
      <c r="BC588" s="358">
        <f>IF(BA588=0,0,(BB588-BA588)/BA588*100)</f>
        <v>0</v>
      </c>
      <c r="BD588" s="357"/>
      <c r="BE588" s="357"/>
      <c r="BF588" s="358">
        <f>IF(BD588=0,0,(BE588-BD588)/BD588*100)</f>
        <v>0</v>
      </c>
      <c r="BG588" s="357"/>
      <c r="BH588" s="357"/>
      <c r="BI588" s="358">
        <f>IF(BG588=0,0,(BH588-BG588)/BG588*100)</f>
        <v>0</v>
      </c>
      <c r="BJ588" s="357"/>
      <c r="BK588" s="357"/>
      <c r="BL588" s="358">
        <f>IF(BJ588=0,0,(BK588-BJ588)/BJ588*100)</f>
        <v>0</v>
      </c>
      <c r="BM588" s="357"/>
      <c r="BN588" s="357"/>
      <c r="BO588" s="358">
        <f>IF(BM588=0,0,(BN588-BM588)/BM588*100)</f>
        <v>0</v>
      </c>
      <c r="BP588" s="357"/>
      <c r="BQ588" s="357"/>
      <c r="BR588" s="358">
        <f>IF(BP588=0,0,(BQ588-BP588)/BP588*100)</f>
        <v>0</v>
      </c>
      <c r="BS588" s="357"/>
      <c r="BT588" s="357"/>
      <c r="BU588" s="358">
        <f>IF(BS588=0,0,(BT588-BS588)/BS588*100)</f>
        <v>0</v>
      </c>
      <c r="BV588" s="357"/>
      <c r="BW588" s="357"/>
      <c r="BX588" s="358">
        <f>IF(BV588=0,0,(BW588-BV588)/BV588*100)</f>
        <v>0</v>
      </c>
      <c r="BY588" s="357"/>
      <c r="BZ588" s="357"/>
      <c r="CA588" s="358">
        <f>IF(BY588=0,0,(BZ588-BY588)/BY588*100)</f>
        <v>0</v>
      </c>
      <c r="CB588" s="357"/>
      <c r="CC588" s="357"/>
      <c r="CD588" s="358">
        <f>IF(CB588=0,0,(CC588-CB588)/CB588*100)</f>
        <v>0</v>
      </c>
      <c r="CE588" s="357"/>
      <c r="CF588" s="357"/>
      <c r="CG588" s="358">
        <f>IF(CE588=0,0,(CF588-CE588)/CE588*100)</f>
        <v>0</v>
      </c>
      <c r="CH588" s="357"/>
      <c r="CI588" s="357"/>
      <c r="CJ588" s="358">
        <f>IF(CH588=0,0,(CI588-CH588)/CH588*100)</f>
        <v>0</v>
      </c>
      <c r="CK588" s="357"/>
      <c r="CL588" s="357"/>
      <c r="CM588" s="358">
        <f>IF(CK588=0,0,(CL588-CK588)/CK588*100)</f>
        <v>0</v>
      </c>
      <c r="CN588" s="357"/>
      <c r="CO588" s="357"/>
      <c r="CP588" s="358">
        <f>IF(CN588=0,0,(CO588-CN588)/CN588*100)</f>
        <v>0</v>
      </c>
      <c r="CQ588" s="357"/>
      <c r="CR588" s="357"/>
      <c r="CS588" s="358">
        <f>IF(CQ588=0,0,(CR588-CQ588)/CQ588*100)</f>
        <v>0</v>
      </c>
      <c r="CT588" s="357"/>
      <c r="CU588" s="357"/>
      <c r="CV588" s="358">
        <f>IF(CT588=0,0,(CU588-CT588)/CT588*100)</f>
        <v>0</v>
      </c>
      <c r="CW588" s="357"/>
      <c r="CX588" s="357"/>
      <c r="CY588" s="358">
        <f>IF(CW588=0,0,(CX588-CW588)/CW588*100)</f>
        <v>0</v>
      </c>
      <c r="CZ588" s="357"/>
      <c r="DA588" s="357"/>
      <c r="DB588" s="358">
        <f>IF(CZ588=0,0,(DA588-CZ588)/CZ588*100)</f>
        <v>0</v>
      </c>
      <c r="DC588" s="357"/>
      <c r="DD588" s="357"/>
      <c r="DE588" s="358">
        <f>IF(DC588=0,0,(DD588-DC588)/DC588*100)</f>
        <v>0</v>
      </c>
      <c r="DF588" s="357"/>
      <c r="DG588" s="357"/>
      <c r="DH588" s="358">
        <f>IF(DF588=0,0,(DG588-DF588)/DF588*100)</f>
        <v>0</v>
      </c>
      <c r="DI588" s="357"/>
      <c r="DJ588" s="357"/>
      <c r="DK588" s="358">
        <f>IF(DI588=0,0,(DJ588-DI588)/DI588*100)</f>
        <v>0</v>
      </c>
      <c r="DL588" s="357"/>
      <c r="DM588" s="357"/>
      <c r="DN588" s="358">
        <f>IF(DL588=0,0,(DM588-DL588)/DL588*100)</f>
        <v>0</v>
      </c>
      <c r="DO588" s="357"/>
      <c r="DP588" s="357"/>
      <c r="DQ588" s="358">
        <f>IF(DO588=0,0,(DP588-DO588)/DO588*100)</f>
        <v>0</v>
      </c>
      <c r="DR588" s="357"/>
      <c r="DS588" s="357"/>
      <c r="DT588" s="358">
        <f>IF(DR588=0,0,(DS588-DR588)/DR588*100)</f>
        <v>0</v>
      </c>
      <c r="DU588" s="357"/>
      <c r="DV588" s="357"/>
      <c r="DW588" s="358">
        <f>IF(DU588=0,0,(DV588-DU588)/DU588*100)</f>
        <v>0</v>
      </c>
      <c r="DX588" s="357"/>
      <c r="DY588" s="357"/>
      <c r="DZ588" s="358">
        <f>IF(DX588=0,0,(DY588-DX588)/DX588*100)</f>
        <v>0</v>
      </c>
      <c r="EA588" s="357"/>
      <c r="EB588" s="357"/>
      <c r="EC588" s="358">
        <f>IF(EA588=0,0,(EB588-EA588)/EA588*100)</f>
        <v>0</v>
      </c>
      <c r="ED588" s="357"/>
      <c r="EE588" s="357"/>
      <c r="EF588" s="358">
        <f>IF(ED588=0,0,(EE588-ED588)/ED588*100)</f>
        <v>0</v>
      </c>
      <c r="EG588" s="357"/>
      <c r="EH588" s="357"/>
      <c r="EI588" s="358">
        <f>IF(EG588=0,0,(EH588-EG588)/EG588*100)</f>
        <v>0</v>
      </c>
      <c r="EJ588" s="357"/>
      <c r="EK588" s="357"/>
      <c r="EL588" s="358">
        <f>IF(EJ588=0,0,(EK588-EJ588)/EJ588*100)</f>
        <v>0</v>
      </c>
      <c r="EM588" s="357"/>
      <c r="EN588" s="357"/>
      <c r="EO588" s="358">
        <f>IF(EM588=0,0,(EN588-EM588)/EM588*100)</f>
        <v>0</v>
      </c>
      <c r="EP588" s="357"/>
      <c r="EQ588" s="357"/>
      <c r="ER588" s="358">
        <f>IF(EP588=0,0,(EQ588-EP588)/EP588*100)</f>
        <v>0</v>
      </c>
      <c r="ES588" s="357"/>
      <c r="ET588" s="357"/>
      <c r="EU588" s="358">
        <f>IF(ES588=0,0,(ET588-ES588)/ES588*100)</f>
        <v>0</v>
      </c>
      <c r="EV588" s="357"/>
      <c r="EW588" s="357"/>
      <c r="EX588" s="358">
        <f>IF(EV588=0,0,(EW588-EV588)/EV588*100)</f>
        <v>0</v>
      </c>
      <c r="EY588" s="357"/>
      <c r="EZ588" s="357"/>
      <c r="FA588" s="358">
        <f>IF(EY588=0,0,(EZ588-EY588)/EY588*100)</f>
        <v>0</v>
      </c>
      <c r="FB588" s="357"/>
      <c r="FC588" s="357"/>
      <c r="FD588" s="358">
        <f>IF(FB588=0,0,(FC588-FB588)/FB588*100)</f>
        <v>0</v>
      </c>
      <c r="FE588" s="357"/>
      <c r="FF588" s="357"/>
      <c r="FG588" s="358">
        <f>IF(FE588=0,0,(FF588-FE588)/FE588*100)</f>
        <v>0</v>
      </c>
    </row>
    <row r="589" spans="1:163" s="295" customFormat="1" ht="15" customHeight="1" outlineLevel="1">
      <c r="A589" s="295" t="str">
        <f t="shared" si="126"/>
        <v>1</v>
      </c>
      <c r="C589" s="598" t="s">
        <v>1489</v>
      </c>
      <c r="D589" s="598" t="s">
        <v>1720</v>
      </c>
      <c r="G589" s="295" t="b">
        <f>F582="одноставочный"</f>
        <v>1</v>
      </c>
      <c r="L589" s="359" t="s">
        <v>659</v>
      </c>
      <c r="M589" s="360" t="s">
        <v>137</v>
      </c>
      <c r="N589" s="361" t="e">
        <f>IF(N587=0,0,N588/N587)*100</f>
        <v>#N/A</v>
      </c>
      <c r="O589" s="361" t="e">
        <f>IF(O587=0,0,O588/O587)*100</f>
        <v>#N/A</v>
      </c>
      <c r="P589" s="362"/>
      <c r="Q589" s="361" t="e">
        <f>IF(Q587=0,0,Q588/Q587)*100</f>
        <v>#N/A</v>
      </c>
      <c r="R589" s="361" t="e">
        <f>IF(R587=0,0,R588/R587)*100</f>
        <v>#N/A</v>
      </c>
      <c r="S589" s="362"/>
      <c r="T589" s="361" t="e">
        <f>IF(T587=0,0,T588/T587)*100</f>
        <v>#N/A</v>
      </c>
      <c r="U589" s="361" t="e">
        <f>IF(U587=0,0,U588/U587)*100</f>
        <v>#N/A</v>
      </c>
      <c r="V589" s="362"/>
      <c r="W589" s="361" t="e">
        <f>IF(W587=0,0,W588/W587)*100</f>
        <v>#N/A</v>
      </c>
      <c r="X589" s="361" t="e">
        <f>IF(X587=0,0,X588/X587)*100</f>
        <v>#N/A</v>
      </c>
      <c r="Y589" s="362"/>
      <c r="Z589" s="361" t="e">
        <f>IF(Z587=0,0,Z588/Z587)*100</f>
        <v>#N/A</v>
      </c>
      <c r="AA589" s="361" t="e">
        <f>IF(AA587=0,0,AA588/AA587)*100</f>
        <v>#N/A</v>
      </c>
      <c r="AB589" s="362"/>
      <c r="AC589" s="361" t="e">
        <f>IF(AC587=0,0,AC588/AC587)*100</f>
        <v>#N/A</v>
      </c>
      <c r="AD589" s="361" t="e">
        <f>IF(AD587=0,0,AD588/AD587)*100</f>
        <v>#N/A</v>
      </c>
      <c r="AE589" s="362"/>
      <c r="AF589" s="361" t="e">
        <f>IF(AF587=0,0,AF588/AF587)*100</f>
        <v>#N/A</v>
      </c>
      <c r="AG589" s="361" t="e">
        <f>IF(AG587=0,0,AG588/AG587)*100</f>
        <v>#N/A</v>
      </c>
      <c r="AH589" s="362"/>
      <c r="AI589" s="361" t="e">
        <f>IF(AI587=0,0,AI588/AI587)*100</f>
        <v>#N/A</v>
      </c>
      <c r="AJ589" s="361" t="e">
        <f>IF(AJ587=0,0,AJ588/AJ587)*100</f>
        <v>#N/A</v>
      </c>
      <c r="AK589" s="362"/>
      <c r="AL589" s="361" t="e">
        <f>IF(AL587=0,0,AL588/AL587)*100</f>
        <v>#N/A</v>
      </c>
      <c r="AM589" s="361" t="e">
        <f>IF(AM587=0,0,AM588/AM587)*100</f>
        <v>#N/A</v>
      </c>
      <c r="AN589" s="362"/>
      <c r="AO589" s="361" t="e">
        <f>IF(AO587=0,0,AO588/AO587)*100</f>
        <v>#N/A</v>
      </c>
      <c r="AP589" s="361" t="e">
        <f>IF(AP587=0,0,AP588/AP587)*100</f>
        <v>#N/A</v>
      </c>
      <c r="AQ589" s="362"/>
      <c r="AR589" s="361">
        <f>IF(AR587=0,0,AR588/AR587)*100</f>
        <v>0</v>
      </c>
      <c r="AS589" s="361">
        <f>IF(AS587=0,0,AS588/AS587)*100</f>
        <v>0</v>
      </c>
      <c r="AT589" s="362"/>
      <c r="AU589" s="361">
        <f>IF(AU587=0,0,AU588/AU587)*100</f>
        <v>0</v>
      </c>
      <c r="AV589" s="361">
        <f>IF(AV587=0,0,AV588/AV587)*100</f>
        <v>0</v>
      </c>
      <c r="AW589" s="362"/>
      <c r="AX589" s="361">
        <f>IF(AX587=0,0,AX588/AX587)*100</f>
        <v>0</v>
      </c>
      <c r="AY589" s="361">
        <f>IF(AY587=0,0,AY588/AY587)*100</f>
        <v>0</v>
      </c>
      <c r="AZ589" s="362"/>
      <c r="BA589" s="361">
        <f>IF(BA587=0,0,BA588/BA587)*100</f>
        <v>0</v>
      </c>
      <c r="BB589" s="361">
        <f>IF(BB587=0,0,BB588/BB587)*100</f>
        <v>0</v>
      </c>
      <c r="BC589" s="362"/>
      <c r="BD589" s="361">
        <f>IF(BD587=0,0,BD588/BD587)*100</f>
        <v>0</v>
      </c>
      <c r="BE589" s="361">
        <f>IF(BE587=0,0,BE588/BE587)*100</f>
        <v>0</v>
      </c>
      <c r="BF589" s="362"/>
      <c r="BG589" s="361">
        <f>IF(BG587=0,0,BG588/BG587)*100</f>
        <v>0</v>
      </c>
      <c r="BH589" s="361">
        <f>IF(BH587=0,0,BH588/BH587)*100</f>
        <v>0</v>
      </c>
      <c r="BI589" s="362"/>
      <c r="BJ589" s="361">
        <f>IF(BJ587=0,0,BJ588/BJ587)*100</f>
        <v>0</v>
      </c>
      <c r="BK589" s="361">
        <f>IF(BK587=0,0,BK588/BK587)*100</f>
        <v>0</v>
      </c>
      <c r="BL589" s="362"/>
      <c r="BM589" s="361">
        <f>IF(BM587=0,0,BM588/BM587)*100</f>
        <v>0</v>
      </c>
      <c r="BN589" s="361">
        <f>IF(BN587=0,0,BN588/BN587)*100</f>
        <v>0</v>
      </c>
      <c r="BO589" s="362"/>
      <c r="BP589" s="361">
        <f>IF(BP587=0,0,BP588/BP587)*100</f>
        <v>0</v>
      </c>
      <c r="BQ589" s="361">
        <f>IF(BQ587=0,0,BQ588/BQ587)*100</f>
        <v>0</v>
      </c>
      <c r="BR589" s="362"/>
      <c r="BS589" s="361">
        <f>IF(BS587=0,0,BS588/BS587)*100</f>
        <v>0</v>
      </c>
      <c r="BT589" s="361">
        <f>IF(BT587=0,0,BT588/BT587)*100</f>
        <v>0</v>
      </c>
      <c r="BU589" s="362"/>
      <c r="BV589" s="361">
        <f>IF(BV587=0,0,BV588/BV587)*100</f>
        <v>0</v>
      </c>
      <c r="BW589" s="361">
        <f>IF(BW587=0,0,BW588/BW587)*100</f>
        <v>0</v>
      </c>
      <c r="BX589" s="362"/>
      <c r="BY589" s="361">
        <f>IF(BY587=0,0,BY588/BY587)*100</f>
        <v>0</v>
      </c>
      <c r="BZ589" s="361">
        <f>IF(BZ587=0,0,BZ588/BZ587)*100</f>
        <v>0</v>
      </c>
      <c r="CA589" s="362"/>
      <c r="CB589" s="361">
        <f>IF(CB587=0,0,CB588/CB587)*100</f>
        <v>0</v>
      </c>
      <c r="CC589" s="361">
        <f>IF(CC587=0,0,CC588/CC587)*100</f>
        <v>0</v>
      </c>
      <c r="CD589" s="362"/>
      <c r="CE589" s="361">
        <f>IF(CE587=0,0,CE588/CE587)*100</f>
        <v>0</v>
      </c>
      <c r="CF589" s="361">
        <f>IF(CF587=0,0,CF588/CF587)*100</f>
        <v>0</v>
      </c>
      <c r="CG589" s="362"/>
      <c r="CH589" s="361">
        <f>IF(CH587=0,0,CH588/CH587)*100</f>
        <v>0</v>
      </c>
      <c r="CI589" s="361">
        <f>IF(CI587=0,0,CI588/CI587)*100</f>
        <v>0</v>
      </c>
      <c r="CJ589" s="362"/>
      <c r="CK589" s="361">
        <f>IF(CK587=0,0,CK588/CK587)*100</f>
        <v>0</v>
      </c>
      <c r="CL589" s="361">
        <f>IF(CL587=0,0,CL588/CL587)*100</f>
        <v>0</v>
      </c>
      <c r="CM589" s="362"/>
      <c r="CN589" s="361">
        <f>IF(CN587=0,0,CN588/CN587)*100</f>
        <v>0</v>
      </c>
      <c r="CO589" s="361">
        <f>IF(CO587=0,0,CO588/CO587)*100</f>
        <v>0</v>
      </c>
      <c r="CP589" s="362"/>
      <c r="CQ589" s="361">
        <f>IF(CQ587=0,0,CQ588/CQ587)*100</f>
        <v>0</v>
      </c>
      <c r="CR589" s="361">
        <f>IF(CR587=0,0,CR588/CR587)*100</f>
        <v>0</v>
      </c>
      <c r="CS589" s="362"/>
      <c r="CT589" s="361">
        <f>IF(CT587=0,0,CT588/CT587)*100</f>
        <v>0</v>
      </c>
      <c r="CU589" s="361">
        <f>IF(CU587=0,0,CU588/CU587)*100</f>
        <v>0</v>
      </c>
      <c r="CV589" s="362"/>
      <c r="CW589" s="361">
        <f>IF(CW587=0,0,CW588/CW587)*100</f>
        <v>0</v>
      </c>
      <c r="CX589" s="361">
        <f>IF(CX587=0,0,CX588/CX587)*100</f>
        <v>0</v>
      </c>
      <c r="CY589" s="362"/>
      <c r="CZ589" s="361">
        <f>IF(CZ587=0,0,CZ588/CZ587)*100</f>
        <v>0</v>
      </c>
      <c r="DA589" s="361">
        <f>IF(DA587=0,0,DA588/DA587)*100</f>
        <v>0</v>
      </c>
      <c r="DB589" s="362"/>
      <c r="DC589" s="361">
        <f>IF(DC587=0,0,DC588/DC587)*100</f>
        <v>0</v>
      </c>
      <c r="DD589" s="361">
        <f>IF(DD587=0,0,DD588/DD587)*100</f>
        <v>0</v>
      </c>
      <c r="DE589" s="362"/>
      <c r="DF589" s="361">
        <f>IF(DF587=0,0,DF588/DF587)*100</f>
        <v>0</v>
      </c>
      <c r="DG589" s="361">
        <f>IF(DG587=0,0,DG588/DG587)*100</f>
        <v>0</v>
      </c>
      <c r="DH589" s="362"/>
      <c r="DI589" s="361">
        <f>IF(DI587=0,0,DI588/DI587)*100</f>
        <v>0</v>
      </c>
      <c r="DJ589" s="361">
        <f>IF(DJ587=0,0,DJ588/DJ587)*100</f>
        <v>0</v>
      </c>
      <c r="DK589" s="362"/>
      <c r="DL589" s="361">
        <f>IF(DL587=0,0,DL588/DL587)*100</f>
        <v>0</v>
      </c>
      <c r="DM589" s="361">
        <f>IF(DM587=0,0,DM588/DM587)*100</f>
        <v>0</v>
      </c>
      <c r="DN589" s="362"/>
      <c r="DO589" s="361">
        <f>IF(DO587=0,0,DO588/DO587)*100</f>
        <v>0</v>
      </c>
      <c r="DP589" s="361">
        <f>IF(DP587=0,0,DP588/DP587)*100</f>
        <v>0</v>
      </c>
      <c r="DQ589" s="362"/>
      <c r="DR589" s="361">
        <f>IF(DR587=0,0,DR588/DR587)*100</f>
        <v>0</v>
      </c>
      <c r="DS589" s="361">
        <f>IF(DS587=0,0,DS588/DS587)*100</f>
        <v>0</v>
      </c>
      <c r="DT589" s="362"/>
      <c r="DU589" s="361">
        <f>IF(DU587=0,0,DU588/DU587)*100</f>
        <v>0</v>
      </c>
      <c r="DV589" s="361">
        <f>IF(DV587=0,0,DV588/DV587)*100</f>
        <v>0</v>
      </c>
      <c r="DW589" s="362"/>
      <c r="DX589" s="361">
        <f>IF(DX587=0,0,DX588/DX587)*100</f>
        <v>0</v>
      </c>
      <c r="DY589" s="361">
        <f>IF(DY587=0,0,DY588/DY587)*100</f>
        <v>0</v>
      </c>
      <c r="DZ589" s="362"/>
      <c r="EA589" s="361">
        <f>IF(EA587=0,0,EA588/EA587)*100</f>
        <v>0</v>
      </c>
      <c r="EB589" s="361">
        <f>IF(EB587=0,0,EB588/EB587)*100</f>
        <v>0</v>
      </c>
      <c r="EC589" s="362"/>
      <c r="ED589" s="361">
        <f>IF(ED587=0,0,ED588/ED587)*100</f>
        <v>0</v>
      </c>
      <c r="EE589" s="361">
        <f>IF(EE587=0,0,EE588/EE587)*100</f>
        <v>0</v>
      </c>
      <c r="EF589" s="362"/>
      <c r="EG589" s="361">
        <f>IF(EG587=0,0,EG588/EG587)*100</f>
        <v>0</v>
      </c>
      <c r="EH589" s="361">
        <f>IF(EH587=0,0,EH588/EH587)*100</f>
        <v>0</v>
      </c>
      <c r="EI589" s="362"/>
      <c r="EJ589" s="361">
        <f>IF(EJ587=0,0,EJ588/EJ587)*100</f>
        <v>0</v>
      </c>
      <c r="EK589" s="361">
        <f>IF(EK587=0,0,EK588/EK587)*100</f>
        <v>0</v>
      </c>
      <c r="EL589" s="362"/>
      <c r="EM589" s="361">
        <f>IF(EM587=0,0,EM588/EM587)*100</f>
        <v>0</v>
      </c>
      <c r="EN589" s="361">
        <f>IF(EN587=0,0,EN588/EN587)*100</f>
        <v>0</v>
      </c>
      <c r="EO589" s="362"/>
      <c r="EP589" s="361">
        <f>IF(EP587=0,0,EP588/EP587)*100</f>
        <v>0</v>
      </c>
      <c r="EQ589" s="361">
        <f>IF(EQ587=0,0,EQ588/EQ587)*100</f>
        <v>0</v>
      </c>
      <c r="ER589" s="362"/>
      <c r="ES589" s="361">
        <f>IF(ES587=0,0,ES588/ES587)*100</f>
        <v>0</v>
      </c>
      <c r="ET589" s="361">
        <f>IF(ET587=0,0,ET588/ET587)*100</f>
        <v>0</v>
      </c>
      <c r="EU589" s="362"/>
      <c r="EV589" s="361">
        <f>IF(EV587=0,0,EV588/EV587)*100</f>
        <v>0</v>
      </c>
      <c r="EW589" s="361">
        <f>IF(EW587=0,0,EW588/EW587)*100</f>
        <v>0</v>
      </c>
      <c r="EX589" s="362"/>
      <c r="EY589" s="361">
        <f>IF(EY587=0,0,EY588/EY587)*100</f>
        <v>0</v>
      </c>
      <c r="EZ589" s="361">
        <f>IF(EZ587=0,0,EZ588/EZ587)*100</f>
        <v>0</v>
      </c>
      <c r="FA589" s="362"/>
      <c r="FB589" s="361">
        <f>IF(FB587=0,0,FB588/FB587)*100</f>
        <v>0</v>
      </c>
      <c r="FC589" s="361">
        <f>IF(FC587=0,0,FC588/FC587)*100</f>
        <v>0</v>
      </c>
      <c r="FD589" s="362"/>
      <c r="FE589" s="361">
        <f>IF(FE587=0,0,FE588/FE587)*100</f>
        <v>0</v>
      </c>
      <c r="FF589" s="361">
        <f>IF(FF587=0,0,FF588/FF587)*100</f>
        <v>0</v>
      </c>
      <c r="FG589" s="362"/>
    </row>
    <row r="590" spans="1:163" s="295" customFormat="1" ht="15" customHeight="1" outlineLevel="1">
      <c r="A590" s="295" t="str">
        <f t="shared" si="126"/>
        <v>1</v>
      </c>
      <c r="B590" s="104" t="s">
        <v>1176</v>
      </c>
      <c r="C590" s="598" t="s">
        <v>1490</v>
      </c>
      <c r="D590" s="598" t="s">
        <v>1720</v>
      </c>
      <c r="G590" s="295" t="b">
        <f>F582="одноставочный"</f>
        <v>1</v>
      </c>
      <c r="L590" s="359" t="s">
        <v>660</v>
      </c>
      <c r="M590" s="360" t="s">
        <v>310</v>
      </c>
      <c r="N590" s="565" t="e">
        <f>SUMIFS(INDEX(Калькуляция!$T$15:$AM$141,,MATCH(N$3,Калькуляция!$T$3:$AM$3,0)),Калькуляция!$A$15:$A$141,$A590,Калькуляция!$B$15:$B$141,$B590)</f>
        <v>#N/A</v>
      </c>
      <c r="O590" s="565" t="e">
        <f>SUMIFS(INDEX(Калькуляция!$T$15:$AM$141,,MATCH(O$3,Калькуляция!$T$3:$AM$3,0)),Калькуляция!$A$15:$A$141,$A590,Калькуляция!$B$15:$B$141,$B590)</f>
        <v>#N/A</v>
      </c>
      <c r="P590" s="478" t="e">
        <f>IF(N590=0,0,(O590-N590)/N590*100)</f>
        <v>#N/A</v>
      </c>
      <c r="Q590" s="565" t="e">
        <f>SUMIFS(INDEX(Калькуляция!$T$15:$AM$141,,MATCH(Q$3,Калькуляция!$T$3:$AM$3,0)),Калькуляция!$A$15:$A$141,$A590,Калькуляция!$B$15:$B$141,$B590)</f>
        <v>#N/A</v>
      </c>
      <c r="R590" s="565" t="e">
        <f>SUMIFS(INDEX(Калькуляция!$T$15:$AM$141,,MATCH(R$3,Калькуляция!$T$3:$AM$3,0)),Калькуляция!$A$15:$A$141,$A590,Калькуляция!$B$15:$B$141,$B590)</f>
        <v>#N/A</v>
      </c>
      <c r="S590" s="478" t="e">
        <f>IF(Q590=0,0,(R590-Q590)/Q590*100)</f>
        <v>#N/A</v>
      </c>
      <c r="T590" s="565" t="e">
        <f>SUMIFS(INDEX(Калькуляция!$T$15:$AM$141,,MATCH(T$3,Калькуляция!$T$3:$AM$3,0)),Калькуляция!$A$15:$A$141,$A590,Калькуляция!$B$15:$B$141,$B590)</f>
        <v>#N/A</v>
      </c>
      <c r="U590" s="565" t="e">
        <f>SUMIFS(INDEX(Калькуляция!$T$15:$AM$141,,MATCH(U$3,Калькуляция!$T$3:$AM$3,0)),Калькуляция!$A$15:$A$141,$A590,Калькуляция!$B$15:$B$141,$B590)</f>
        <v>#N/A</v>
      </c>
      <c r="V590" s="478" t="e">
        <f>IF(T590=0,0,(U590-T590)/T590*100)</f>
        <v>#N/A</v>
      </c>
      <c r="W590" s="565" t="e">
        <f>SUMIFS(INDEX(Калькуляция!$T$15:$AM$141,,MATCH(W$3,Калькуляция!$T$3:$AM$3,0)),Калькуляция!$A$15:$A$141,$A590,Калькуляция!$B$15:$B$141,$B590)</f>
        <v>#N/A</v>
      </c>
      <c r="X590" s="565" t="e">
        <f>SUMIFS(INDEX(Калькуляция!$T$15:$AM$141,,MATCH(X$3,Калькуляция!$T$3:$AM$3,0)),Калькуляция!$A$15:$A$141,$A590,Калькуляция!$B$15:$B$141,$B590)</f>
        <v>#N/A</v>
      </c>
      <c r="Y590" s="478" t="e">
        <f>IF(W590=0,0,(X590-W590)/W590*100)</f>
        <v>#N/A</v>
      </c>
      <c r="Z590" s="565" t="e">
        <f>SUMIFS(INDEX(Калькуляция!$T$15:$AM$141,,MATCH(Z$3,Калькуляция!$T$3:$AM$3,0)),Калькуляция!$A$15:$A$141,$A590,Калькуляция!$B$15:$B$141,$B590)</f>
        <v>#N/A</v>
      </c>
      <c r="AA590" s="565" t="e">
        <f>SUMIFS(INDEX(Калькуляция!$T$15:$AM$141,,MATCH(AA$3,Калькуляция!$T$3:$AM$3,0)),Калькуляция!$A$15:$A$141,$A590,Калькуляция!$B$15:$B$141,$B590)</f>
        <v>#N/A</v>
      </c>
      <c r="AB590" s="478" t="e">
        <f>IF(Z590=0,0,(AA590-Z590)/Z590*100)</f>
        <v>#N/A</v>
      </c>
      <c r="AC590" s="565" t="e">
        <f>SUMIFS(INDEX(Калькуляция!$T$15:$AM$141,,MATCH(AC$3,Калькуляция!$T$3:$AM$3,0)),Калькуляция!$A$15:$A$141,$A590,Калькуляция!$B$15:$B$141,$B590)</f>
        <v>#N/A</v>
      </c>
      <c r="AD590" s="565" t="e">
        <f>SUMIFS(INDEX(Калькуляция!$T$15:$AM$141,,MATCH(AD$3,Калькуляция!$T$3:$AM$3,0)),Калькуляция!$A$15:$A$141,$A590,Калькуляция!$B$15:$B$141,$B590)</f>
        <v>#N/A</v>
      </c>
      <c r="AE590" s="478" t="e">
        <f>IF(AC590=0,0,(AD590-AC590)/AC590*100)</f>
        <v>#N/A</v>
      </c>
      <c r="AF590" s="565" t="e">
        <f>SUMIFS(INDEX(Калькуляция!$T$15:$AM$141,,MATCH(AF$3,Калькуляция!$T$3:$AM$3,0)),Калькуляция!$A$15:$A$141,$A590,Калькуляция!$B$15:$B$141,$B590)</f>
        <v>#N/A</v>
      </c>
      <c r="AG590" s="565" t="e">
        <f>SUMIFS(INDEX(Калькуляция!$T$15:$AM$141,,MATCH(AG$3,Калькуляция!$T$3:$AM$3,0)),Калькуляция!$A$15:$A$141,$A590,Калькуляция!$B$15:$B$141,$B590)</f>
        <v>#N/A</v>
      </c>
      <c r="AH590" s="478" t="e">
        <f>IF(AF590=0,0,(AG590-AF590)/AF590*100)</f>
        <v>#N/A</v>
      </c>
      <c r="AI590" s="565" t="e">
        <f>SUMIFS(INDEX(Калькуляция!$T$15:$AM$141,,MATCH(AI$3,Калькуляция!$T$3:$AM$3,0)),Калькуляция!$A$15:$A$141,$A590,Калькуляция!$B$15:$B$141,$B590)</f>
        <v>#N/A</v>
      </c>
      <c r="AJ590" s="565" t="e">
        <f>SUMIFS(INDEX(Калькуляция!$T$15:$AM$141,,MATCH(AJ$3,Калькуляция!$T$3:$AM$3,0)),Калькуляция!$A$15:$A$141,$A590,Калькуляция!$B$15:$B$141,$B590)</f>
        <v>#N/A</v>
      </c>
      <c r="AK590" s="478" t="e">
        <f>IF(AI590=0,0,(AJ590-AI590)/AI590*100)</f>
        <v>#N/A</v>
      </c>
      <c r="AL590" s="565" t="e">
        <f>SUMIFS(INDEX(Калькуляция!$T$15:$AM$141,,MATCH(AL$3,Калькуляция!$T$3:$AM$3,0)),Калькуляция!$A$15:$A$141,$A590,Калькуляция!$B$15:$B$141,$B590)</f>
        <v>#N/A</v>
      </c>
      <c r="AM590" s="565" t="e">
        <f>SUMIFS(INDEX(Калькуляция!$T$15:$AM$141,,MATCH(AM$3,Калькуляция!$T$3:$AM$3,0)),Калькуляция!$A$15:$A$141,$A590,Калькуляция!$B$15:$B$141,$B590)</f>
        <v>#N/A</v>
      </c>
      <c r="AN590" s="478" t="e">
        <f>IF(AL590=0,0,(AM590-AL590)/AL590*100)</f>
        <v>#N/A</v>
      </c>
      <c r="AO590" s="565" t="e">
        <f>SUMIFS(INDEX(Калькуляция!$T$15:$AM$141,,MATCH(AO$3,Калькуляция!$T$3:$AM$3,0)),Калькуляция!$A$15:$A$141,$A590,Калькуляция!$B$15:$B$141,$B590)</f>
        <v>#N/A</v>
      </c>
      <c r="AP590" s="565" t="e">
        <f>SUMIFS(INDEX(Калькуляция!$T$15:$AM$141,,MATCH(AP$3,Калькуляция!$T$3:$AM$3,0)),Калькуляция!$A$15:$A$141,$A590,Калькуляция!$B$15:$B$141,$B590)</f>
        <v>#N/A</v>
      </c>
      <c r="AQ590" s="478" t="e">
        <f>IF(AO590=0,0,(AP590-AO590)/AO590*100)</f>
        <v>#N/A</v>
      </c>
      <c r="AR590" s="565"/>
      <c r="AS590" s="565"/>
      <c r="AT590" s="478">
        <f>IF(AR590=0,0,(AS590-AR590)/AR590*100)</f>
        <v>0</v>
      </c>
      <c r="AU590" s="565"/>
      <c r="AV590" s="565"/>
      <c r="AW590" s="478">
        <f>IF(AU590=0,0,(AV590-AU590)/AU590*100)</f>
        <v>0</v>
      </c>
      <c r="AX590" s="565"/>
      <c r="AY590" s="565"/>
      <c r="AZ590" s="478">
        <f>IF(AX590=0,0,(AY590-AX590)/AX590*100)</f>
        <v>0</v>
      </c>
      <c r="BA590" s="565"/>
      <c r="BB590" s="565"/>
      <c r="BC590" s="478">
        <f>IF(BA590=0,0,(BB590-BA590)/BA590*100)</f>
        <v>0</v>
      </c>
      <c r="BD590" s="565"/>
      <c r="BE590" s="565"/>
      <c r="BF590" s="478">
        <f>IF(BD590=0,0,(BE590-BD590)/BD590*100)</f>
        <v>0</v>
      </c>
      <c r="BG590" s="565"/>
      <c r="BH590" s="565"/>
      <c r="BI590" s="478">
        <f>IF(BG590=0,0,(BH590-BG590)/BG590*100)</f>
        <v>0</v>
      </c>
      <c r="BJ590" s="565"/>
      <c r="BK590" s="565"/>
      <c r="BL590" s="478">
        <f>IF(BJ590=0,0,(BK590-BJ590)/BJ590*100)</f>
        <v>0</v>
      </c>
      <c r="BM590" s="565"/>
      <c r="BN590" s="565"/>
      <c r="BO590" s="478">
        <f>IF(BM590=0,0,(BN590-BM590)/BM590*100)</f>
        <v>0</v>
      </c>
      <c r="BP590" s="565"/>
      <c r="BQ590" s="565"/>
      <c r="BR590" s="478">
        <f>IF(BP590=0,0,(BQ590-BP590)/BP590*100)</f>
        <v>0</v>
      </c>
      <c r="BS590" s="565"/>
      <c r="BT590" s="565"/>
      <c r="BU590" s="478">
        <f>IF(BS590=0,0,(BT590-BS590)/BS590*100)</f>
        <v>0</v>
      </c>
      <c r="BV590" s="565"/>
      <c r="BW590" s="565"/>
      <c r="BX590" s="478">
        <f>IF(BV590=0,0,(BW590-BV590)/BV590*100)</f>
        <v>0</v>
      </c>
      <c r="BY590" s="565"/>
      <c r="BZ590" s="565"/>
      <c r="CA590" s="478">
        <f>IF(BY590=0,0,(BZ590-BY590)/BY590*100)</f>
        <v>0</v>
      </c>
      <c r="CB590" s="565"/>
      <c r="CC590" s="565"/>
      <c r="CD590" s="478">
        <f>IF(CB590=0,0,(CC590-CB590)/CB590*100)</f>
        <v>0</v>
      </c>
      <c r="CE590" s="565"/>
      <c r="CF590" s="565"/>
      <c r="CG590" s="478">
        <f>IF(CE590=0,0,(CF590-CE590)/CE590*100)</f>
        <v>0</v>
      </c>
      <c r="CH590" s="565"/>
      <c r="CI590" s="565"/>
      <c r="CJ590" s="478">
        <f>IF(CH590=0,0,(CI590-CH590)/CH590*100)</f>
        <v>0</v>
      </c>
      <c r="CK590" s="565"/>
      <c r="CL590" s="565"/>
      <c r="CM590" s="478">
        <f>IF(CK590=0,0,(CL590-CK590)/CK590*100)</f>
        <v>0</v>
      </c>
      <c r="CN590" s="565"/>
      <c r="CO590" s="565"/>
      <c r="CP590" s="478">
        <f>IF(CN590=0,0,(CO590-CN590)/CN590*100)</f>
        <v>0</v>
      </c>
      <c r="CQ590" s="565"/>
      <c r="CR590" s="565"/>
      <c r="CS590" s="478">
        <f>IF(CQ590=0,0,(CR590-CQ590)/CQ590*100)</f>
        <v>0</v>
      </c>
      <c r="CT590" s="565"/>
      <c r="CU590" s="565"/>
      <c r="CV590" s="478">
        <f>IF(CT590=0,0,(CU590-CT590)/CT590*100)</f>
        <v>0</v>
      </c>
      <c r="CW590" s="565"/>
      <c r="CX590" s="565"/>
      <c r="CY590" s="478">
        <f>IF(CW590=0,0,(CX590-CW590)/CW590*100)</f>
        <v>0</v>
      </c>
      <c r="CZ590" s="565"/>
      <c r="DA590" s="565"/>
      <c r="DB590" s="478">
        <f>IF(CZ590=0,0,(DA590-CZ590)/CZ590*100)</f>
        <v>0</v>
      </c>
      <c r="DC590" s="565"/>
      <c r="DD590" s="565"/>
      <c r="DE590" s="478">
        <f>IF(DC590=0,0,(DD590-DC590)/DC590*100)</f>
        <v>0</v>
      </c>
      <c r="DF590" s="565"/>
      <c r="DG590" s="565"/>
      <c r="DH590" s="478">
        <f>IF(DF590=0,0,(DG590-DF590)/DF590*100)</f>
        <v>0</v>
      </c>
      <c r="DI590" s="565"/>
      <c r="DJ590" s="565"/>
      <c r="DK590" s="478">
        <f>IF(DI590=0,0,(DJ590-DI590)/DI590*100)</f>
        <v>0</v>
      </c>
      <c r="DL590" s="565"/>
      <c r="DM590" s="565"/>
      <c r="DN590" s="478">
        <f>IF(DL590=0,0,(DM590-DL590)/DL590*100)</f>
        <v>0</v>
      </c>
      <c r="DO590" s="565"/>
      <c r="DP590" s="565"/>
      <c r="DQ590" s="478">
        <f>IF(DO590=0,0,(DP590-DO590)/DO590*100)</f>
        <v>0</v>
      </c>
      <c r="DR590" s="565"/>
      <c r="DS590" s="565"/>
      <c r="DT590" s="478">
        <f>IF(DR590=0,0,(DS590-DR590)/DR590*100)</f>
        <v>0</v>
      </c>
      <c r="DU590" s="565"/>
      <c r="DV590" s="565"/>
      <c r="DW590" s="478">
        <f>IF(DU590=0,0,(DV590-DU590)/DU590*100)</f>
        <v>0</v>
      </c>
      <c r="DX590" s="565"/>
      <c r="DY590" s="565"/>
      <c r="DZ590" s="478">
        <f>IF(DX590=0,0,(DY590-DX590)/DX590*100)</f>
        <v>0</v>
      </c>
      <c r="EA590" s="565"/>
      <c r="EB590" s="565"/>
      <c r="EC590" s="478">
        <f>IF(EA590=0,0,(EB590-EA590)/EA590*100)</f>
        <v>0</v>
      </c>
      <c r="ED590" s="565"/>
      <c r="EE590" s="565"/>
      <c r="EF590" s="478">
        <f>IF(ED590=0,0,(EE590-ED590)/ED590*100)</f>
        <v>0</v>
      </c>
      <c r="EG590" s="565"/>
      <c r="EH590" s="565"/>
      <c r="EI590" s="478">
        <f>IF(EG590=0,0,(EH590-EG590)/EG590*100)</f>
        <v>0</v>
      </c>
      <c r="EJ590" s="565"/>
      <c r="EK590" s="565"/>
      <c r="EL590" s="478">
        <f>IF(EJ590=0,0,(EK590-EJ590)/EJ590*100)</f>
        <v>0</v>
      </c>
      <c r="EM590" s="565"/>
      <c r="EN590" s="565"/>
      <c r="EO590" s="478">
        <f>IF(EM590=0,0,(EN590-EM590)/EM590*100)</f>
        <v>0</v>
      </c>
      <c r="EP590" s="565"/>
      <c r="EQ590" s="565"/>
      <c r="ER590" s="478">
        <f>IF(EP590=0,0,(EQ590-EP590)/EP590*100)</f>
        <v>0</v>
      </c>
      <c r="ES590" s="565"/>
      <c r="ET590" s="565"/>
      <c r="EU590" s="478">
        <f>IF(ES590=0,0,(ET590-ES590)/ES590*100)</f>
        <v>0</v>
      </c>
      <c r="EV590" s="565"/>
      <c r="EW590" s="565"/>
      <c r="EX590" s="478">
        <f>IF(EV590=0,0,(EW590-EV590)/EV590*100)</f>
        <v>0</v>
      </c>
      <c r="EY590" s="565"/>
      <c r="EZ590" s="565"/>
      <c r="FA590" s="478">
        <f>IF(EY590=0,0,(EZ590-EY590)/EY590*100)</f>
        <v>0</v>
      </c>
      <c r="FB590" s="565"/>
      <c r="FC590" s="565"/>
      <c r="FD590" s="478">
        <f>IF(FB590=0,0,(FC590-FB590)/FB590*100)</f>
        <v>0</v>
      </c>
      <c r="FE590" s="565"/>
      <c r="FF590" s="565"/>
      <c r="FG590" s="478">
        <f>IF(FE590=0,0,(FF590-FE590)/FE590*100)</f>
        <v>0</v>
      </c>
    </row>
    <row r="591" spans="1:163" s="354" customFormat="1" ht="15" customHeight="1" outlineLevel="1">
      <c r="A591" s="295" t="str">
        <f t="shared" si="126"/>
        <v>1</v>
      </c>
      <c r="B591" s="104" t="s">
        <v>1170</v>
      </c>
      <c r="C591" s="598" t="s">
        <v>1491</v>
      </c>
      <c r="D591" s="598" t="s">
        <v>1721</v>
      </c>
      <c r="G591" s="295" t="b">
        <f>F582="одноставочный"</f>
        <v>1</v>
      </c>
      <c r="L591" s="355" t="s">
        <v>661</v>
      </c>
      <c r="M591" s="356" t="s">
        <v>652</v>
      </c>
      <c r="N591" s="357" t="e">
        <f>SUMIFS(INDEX(Калькуляция!$T$15:$AM$141,,MATCH(N$3,Калькуляция!$T$3:$AM$3,0)),Калькуляция!$A$15:$A$141,$A591,Калькуляция!$B$15:$B$141,$B591)</f>
        <v>#N/A</v>
      </c>
      <c r="O591" s="357" t="e">
        <f>SUMIFS(INDEX(Калькуляция!$T$15:$AM$141,,MATCH(O$3,Калькуляция!$T$3:$AM$3,0)),Калькуляция!$A$15:$A$141,$A591,Калькуляция!$B$15:$B$141,$B591)</f>
        <v>#N/A</v>
      </c>
      <c r="P591" s="358" t="e">
        <f>IF(N591=0,0,(O591-N591)/N591*100)</f>
        <v>#N/A</v>
      </c>
      <c r="Q591" s="357" t="e">
        <f>SUMIFS(INDEX(Калькуляция!$T$15:$AM$141,,MATCH(Q$3,Калькуляция!$T$3:$AM$3,0)),Калькуляция!$A$15:$A$141,$A591,Калькуляция!$B$15:$B$141,$B591)</f>
        <v>#N/A</v>
      </c>
      <c r="R591" s="357" t="e">
        <f>SUMIFS(INDEX(Калькуляция!$T$15:$AM$141,,MATCH(R$3,Калькуляция!$T$3:$AM$3,0)),Калькуляция!$A$15:$A$141,$A591,Калькуляция!$B$15:$B$141,$B591)</f>
        <v>#N/A</v>
      </c>
      <c r="S591" s="358" t="e">
        <f>IF(Q591=0,0,(R591-Q591)/Q591*100)</f>
        <v>#N/A</v>
      </c>
      <c r="T591" s="357" t="e">
        <f>SUMIFS(INDEX(Калькуляция!$T$15:$AM$141,,MATCH(T$3,Калькуляция!$T$3:$AM$3,0)),Калькуляция!$A$15:$A$141,$A591,Калькуляция!$B$15:$B$141,$B591)</f>
        <v>#N/A</v>
      </c>
      <c r="U591" s="357" t="e">
        <f>SUMIFS(INDEX(Калькуляция!$T$15:$AM$141,,MATCH(U$3,Калькуляция!$T$3:$AM$3,0)),Калькуляция!$A$15:$A$141,$A591,Калькуляция!$B$15:$B$141,$B591)</f>
        <v>#N/A</v>
      </c>
      <c r="V591" s="358" t="e">
        <f>IF(T591=0,0,(U591-T591)/T591*100)</f>
        <v>#N/A</v>
      </c>
      <c r="W591" s="357" t="e">
        <f>SUMIFS(INDEX(Калькуляция!$T$15:$AM$141,,MATCH(W$3,Калькуляция!$T$3:$AM$3,0)),Калькуляция!$A$15:$A$141,$A591,Калькуляция!$B$15:$B$141,$B591)</f>
        <v>#N/A</v>
      </c>
      <c r="X591" s="357" t="e">
        <f>SUMIFS(INDEX(Калькуляция!$T$15:$AM$141,,MATCH(X$3,Калькуляция!$T$3:$AM$3,0)),Калькуляция!$A$15:$A$141,$A591,Калькуляция!$B$15:$B$141,$B591)</f>
        <v>#N/A</v>
      </c>
      <c r="Y591" s="358" t="e">
        <f>IF(W591=0,0,(X591-W591)/W591*100)</f>
        <v>#N/A</v>
      </c>
      <c r="Z591" s="357" t="e">
        <f>SUMIFS(INDEX(Калькуляция!$T$15:$AM$141,,MATCH(Z$3,Калькуляция!$T$3:$AM$3,0)),Калькуляция!$A$15:$A$141,$A591,Калькуляция!$B$15:$B$141,$B591)</f>
        <v>#N/A</v>
      </c>
      <c r="AA591" s="357" t="e">
        <f>SUMIFS(INDEX(Калькуляция!$T$15:$AM$141,,MATCH(AA$3,Калькуляция!$T$3:$AM$3,0)),Калькуляция!$A$15:$A$141,$A591,Калькуляция!$B$15:$B$141,$B591)</f>
        <v>#N/A</v>
      </c>
      <c r="AB591" s="358" t="e">
        <f>IF(Z591=0,0,(AA591-Z591)/Z591*100)</f>
        <v>#N/A</v>
      </c>
      <c r="AC591" s="357" t="e">
        <f>SUMIFS(INDEX(Калькуляция!$T$15:$AM$141,,MATCH(AC$3,Калькуляция!$T$3:$AM$3,0)),Калькуляция!$A$15:$A$141,$A591,Калькуляция!$B$15:$B$141,$B591)</f>
        <v>#N/A</v>
      </c>
      <c r="AD591" s="357" t="e">
        <f>SUMIFS(INDEX(Калькуляция!$T$15:$AM$141,,MATCH(AD$3,Калькуляция!$T$3:$AM$3,0)),Калькуляция!$A$15:$A$141,$A591,Калькуляция!$B$15:$B$141,$B591)</f>
        <v>#N/A</v>
      </c>
      <c r="AE591" s="358" t="e">
        <f>IF(AC591=0,0,(AD591-AC591)/AC591*100)</f>
        <v>#N/A</v>
      </c>
      <c r="AF591" s="357" t="e">
        <f>SUMIFS(INDEX(Калькуляция!$T$15:$AM$141,,MATCH(AF$3,Калькуляция!$T$3:$AM$3,0)),Калькуляция!$A$15:$A$141,$A591,Калькуляция!$B$15:$B$141,$B591)</f>
        <v>#N/A</v>
      </c>
      <c r="AG591" s="357" t="e">
        <f>SUMIFS(INDEX(Калькуляция!$T$15:$AM$141,,MATCH(AG$3,Калькуляция!$T$3:$AM$3,0)),Калькуляция!$A$15:$A$141,$A591,Калькуляция!$B$15:$B$141,$B591)</f>
        <v>#N/A</v>
      </c>
      <c r="AH591" s="358" t="e">
        <f>IF(AF591=0,0,(AG591-AF591)/AF591*100)</f>
        <v>#N/A</v>
      </c>
      <c r="AI591" s="357" t="e">
        <f>SUMIFS(INDEX(Калькуляция!$T$15:$AM$141,,MATCH(AI$3,Калькуляция!$T$3:$AM$3,0)),Калькуляция!$A$15:$A$141,$A591,Калькуляция!$B$15:$B$141,$B591)</f>
        <v>#N/A</v>
      </c>
      <c r="AJ591" s="357" t="e">
        <f>SUMIFS(INDEX(Калькуляция!$T$15:$AM$141,,MATCH(AJ$3,Калькуляция!$T$3:$AM$3,0)),Калькуляция!$A$15:$A$141,$A591,Калькуляция!$B$15:$B$141,$B591)</f>
        <v>#N/A</v>
      </c>
      <c r="AK591" s="358" t="e">
        <f>IF(AI591=0,0,(AJ591-AI591)/AI591*100)</f>
        <v>#N/A</v>
      </c>
      <c r="AL591" s="357" t="e">
        <f>SUMIFS(INDEX(Калькуляция!$T$15:$AM$141,,MATCH(AL$3,Калькуляция!$T$3:$AM$3,0)),Калькуляция!$A$15:$A$141,$A591,Калькуляция!$B$15:$B$141,$B591)</f>
        <v>#N/A</v>
      </c>
      <c r="AM591" s="357" t="e">
        <f>SUMIFS(INDEX(Калькуляция!$T$15:$AM$141,,MATCH(AM$3,Калькуляция!$T$3:$AM$3,0)),Калькуляция!$A$15:$A$141,$A591,Калькуляция!$B$15:$B$141,$B591)</f>
        <v>#N/A</v>
      </c>
      <c r="AN591" s="358" t="e">
        <f>IF(AL591=0,0,(AM591-AL591)/AL591*100)</f>
        <v>#N/A</v>
      </c>
      <c r="AO591" s="357" t="e">
        <f>SUMIFS(INDEX(Калькуляция!$T$15:$AM$141,,MATCH(AO$3,Калькуляция!$T$3:$AM$3,0)),Калькуляция!$A$15:$A$141,$A591,Калькуляция!$B$15:$B$141,$B591)</f>
        <v>#N/A</v>
      </c>
      <c r="AP591" s="357" t="e">
        <f>SUMIFS(INDEX(Калькуляция!$T$15:$AM$141,,MATCH(AP$3,Калькуляция!$T$3:$AM$3,0)),Калькуляция!$A$15:$A$141,$A591,Калькуляция!$B$15:$B$141,$B591)</f>
        <v>#N/A</v>
      </c>
      <c r="AQ591" s="358" t="e">
        <f>IF(AO591=0,0,(AP591-AO591)/AO591*100)</f>
        <v>#N/A</v>
      </c>
      <c r="AR591" s="357"/>
      <c r="AS591" s="357"/>
      <c r="AT591" s="358">
        <f>IF(AR591=0,0,(AS591-AR591)/AR591*100)</f>
        <v>0</v>
      </c>
      <c r="AU591" s="357"/>
      <c r="AV591" s="357"/>
      <c r="AW591" s="358">
        <f>IF(AU591=0,0,(AV591-AU591)/AU591*100)</f>
        <v>0</v>
      </c>
      <c r="AX591" s="357"/>
      <c r="AY591" s="357"/>
      <c r="AZ591" s="358">
        <f>IF(AX591=0,0,(AY591-AX591)/AX591*100)</f>
        <v>0</v>
      </c>
      <c r="BA591" s="357"/>
      <c r="BB591" s="357"/>
      <c r="BC591" s="358">
        <f>IF(BA591=0,0,(BB591-BA591)/BA591*100)</f>
        <v>0</v>
      </c>
      <c r="BD591" s="357"/>
      <c r="BE591" s="357"/>
      <c r="BF591" s="358">
        <f>IF(BD591=0,0,(BE591-BD591)/BD591*100)</f>
        <v>0</v>
      </c>
      <c r="BG591" s="357"/>
      <c r="BH591" s="357"/>
      <c r="BI591" s="358">
        <f>IF(BG591=0,0,(BH591-BG591)/BG591*100)</f>
        <v>0</v>
      </c>
      <c r="BJ591" s="357"/>
      <c r="BK591" s="357"/>
      <c r="BL591" s="358">
        <f>IF(BJ591=0,0,(BK591-BJ591)/BJ591*100)</f>
        <v>0</v>
      </c>
      <c r="BM591" s="357"/>
      <c r="BN591" s="357"/>
      <c r="BO591" s="358">
        <f>IF(BM591=0,0,(BN591-BM591)/BM591*100)</f>
        <v>0</v>
      </c>
      <c r="BP591" s="357"/>
      <c r="BQ591" s="357"/>
      <c r="BR591" s="358">
        <f>IF(BP591=0,0,(BQ591-BP591)/BP591*100)</f>
        <v>0</v>
      </c>
      <c r="BS591" s="357"/>
      <c r="BT591" s="357"/>
      <c r="BU591" s="358">
        <f>IF(BS591=0,0,(BT591-BS591)/BS591*100)</f>
        <v>0</v>
      </c>
      <c r="BV591" s="357"/>
      <c r="BW591" s="357"/>
      <c r="BX591" s="358">
        <f>IF(BV591=0,0,(BW591-BV591)/BV591*100)</f>
        <v>0</v>
      </c>
      <c r="BY591" s="357"/>
      <c r="BZ591" s="357"/>
      <c r="CA591" s="358">
        <f>IF(BY591=0,0,(BZ591-BY591)/BY591*100)</f>
        <v>0</v>
      </c>
      <c r="CB591" s="357"/>
      <c r="CC591" s="357"/>
      <c r="CD591" s="358">
        <f>IF(CB591=0,0,(CC591-CB591)/CB591*100)</f>
        <v>0</v>
      </c>
      <c r="CE591" s="357"/>
      <c r="CF591" s="357"/>
      <c r="CG591" s="358">
        <f>IF(CE591=0,0,(CF591-CE591)/CE591*100)</f>
        <v>0</v>
      </c>
      <c r="CH591" s="357"/>
      <c r="CI591" s="357"/>
      <c r="CJ591" s="358">
        <f>IF(CH591=0,0,(CI591-CH591)/CH591*100)</f>
        <v>0</v>
      </c>
      <c r="CK591" s="357"/>
      <c r="CL591" s="357"/>
      <c r="CM591" s="358">
        <f>IF(CK591=0,0,(CL591-CK591)/CK591*100)</f>
        <v>0</v>
      </c>
      <c r="CN591" s="357"/>
      <c r="CO591" s="357"/>
      <c r="CP591" s="358">
        <f>IF(CN591=0,0,(CO591-CN591)/CN591*100)</f>
        <v>0</v>
      </c>
      <c r="CQ591" s="357"/>
      <c r="CR591" s="357"/>
      <c r="CS591" s="358">
        <f>IF(CQ591=0,0,(CR591-CQ591)/CQ591*100)</f>
        <v>0</v>
      </c>
      <c r="CT591" s="357"/>
      <c r="CU591" s="357"/>
      <c r="CV591" s="358">
        <f>IF(CT591=0,0,(CU591-CT591)/CT591*100)</f>
        <v>0</v>
      </c>
      <c r="CW591" s="357"/>
      <c r="CX591" s="357"/>
      <c r="CY591" s="358">
        <f>IF(CW591=0,0,(CX591-CW591)/CW591*100)</f>
        <v>0</v>
      </c>
      <c r="CZ591" s="357"/>
      <c r="DA591" s="357"/>
      <c r="DB591" s="358">
        <f>IF(CZ591=0,0,(DA591-CZ591)/CZ591*100)</f>
        <v>0</v>
      </c>
      <c r="DC591" s="357"/>
      <c r="DD591" s="357"/>
      <c r="DE591" s="358">
        <f>IF(DC591=0,0,(DD591-DC591)/DC591*100)</f>
        <v>0</v>
      </c>
      <c r="DF591" s="357"/>
      <c r="DG591" s="357"/>
      <c r="DH591" s="358">
        <f>IF(DF591=0,0,(DG591-DF591)/DF591*100)</f>
        <v>0</v>
      </c>
      <c r="DI591" s="357"/>
      <c r="DJ591" s="357"/>
      <c r="DK591" s="358">
        <f>IF(DI591=0,0,(DJ591-DI591)/DI591*100)</f>
        <v>0</v>
      </c>
      <c r="DL591" s="357"/>
      <c r="DM591" s="357"/>
      <c r="DN591" s="358">
        <f>IF(DL591=0,0,(DM591-DL591)/DL591*100)</f>
        <v>0</v>
      </c>
      <c r="DO591" s="357"/>
      <c r="DP591" s="357"/>
      <c r="DQ591" s="358">
        <f>IF(DO591=0,0,(DP591-DO591)/DO591*100)</f>
        <v>0</v>
      </c>
      <c r="DR591" s="357"/>
      <c r="DS591" s="357"/>
      <c r="DT591" s="358">
        <f>IF(DR591=0,0,(DS591-DR591)/DR591*100)</f>
        <v>0</v>
      </c>
      <c r="DU591" s="357"/>
      <c r="DV591" s="357"/>
      <c r="DW591" s="358">
        <f>IF(DU591=0,0,(DV591-DU591)/DU591*100)</f>
        <v>0</v>
      </c>
      <c r="DX591" s="357"/>
      <c r="DY591" s="357"/>
      <c r="DZ591" s="358">
        <f>IF(DX591=0,0,(DY591-DX591)/DX591*100)</f>
        <v>0</v>
      </c>
      <c r="EA591" s="357"/>
      <c r="EB591" s="357"/>
      <c r="EC591" s="358">
        <f>IF(EA591=0,0,(EB591-EA591)/EA591*100)</f>
        <v>0</v>
      </c>
      <c r="ED591" s="357"/>
      <c r="EE591" s="357"/>
      <c r="EF591" s="358">
        <f>IF(ED591=0,0,(EE591-ED591)/ED591*100)</f>
        <v>0</v>
      </c>
      <c r="EG591" s="357"/>
      <c r="EH591" s="357"/>
      <c r="EI591" s="358">
        <f>IF(EG591=0,0,(EH591-EG591)/EG591*100)</f>
        <v>0</v>
      </c>
      <c r="EJ591" s="357"/>
      <c r="EK591" s="357"/>
      <c r="EL591" s="358">
        <f>IF(EJ591=0,0,(EK591-EJ591)/EJ591*100)</f>
        <v>0</v>
      </c>
      <c r="EM591" s="357"/>
      <c r="EN591" s="357"/>
      <c r="EO591" s="358">
        <f>IF(EM591=0,0,(EN591-EM591)/EM591*100)</f>
        <v>0</v>
      </c>
      <c r="EP591" s="357"/>
      <c r="EQ591" s="357"/>
      <c r="ER591" s="358">
        <f>IF(EP591=0,0,(EQ591-EP591)/EP591*100)</f>
        <v>0</v>
      </c>
      <c r="ES591" s="357"/>
      <c r="ET591" s="357"/>
      <c r="EU591" s="358">
        <f>IF(ES591=0,0,(ET591-ES591)/ES591*100)</f>
        <v>0</v>
      </c>
      <c r="EV591" s="357"/>
      <c r="EW591" s="357"/>
      <c r="EX591" s="358">
        <f>IF(EV591=0,0,(EW591-EV591)/EV591*100)</f>
        <v>0</v>
      </c>
      <c r="EY591" s="357"/>
      <c r="EZ591" s="357"/>
      <c r="FA591" s="358">
        <f>IF(EY591=0,0,(EZ591-EY591)/EY591*100)</f>
        <v>0</v>
      </c>
      <c r="FB591" s="357"/>
      <c r="FC591" s="357"/>
      <c r="FD591" s="358">
        <f>IF(FB591=0,0,(FC591-FB591)/FB591*100)</f>
        <v>0</v>
      </c>
      <c r="FE591" s="357"/>
      <c r="FF591" s="357"/>
      <c r="FG591" s="358">
        <f>IF(FE591=0,0,(FF591-FE591)/FE591*100)</f>
        <v>0</v>
      </c>
    </row>
    <row r="592" spans="1:163" s="354" customFormat="1" ht="15" customHeight="1" outlineLevel="1">
      <c r="A592" s="295" t="str">
        <f t="shared" si="126"/>
        <v>1</v>
      </c>
      <c r="B592" s="104" t="s">
        <v>1169</v>
      </c>
      <c r="C592" s="598" t="s">
        <v>1491</v>
      </c>
      <c r="D592" s="598" t="s">
        <v>1722</v>
      </c>
      <c r="G592" s="295" t="b">
        <f>F582="одноставочный"</f>
        <v>1</v>
      </c>
      <c r="L592" s="355" t="s">
        <v>662</v>
      </c>
      <c r="M592" s="356" t="s">
        <v>652</v>
      </c>
      <c r="N592" s="357" t="e">
        <f>SUMIFS(INDEX(Калькуляция!$T$15:$AM$141,,MATCH(N$3,Калькуляция!$T$3:$AM$3,0)),Калькуляция!$A$15:$A$141,$A592,Калькуляция!$B$15:$B$141,$B592)</f>
        <v>#N/A</v>
      </c>
      <c r="O592" s="357" t="e">
        <f>SUMIFS(INDEX(Калькуляция!$T$15:$AM$141,,MATCH(O$3,Калькуляция!$T$3:$AM$3,0)),Калькуляция!$A$15:$A$141,$A592,Калькуляция!$B$15:$B$141,$B592)</f>
        <v>#N/A</v>
      </c>
      <c r="P592" s="358" t="e">
        <f>IF(N592=0,0,(O592-N592)/N592*100)</f>
        <v>#N/A</v>
      </c>
      <c r="Q592" s="357" t="e">
        <f>SUMIFS(INDEX(Калькуляция!$T$15:$AM$141,,MATCH(Q$3,Калькуляция!$T$3:$AM$3,0)),Калькуляция!$A$15:$A$141,$A592,Калькуляция!$B$15:$B$141,$B592)</f>
        <v>#N/A</v>
      </c>
      <c r="R592" s="357" t="e">
        <f>SUMIFS(INDEX(Калькуляция!$T$15:$AM$141,,MATCH(R$3,Калькуляция!$T$3:$AM$3,0)),Калькуляция!$A$15:$A$141,$A592,Калькуляция!$B$15:$B$141,$B592)</f>
        <v>#N/A</v>
      </c>
      <c r="S592" s="358" t="e">
        <f>IF(Q592=0,0,(R592-Q592)/Q592*100)</f>
        <v>#N/A</v>
      </c>
      <c r="T592" s="357" t="e">
        <f>SUMIFS(INDEX(Калькуляция!$T$15:$AM$141,,MATCH(T$3,Калькуляция!$T$3:$AM$3,0)),Калькуляция!$A$15:$A$141,$A592,Калькуляция!$B$15:$B$141,$B592)</f>
        <v>#N/A</v>
      </c>
      <c r="U592" s="357" t="e">
        <f>SUMIFS(INDEX(Калькуляция!$T$15:$AM$141,,MATCH(U$3,Калькуляция!$T$3:$AM$3,0)),Калькуляция!$A$15:$A$141,$A592,Калькуляция!$B$15:$B$141,$B592)</f>
        <v>#N/A</v>
      </c>
      <c r="V592" s="358" t="e">
        <f>IF(T592=0,0,(U592-T592)/T592*100)</f>
        <v>#N/A</v>
      </c>
      <c r="W592" s="357" t="e">
        <f>SUMIFS(INDEX(Калькуляция!$T$15:$AM$141,,MATCH(W$3,Калькуляция!$T$3:$AM$3,0)),Калькуляция!$A$15:$A$141,$A592,Калькуляция!$B$15:$B$141,$B592)</f>
        <v>#N/A</v>
      </c>
      <c r="X592" s="357" t="e">
        <f>SUMIFS(INDEX(Калькуляция!$T$15:$AM$141,,MATCH(X$3,Калькуляция!$T$3:$AM$3,0)),Калькуляция!$A$15:$A$141,$A592,Калькуляция!$B$15:$B$141,$B592)</f>
        <v>#N/A</v>
      </c>
      <c r="Y592" s="358" t="e">
        <f>IF(W592=0,0,(X592-W592)/W592*100)</f>
        <v>#N/A</v>
      </c>
      <c r="Z592" s="357" t="e">
        <f>SUMIFS(INDEX(Калькуляция!$T$15:$AM$141,,MATCH(Z$3,Калькуляция!$T$3:$AM$3,0)),Калькуляция!$A$15:$A$141,$A592,Калькуляция!$B$15:$B$141,$B592)</f>
        <v>#N/A</v>
      </c>
      <c r="AA592" s="357" t="e">
        <f>SUMIFS(INDEX(Калькуляция!$T$15:$AM$141,,MATCH(AA$3,Калькуляция!$T$3:$AM$3,0)),Калькуляция!$A$15:$A$141,$A592,Калькуляция!$B$15:$B$141,$B592)</f>
        <v>#N/A</v>
      </c>
      <c r="AB592" s="358" t="e">
        <f>IF(Z592=0,0,(AA592-Z592)/Z592*100)</f>
        <v>#N/A</v>
      </c>
      <c r="AC592" s="357" t="e">
        <f>SUMIFS(INDEX(Калькуляция!$T$15:$AM$141,,MATCH(AC$3,Калькуляция!$T$3:$AM$3,0)),Калькуляция!$A$15:$A$141,$A592,Калькуляция!$B$15:$B$141,$B592)</f>
        <v>#N/A</v>
      </c>
      <c r="AD592" s="357" t="e">
        <f>SUMIFS(INDEX(Калькуляция!$T$15:$AM$141,,MATCH(AD$3,Калькуляция!$T$3:$AM$3,0)),Калькуляция!$A$15:$A$141,$A592,Калькуляция!$B$15:$B$141,$B592)</f>
        <v>#N/A</v>
      </c>
      <c r="AE592" s="358" t="e">
        <f>IF(AC592=0,0,(AD592-AC592)/AC592*100)</f>
        <v>#N/A</v>
      </c>
      <c r="AF592" s="357" t="e">
        <f>SUMIFS(INDEX(Калькуляция!$T$15:$AM$141,,MATCH(AF$3,Калькуляция!$T$3:$AM$3,0)),Калькуляция!$A$15:$A$141,$A592,Калькуляция!$B$15:$B$141,$B592)</f>
        <v>#N/A</v>
      </c>
      <c r="AG592" s="357" t="e">
        <f>SUMIFS(INDEX(Калькуляция!$T$15:$AM$141,,MATCH(AG$3,Калькуляция!$T$3:$AM$3,0)),Калькуляция!$A$15:$A$141,$A592,Калькуляция!$B$15:$B$141,$B592)</f>
        <v>#N/A</v>
      </c>
      <c r="AH592" s="358" t="e">
        <f>IF(AF592=0,0,(AG592-AF592)/AF592*100)</f>
        <v>#N/A</v>
      </c>
      <c r="AI592" s="357" t="e">
        <f>SUMIFS(INDEX(Калькуляция!$T$15:$AM$141,,MATCH(AI$3,Калькуляция!$T$3:$AM$3,0)),Калькуляция!$A$15:$A$141,$A592,Калькуляция!$B$15:$B$141,$B592)</f>
        <v>#N/A</v>
      </c>
      <c r="AJ592" s="357" t="e">
        <f>SUMIFS(INDEX(Калькуляция!$T$15:$AM$141,,MATCH(AJ$3,Калькуляция!$T$3:$AM$3,0)),Калькуляция!$A$15:$A$141,$A592,Калькуляция!$B$15:$B$141,$B592)</f>
        <v>#N/A</v>
      </c>
      <c r="AK592" s="358" t="e">
        <f>IF(AI592=0,0,(AJ592-AI592)/AI592*100)</f>
        <v>#N/A</v>
      </c>
      <c r="AL592" s="357" t="e">
        <f>SUMIFS(INDEX(Калькуляция!$T$15:$AM$141,,MATCH(AL$3,Калькуляция!$T$3:$AM$3,0)),Калькуляция!$A$15:$A$141,$A592,Калькуляция!$B$15:$B$141,$B592)</f>
        <v>#N/A</v>
      </c>
      <c r="AM592" s="357" t="e">
        <f>SUMIFS(INDEX(Калькуляция!$T$15:$AM$141,,MATCH(AM$3,Калькуляция!$T$3:$AM$3,0)),Калькуляция!$A$15:$A$141,$A592,Калькуляция!$B$15:$B$141,$B592)</f>
        <v>#N/A</v>
      </c>
      <c r="AN592" s="358" t="e">
        <f>IF(AL592=0,0,(AM592-AL592)/AL592*100)</f>
        <v>#N/A</v>
      </c>
      <c r="AO592" s="357" t="e">
        <f>SUMIFS(INDEX(Калькуляция!$T$15:$AM$141,,MATCH(AO$3,Калькуляция!$T$3:$AM$3,0)),Калькуляция!$A$15:$A$141,$A592,Калькуляция!$B$15:$B$141,$B592)</f>
        <v>#N/A</v>
      </c>
      <c r="AP592" s="357" t="e">
        <f>SUMIFS(INDEX(Калькуляция!$T$15:$AM$141,,MATCH(AP$3,Калькуляция!$T$3:$AM$3,0)),Калькуляция!$A$15:$A$141,$A592,Калькуляция!$B$15:$B$141,$B592)</f>
        <v>#N/A</v>
      </c>
      <c r="AQ592" s="358" t="e">
        <f>IF(AO592=0,0,(AP592-AO592)/AO592*100)</f>
        <v>#N/A</v>
      </c>
      <c r="AR592" s="357"/>
      <c r="AS592" s="357"/>
      <c r="AT592" s="358">
        <f>IF(AR592=0,0,(AS592-AR592)/AR592*100)</f>
        <v>0</v>
      </c>
      <c r="AU592" s="357"/>
      <c r="AV592" s="357"/>
      <c r="AW592" s="358">
        <f>IF(AU592=0,0,(AV592-AU592)/AU592*100)</f>
        <v>0</v>
      </c>
      <c r="AX592" s="357"/>
      <c r="AY592" s="357"/>
      <c r="AZ592" s="358">
        <f>IF(AX592=0,0,(AY592-AX592)/AX592*100)</f>
        <v>0</v>
      </c>
      <c r="BA592" s="357"/>
      <c r="BB592" s="357"/>
      <c r="BC592" s="358">
        <f>IF(BA592=0,0,(BB592-BA592)/BA592*100)</f>
        <v>0</v>
      </c>
      <c r="BD592" s="357"/>
      <c r="BE592" s="357"/>
      <c r="BF592" s="358">
        <f>IF(BD592=0,0,(BE592-BD592)/BD592*100)</f>
        <v>0</v>
      </c>
      <c r="BG592" s="357"/>
      <c r="BH592" s="357"/>
      <c r="BI592" s="358">
        <f>IF(BG592=0,0,(BH592-BG592)/BG592*100)</f>
        <v>0</v>
      </c>
      <c r="BJ592" s="357"/>
      <c r="BK592" s="357"/>
      <c r="BL592" s="358">
        <f>IF(BJ592=0,0,(BK592-BJ592)/BJ592*100)</f>
        <v>0</v>
      </c>
      <c r="BM592" s="357"/>
      <c r="BN592" s="357"/>
      <c r="BO592" s="358">
        <f>IF(BM592=0,0,(BN592-BM592)/BM592*100)</f>
        <v>0</v>
      </c>
      <c r="BP592" s="357"/>
      <c r="BQ592" s="357"/>
      <c r="BR592" s="358">
        <f>IF(BP592=0,0,(BQ592-BP592)/BP592*100)</f>
        <v>0</v>
      </c>
      <c r="BS592" s="357"/>
      <c r="BT592" s="357"/>
      <c r="BU592" s="358">
        <f>IF(BS592=0,0,(BT592-BS592)/BS592*100)</f>
        <v>0</v>
      </c>
      <c r="BV592" s="357"/>
      <c r="BW592" s="357"/>
      <c r="BX592" s="358">
        <f>IF(BV592=0,0,(BW592-BV592)/BV592*100)</f>
        <v>0</v>
      </c>
      <c r="BY592" s="357"/>
      <c r="BZ592" s="357"/>
      <c r="CA592" s="358">
        <f>IF(BY592=0,0,(BZ592-BY592)/BY592*100)</f>
        <v>0</v>
      </c>
      <c r="CB592" s="357"/>
      <c r="CC592" s="357"/>
      <c r="CD592" s="358">
        <f>IF(CB592=0,0,(CC592-CB592)/CB592*100)</f>
        <v>0</v>
      </c>
      <c r="CE592" s="357"/>
      <c r="CF592" s="357"/>
      <c r="CG592" s="358">
        <f>IF(CE592=0,0,(CF592-CE592)/CE592*100)</f>
        <v>0</v>
      </c>
      <c r="CH592" s="357"/>
      <c r="CI592" s="357"/>
      <c r="CJ592" s="358">
        <f>IF(CH592=0,0,(CI592-CH592)/CH592*100)</f>
        <v>0</v>
      </c>
      <c r="CK592" s="357"/>
      <c r="CL592" s="357"/>
      <c r="CM592" s="358">
        <f>IF(CK592=0,0,(CL592-CK592)/CK592*100)</f>
        <v>0</v>
      </c>
      <c r="CN592" s="357"/>
      <c r="CO592" s="357"/>
      <c r="CP592" s="358">
        <f>IF(CN592=0,0,(CO592-CN592)/CN592*100)</f>
        <v>0</v>
      </c>
      <c r="CQ592" s="357"/>
      <c r="CR592" s="357"/>
      <c r="CS592" s="358">
        <f>IF(CQ592=0,0,(CR592-CQ592)/CQ592*100)</f>
        <v>0</v>
      </c>
      <c r="CT592" s="357"/>
      <c r="CU592" s="357"/>
      <c r="CV592" s="358">
        <f>IF(CT592=0,0,(CU592-CT592)/CT592*100)</f>
        <v>0</v>
      </c>
      <c r="CW592" s="357"/>
      <c r="CX592" s="357"/>
      <c r="CY592" s="358">
        <f>IF(CW592=0,0,(CX592-CW592)/CW592*100)</f>
        <v>0</v>
      </c>
      <c r="CZ592" s="357"/>
      <c r="DA592" s="357"/>
      <c r="DB592" s="358">
        <f>IF(CZ592=0,0,(DA592-CZ592)/CZ592*100)</f>
        <v>0</v>
      </c>
      <c r="DC592" s="357"/>
      <c r="DD592" s="357"/>
      <c r="DE592" s="358">
        <f>IF(DC592=0,0,(DD592-DC592)/DC592*100)</f>
        <v>0</v>
      </c>
      <c r="DF592" s="357"/>
      <c r="DG592" s="357"/>
      <c r="DH592" s="358">
        <f>IF(DF592=0,0,(DG592-DF592)/DF592*100)</f>
        <v>0</v>
      </c>
      <c r="DI592" s="357"/>
      <c r="DJ592" s="357"/>
      <c r="DK592" s="358">
        <f>IF(DI592=0,0,(DJ592-DI592)/DI592*100)</f>
        <v>0</v>
      </c>
      <c r="DL592" s="357"/>
      <c r="DM592" s="357"/>
      <c r="DN592" s="358">
        <f>IF(DL592=0,0,(DM592-DL592)/DL592*100)</f>
        <v>0</v>
      </c>
      <c r="DO592" s="357"/>
      <c r="DP592" s="357"/>
      <c r="DQ592" s="358">
        <f>IF(DO592=0,0,(DP592-DO592)/DO592*100)</f>
        <v>0</v>
      </c>
      <c r="DR592" s="357"/>
      <c r="DS592" s="357"/>
      <c r="DT592" s="358">
        <f>IF(DR592=0,0,(DS592-DR592)/DR592*100)</f>
        <v>0</v>
      </c>
      <c r="DU592" s="357"/>
      <c r="DV592" s="357"/>
      <c r="DW592" s="358">
        <f>IF(DU592=0,0,(DV592-DU592)/DU592*100)</f>
        <v>0</v>
      </c>
      <c r="DX592" s="357"/>
      <c r="DY592" s="357"/>
      <c r="DZ592" s="358">
        <f>IF(DX592=0,0,(DY592-DX592)/DX592*100)</f>
        <v>0</v>
      </c>
      <c r="EA592" s="357"/>
      <c r="EB592" s="357"/>
      <c r="EC592" s="358">
        <f>IF(EA592=0,0,(EB592-EA592)/EA592*100)</f>
        <v>0</v>
      </c>
      <c r="ED592" s="357"/>
      <c r="EE592" s="357"/>
      <c r="EF592" s="358">
        <f>IF(ED592=0,0,(EE592-ED592)/ED592*100)</f>
        <v>0</v>
      </c>
      <c r="EG592" s="357"/>
      <c r="EH592" s="357"/>
      <c r="EI592" s="358">
        <f>IF(EG592=0,0,(EH592-EG592)/EG592*100)</f>
        <v>0</v>
      </c>
      <c r="EJ592" s="357"/>
      <c r="EK592" s="357"/>
      <c r="EL592" s="358">
        <f>IF(EJ592=0,0,(EK592-EJ592)/EJ592*100)</f>
        <v>0</v>
      </c>
      <c r="EM592" s="357"/>
      <c r="EN592" s="357"/>
      <c r="EO592" s="358">
        <f>IF(EM592=0,0,(EN592-EM592)/EM592*100)</f>
        <v>0</v>
      </c>
      <c r="EP592" s="357"/>
      <c r="EQ592" s="357"/>
      <c r="ER592" s="358">
        <f>IF(EP592=0,0,(EQ592-EP592)/EP592*100)</f>
        <v>0</v>
      </c>
      <c r="ES592" s="357"/>
      <c r="ET592" s="357"/>
      <c r="EU592" s="358">
        <f>IF(ES592=0,0,(ET592-ES592)/ES592*100)</f>
        <v>0</v>
      </c>
      <c r="EV592" s="357"/>
      <c r="EW592" s="357"/>
      <c r="EX592" s="358">
        <f>IF(EV592=0,0,(EW592-EV592)/EV592*100)</f>
        <v>0</v>
      </c>
      <c r="EY592" s="357"/>
      <c r="EZ592" s="357"/>
      <c r="FA592" s="358">
        <f>IF(EY592=0,0,(EZ592-EY592)/EY592*100)</f>
        <v>0</v>
      </c>
      <c r="FB592" s="357"/>
      <c r="FC592" s="357"/>
      <c r="FD592" s="358">
        <f>IF(FB592=0,0,(FC592-FB592)/FB592*100)</f>
        <v>0</v>
      </c>
      <c r="FE592" s="357"/>
      <c r="FF592" s="357"/>
      <c r="FG592" s="358">
        <f>IF(FE592=0,0,(FF592-FE592)/FE592*100)</f>
        <v>0</v>
      </c>
    </row>
    <row r="593" spans="1:163" s="295" customFormat="1" ht="15" customHeight="1" outlineLevel="1">
      <c r="A593" s="295" t="str">
        <f t="shared" si="126"/>
        <v>1</v>
      </c>
      <c r="B593" s="104"/>
      <c r="C593" s="598" t="s">
        <v>1489</v>
      </c>
      <c r="D593" s="598" t="s">
        <v>1723</v>
      </c>
      <c r="G593" s="295" t="b">
        <f>F582="одноставочный"</f>
        <v>1</v>
      </c>
      <c r="L593" s="359" t="s">
        <v>659</v>
      </c>
      <c r="M593" s="360" t="s">
        <v>137</v>
      </c>
      <c r="N593" s="361" t="e">
        <f>IF(N591=0,0,N592/N591)*100</f>
        <v>#N/A</v>
      </c>
      <c r="O593" s="361" t="e">
        <f>IF(O591=0,0,O592/O591)*100</f>
        <v>#N/A</v>
      </c>
      <c r="P593" s="362"/>
      <c r="Q593" s="361" t="e">
        <f>IF(Q591=0,0,Q592/Q591)*100</f>
        <v>#N/A</v>
      </c>
      <c r="R593" s="361" t="e">
        <f>IF(R591=0,0,R592/R591)*100</f>
        <v>#N/A</v>
      </c>
      <c r="S593" s="362"/>
      <c r="T593" s="361" t="e">
        <f>IF(T591=0,0,T592/T591)*100</f>
        <v>#N/A</v>
      </c>
      <c r="U593" s="361" t="e">
        <f>IF(U591=0,0,U592/U591)*100</f>
        <v>#N/A</v>
      </c>
      <c r="V593" s="362"/>
      <c r="W593" s="361" t="e">
        <f>IF(W591=0,0,W592/W591)*100</f>
        <v>#N/A</v>
      </c>
      <c r="X593" s="361" t="e">
        <f>IF(X591=0,0,X592/X591)*100</f>
        <v>#N/A</v>
      </c>
      <c r="Y593" s="362"/>
      <c r="Z593" s="361" t="e">
        <f>IF(Z591=0,0,Z592/Z591)*100</f>
        <v>#N/A</v>
      </c>
      <c r="AA593" s="361" t="e">
        <f>IF(AA591=0,0,AA592/AA591)*100</f>
        <v>#N/A</v>
      </c>
      <c r="AB593" s="362"/>
      <c r="AC593" s="361" t="e">
        <f>IF(AC591=0,0,AC592/AC591)*100</f>
        <v>#N/A</v>
      </c>
      <c r="AD593" s="361" t="e">
        <f>IF(AD591=0,0,AD592/AD591)*100</f>
        <v>#N/A</v>
      </c>
      <c r="AE593" s="362"/>
      <c r="AF593" s="361" t="e">
        <f>IF(AF591=0,0,AF592/AF591)*100</f>
        <v>#N/A</v>
      </c>
      <c r="AG593" s="361" t="e">
        <f>IF(AG591=0,0,AG592/AG591)*100</f>
        <v>#N/A</v>
      </c>
      <c r="AH593" s="362"/>
      <c r="AI593" s="361" t="e">
        <f>IF(AI591=0,0,AI592/AI591)*100</f>
        <v>#N/A</v>
      </c>
      <c r="AJ593" s="361" t="e">
        <f>IF(AJ591=0,0,AJ592/AJ591)*100</f>
        <v>#N/A</v>
      </c>
      <c r="AK593" s="362"/>
      <c r="AL593" s="361" t="e">
        <f>IF(AL591=0,0,AL592/AL591)*100</f>
        <v>#N/A</v>
      </c>
      <c r="AM593" s="361" t="e">
        <f>IF(AM591=0,0,AM592/AM591)*100</f>
        <v>#N/A</v>
      </c>
      <c r="AN593" s="362"/>
      <c r="AO593" s="361" t="e">
        <f>IF(AO591=0,0,AO592/AO591)*100</f>
        <v>#N/A</v>
      </c>
      <c r="AP593" s="361" t="e">
        <f>IF(AP591=0,0,AP592/AP591)*100</f>
        <v>#N/A</v>
      </c>
      <c r="AQ593" s="362"/>
      <c r="AR593" s="361">
        <f>IF(AR591=0,0,AR592/AR591)*100</f>
        <v>0</v>
      </c>
      <c r="AS593" s="361">
        <f>IF(AS591=0,0,AS592/AS591)*100</f>
        <v>0</v>
      </c>
      <c r="AT593" s="362"/>
      <c r="AU593" s="361">
        <f>IF(AU591=0,0,AU592/AU591)*100</f>
        <v>0</v>
      </c>
      <c r="AV593" s="361">
        <f>IF(AV591=0,0,AV592/AV591)*100</f>
        <v>0</v>
      </c>
      <c r="AW593" s="362"/>
      <c r="AX593" s="361">
        <f>IF(AX591=0,0,AX592/AX591)*100</f>
        <v>0</v>
      </c>
      <c r="AY593" s="361">
        <f>IF(AY591=0,0,AY592/AY591)*100</f>
        <v>0</v>
      </c>
      <c r="AZ593" s="362"/>
      <c r="BA593" s="361">
        <f>IF(BA591=0,0,BA592/BA591)*100</f>
        <v>0</v>
      </c>
      <c r="BB593" s="361">
        <f>IF(BB591=0,0,BB592/BB591)*100</f>
        <v>0</v>
      </c>
      <c r="BC593" s="362"/>
      <c r="BD593" s="361">
        <f>IF(BD591=0,0,BD592/BD591)*100</f>
        <v>0</v>
      </c>
      <c r="BE593" s="361">
        <f>IF(BE591=0,0,BE592/BE591)*100</f>
        <v>0</v>
      </c>
      <c r="BF593" s="362"/>
      <c r="BG593" s="361">
        <f>IF(BG591=0,0,BG592/BG591)*100</f>
        <v>0</v>
      </c>
      <c r="BH593" s="361">
        <f>IF(BH591=0,0,BH592/BH591)*100</f>
        <v>0</v>
      </c>
      <c r="BI593" s="362"/>
      <c r="BJ593" s="361">
        <f>IF(BJ591=0,0,BJ592/BJ591)*100</f>
        <v>0</v>
      </c>
      <c r="BK593" s="361">
        <f>IF(BK591=0,0,BK592/BK591)*100</f>
        <v>0</v>
      </c>
      <c r="BL593" s="362"/>
      <c r="BM593" s="361">
        <f>IF(BM591=0,0,BM592/BM591)*100</f>
        <v>0</v>
      </c>
      <c r="BN593" s="361">
        <f>IF(BN591=0,0,BN592/BN591)*100</f>
        <v>0</v>
      </c>
      <c r="BO593" s="362"/>
      <c r="BP593" s="361">
        <f>IF(BP591=0,0,BP592/BP591)*100</f>
        <v>0</v>
      </c>
      <c r="BQ593" s="361">
        <f>IF(BQ591=0,0,BQ592/BQ591)*100</f>
        <v>0</v>
      </c>
      <c r="BR593" s="362"/>
      <c r="BS593" s="361">
        <f>IF(BS591=0,0,BS592/BS591)*100</f>
        <v>0</v>
      </c>
      <c r="BT593" s="361">
        <f>IF(BT591=0,0,BT592/BT591)*100</f>
        <v>0</v>
      </c>
      <c r="BU593" s="362"/>
      <c r="BV593" s="361">
        <f>IF(BV591=0,0,BV592/BV591)*100</f>
        <v>0</v>
      </c>
      <c r="BW593" s="361">
        <f>IF(BW591=0,0,BW592/BW591)*100</f>
        <v>0</v>
      </c>
      <c r="BX593" s="362"/>
      <c r="BY593" s="361">
        <f>IF(BY591=0,0,BY592/BY591)*100</f>
        <v>0</v>
      </c>
      <c r="BZ593" s="361">
        <f>IF(BZ591=0,0,BZ592/BZ591)*100</f>
        <v>0</v>
      </c>
      <c r="CA593" s="362"/>
      <c r="CB593" s="361">
        <f>IF(CB591=0,0,CB592/CB591)*100</f>
        <v>0</v>
      </c>
      <c r="CC593" s="361">
        <f>IF(CC591=0,0,CC592/CC591)*100</f>
        <v>0</v>
      </c>
      <c r="CD593" s="362"/>
      <c r="CE593" s="361">
        <f>IF(CE591=0,0,CE592/CE591)*100</f>
        <v>0</v>
      </c>
      <c r="CF593" s="361">
        <f>IF(CF591=0,0,CF592/CF591)*100</f>
        <v>0</v>
      </c>
      <c r="CG593" s="362"/>
      <c r="CH593" s="361">
        <f>IF(CH591=0,0,CH592/CH591)*100</f>
        <v>0</v>
      </c>
      <c r="CI593" s="361">
        <f>IF(CI591=0,0,CI592/CI591)*100</f>
        <v>0</v>
      </c>
      <c r="CJ593" s="362"/>
      <c r="CK593" s="361">
        <f>IF(CK591=0,0,CK592/CK591)*100</f>
        <v>0</v>
      </c>
      <c r="CL593" s="361">
        <f>IF(CL591=0,0,CL592/CL591)*100</f>
        <v>0</v>
      </c>
      <c r="CM593" s="362"/>
      <c r="CN593" s="361">
        <f>IF(CN591=0,0,CN592/CN591)*100</f>
        <v>0</v>
      </c>
      <c r="CO593" s="361">
        <f>IF(CO591=0,0,CO592/CO591)*100</f>
        <v>0</v>
      </c>
      <c r="CP593" s="362"/>
      <c r="CQ593" s="361">
        <f>IF(CQ591=0,0,CQ592/CQ591)*100</f>
        <v>0</v>
      </c>
      <c r="CR593" s="361">
        <f>IF(CR591=0,0,CR592/CR591)*100</f>
        <v>0</v>
      </c>
      <c r="CS593" s="362"/>
      <c r="CT593" s="361">
        <f>IF(CT591=0,0,CT592/CT591)*100</f>
        <v>0</v>
      </c>
      <c r="CU593" s="361">
        <f>IF(CU591=0,0,CU592/CU591)*100</f>
        <v>0</v>
      </c>
      <c r="CV593" s="362"/>
      <c r="CW593" s="361">
        <f>IF(CW591=0,0,CW592/CW591)*100</f>
        <v>0</v>
      </c>
      <c r="CX593" s="361">
        <f>IF(CX591=0,0,CX592/CX591)*100</f>
        <v>0</v>
      </c>
      <c r="CY593" s="362"/>
      <c r="CZ593" s="361">
        <f>IF(CZ591=0,0,CZ592/CZ591)*100</f>
        <v>0</v>
      </c>
      <c r="DA593" s="361">
        <f>IF(DA591=0,0,DA592/DA591)*100</f>
        <v>0</v>
      </c>
      <c r="DB593" s="362"/>
      <c r="DC593" s="361">
        <f>IF(DC591=0,0,DC592/DC591)*100</f>
        <v>0</v>
      </c>
      <c r="DD593" s="361">
        <f>IF(DD591=0,0,DD592/DD591)*100</f>
        <v>0</v>
      </c>
      <c r="DE593" s="362"/>
      <c r="DF593" s="361">
        <f>IF(DF591=0,0,DF592/DF591)*100</f>
        <v>0</v>
      </c>
      <c r="DG593" s="361">
        <f>IF(DG591=0,0,DG592/DG591)*100</f>
        <v>0</v>
      </c>
      <c r="DH593" s="362"/>
      <c r="DI593" s="361">
        <f>IF(DI591=0,0,DI592/DI591)*100</f>
        <v>0</v>
      </c>
      <c r="DJ593" s="361">
        <f>IF(DJ591=0,0,DJ592/DJ591)*100</f>
        <v>0</v>
      </c>
      <c r="DK593" s="362"/>
      <c r="DL593" s="361">
        <f>IF(DL591=0,0,DL592/DL591)*100</f>
        <v>0</v>
      </c>
      <c r="DM593" s="361">
        <f>IF(DM591=0,0,DM592/DM591)*100</f>
        <v>0</v>
      </c>
      <c r="DN593" s="362"/>
      <c r="DO593" s="361">
        <f>IF(DO591=0,0,DO592/DO591)*100</f>
        <v>0</v>
      </c>
      <c r="DP593" s="361">
        <f>IF(DP591=0,0,DP592/DP591)*100</f>
        <v>0</v>
      </c>
      <c r="DQ593" s="362"/>
      <c r="DR593" s="361">
        <f>IF(DR591=0,0,DR592/DR591)*100</f>
        <v>0</v>
      </c>
      <c r="DS593" s="361">
        <f>IF(DS591=0,0,DS592/DS591)*100</f>
        <v>0</v>
      </c>
      <c r="DT593" s="362"/>
      <c r="DU593" s="361">
        <f>IF(DU591=0,0,DU592/DU591)*100</f>
        <v>0</v>
      </c>
      <c r="DV593" s="361">
        <f>IF(DV591=0,0,DV592/DV591)*100</f>
        <v>0</v>
      </c>
      <c r="DW593" s="362"/>
      <c r="DX593" s="361">
        <f>IF(DX591=0,0,DX592/DX591)*100</f>
        <v>0</v>
      </c>
      <c r="DY593" s="361">
        <f>IF(DY591=0,0,DY592/DY591)*100</f>
        <v>0</v>
      </c>
      <c r="DZ593" s="362"/>
      <c r="EA593" s="361">
        <f>IF(EA591=0,0,EA592/EA591)*100</f>
        <v>0</v>
      </c>
      <c r="EB593" s="361">
        <f>IF(EB591=0,0,EB592/EB591)*100</f>
        <v>0</v>
      </c>
      <c r="EC593" s="362"/>
      <c r="ED593" s="361">
        <f>IF(ED591=0,0,ED592/ED591)*100</f>
        <v>0</v>
      </c>
      <c r="EE593" s="361">
        <f>IF(EE591=0,0,EE592/EE591)*100</f>
        <v>0</v>
      </c>
      <c r="EF593" s="362"/>
      <c r="EG593" s="361">
        <f>IF(EG591=0,0,EG592/EG591)*100</f>
        <v>0</v>
      </c>
      <c r="EH593" s="361">
        <f>IF(EH591=0,0,EH592/EH591)*100</f>
        <v>0</v>
      </c>
      <c r="EI593" s="362"/>
      <c r="EJ593" s="361">
        <f>IF(EJ591=0,0,EJ592/EJ591)*100</f>
        <v>0</v>
      </c>
      <c r="EK593" s="361">
        <f>IF(EK591=0,0,EK592/EK591)*100</f>
        <v>0</v>
      </c>
      <c r="EL593" s="362"/>
      <c r="EM593" s="361">
        <f>IF(EM591=0,0,EM592/EM591)*100</f>
        <v>0</v>
      </c>
      <c r="EN593" s="361">
        <f>IF(EN591=0,0,EN592/EN591)*100</f>
        <v>0</v>
      </c>
      <c r="EO593" s="362"/>
      <c r="EP593" s="361">
        <f>IF(EP591=0,0,EP592/EP591)*100</f>
        <v>0</v>
      </c>
      <c r="EQ593" s="361">
        <f>IF(EQ591=0,0,EQ592/EQ591)*100</f>
        <v>0</v>
      </c>
      <c r="ER593" s="362"/>
      <c r="ES593" s="361">
        <f>IF(ES591=0,0,ES592/ES591)*100</f>
        <v>0</v>
      </c>
      <c r="ET593" s="361">
        <f>IF(ET591=0,0,ET592/ET591)*100</f>
        <v>0</v>
      </c>
      <c r="EU593" s="362"/>
      <c r="EV593" s="361">
        <f>IF(EV591=0,0,EV592/EV591)*100</f>
        <v>0</v>
      </c>
      <c r="EW593" s="361">
        <f>IF(EW591=0,0,EW592/EW591)*100</f>
        <v>0</v>
      </c>
      <c r="EX593" s="362"/>
      <c r="EY593" s="361">
        <f>IF(EY591=0,0,EY592/EY591)*100</f>
        <v>0</v>
      </c>
      <c r="EZ593" s="361">
        <f>IF(EZ591=0,0,EZ592/EZ591)*100</f>
        <v>0</v>
      </c>
      <c r="FA593" s="362"/>
      <c r="FB593" s="361">
        <f>IF(FB591=0,0,FB592/FB591)*100</f>
        <v>0</v>
      </c>
      <c r="FC593" s="361">
        <f>IF(FC591=0,0,FC592/FC591)*100</f>
        <v>0</v>
      </c>
      <c r="FD593" s="362"/>
      <c r="FE593" s="361">
        <f>IF(FE591=0,0,FE592/FE591)*100</f>
        <v>0</v>
      </c>
      <c r="FF593" s="361">
        <f>IF(FF591=0,0,FF592/FF591)*100</f>
        <v>0</v>
      </c>
      <c r="FG593" s="362"/>
    </row>
    <row r="594" spans="1:163" s="295" customFormat="1" ht="15" customHeight="1" outlineLevel="1">
      <c r="A594" s="295" t="str">
        <f t="shared" si="126"/>
        <v>1</v>
      </c>
      <c r="B594" s="104" t="s">
        <v>1177</v>
      </c>
      <c r="C594" s="598" t="s">
        <v>1490</v>
      </c>
      <c r="D594" s="598" t="s">
        <v>1723</v>
      </c>
      <c r="G594" s="295" t="b">
        <f>F582="одноставочный"</f>
        <v>1</v>
      </c>
      <c r="L594" s="359" t="s">
        <v>1171</v>
      </c>
      <c r="M594" s="360" t="s">
        <v>310</v>
      </c>
      <c r="N594" s="565" t="e">
        <f>SUMIFS(INDEX(Калькуляция!$T$15:$AM$141,,MATCH(N$3,Калькуляция!$T$3:$AM$3,0)),Калькуляция!$A$15:$A$141,$A594,Калькуляция!$B$15:$B$141,$B594)</f>
        <v>#N/A</v>
      </c>
      <c r="O594" s="565" t="e">
        <f>SUMIFS(INDEX(Калькуляция!$T$15:$AM$141,,MATCH(O$3,Калькуляция!$T$3:$AM$3,0)),Калькуляция!$A$15:$A$141,$A594,Калькуляция!$B$15:$B$141,$B594)</f>
        <v>#N/A</v>
      </c>
      <c r="P594" s="478" t="e">
        <f>IF(N594=0,0,(O594-N594)/N594*100)</f>
        <v>#N/A</v>
      </c>
      <c r="Q594" s="565" t="e">
        <f>SUMIFS(INDEX(Калькуляция!$T$15:$AM$141,,MATCH(Q$3,Калькуляция!$T$3:$AM$3,0)),Калькуляция!$A$15:$A$141,$A594,Калькуляция!$B$15:$B$141,$B594)</f>
        <v>#N/A</v>
      </c>
      <c r="R594" s="565" t="e">
        <f>SUMIFS(INDEX(Калькуляция!$T$15:$AM$141,,MATCH(R$3,Калькуляция!$T$3:$AM$3,0)),Калькуляция!$A$15:$A$141,$A594,Калькуляция!$B$15:$B$141,$B594)</f>
        <v>#N/A</v>
      </c>
      <c r="S594" s="478" t="e">
        <f>IF(Q594=0,0,(R594-Q594)/Q594*100)</f>
        <v>#N/A</v>
      </c>
      <c r="T594" s="565" t="e">
        <f>SUMIFS(INDEX(Калькуляция!$T$15:$AM$141,,MATCH(T$3,Калькуляция!$T$3:$AM$3,0)),Калькуляция!$A$15:$A$141,$A594,Калькуляция!$B$15:$B$141,$B594)</f>
        <v>#N/A</v>
      </c>
      <c r="U594" s="565" t="e">
        <f>SUMIFS(INDEX(Калькуляция!$T$15:$AM$141,,MATCH(U$3,Калькуляция!$T$3:$AM$3,0)),Калькуляция!$A$15:$A$141,$A594,Калькуляция!$B$15:$B$141,$B594)</f>
        <v>#N/A</v>
      </c>
      <c r="V594" s="478" t="e">
        <f>IF(T594=0,0,(U594-T594)/T594*100)</f>
        <v>#N/A</v>
      </c>
      <c r="W594" s="565" t="e">
        <f>SUMIFS(INDEX(Калькуляция!$T$15:$AM$141,,MATCH(W$3,Калькуляция!$T$3:$AM$3,0)),Калькуляция!$A$15:$A$141,$A594,Калькуляция!$B$15:$B$141,$B594)</f>
        <v>#N/A</v>
      </c>
      <c r="X594" s="565" t="e">
        <f>SUMIFS(INDEX(Калькуляция!$T$15:$AM$141,,MATCH(X$3,Калькуляция!$T$3:$AM$3,0)),Калькуляция!$A$15:$A$141,$A594,Калькуляция!$B$15:$B$141,$B594)</f>
        <v>#N/A</v>
      </c>
      <c r="Y594" s="478" t="e">
        <f>IF(W594=0,0,(X594-W594)/W594*100)</f>
        <v>#N/A</v>
      </c>
      <c r="Z594" s="565" t="e">
        <f>SUMIFS(INDEX(Калькуляция!$T$15:$AM$141,,MATCH(Z$3,Калькуляция!$T$3:$AM$3,0)),Калькуляция!$A$15:$A$141,$A594,Калькуляция!$B$15:$B$141,$B594)</f>
        <v>#N/A</v>
      </c>
      <c r="AA594" s="565" t="e">
        <f>SUMIFS(INDEX(Калькуляция!$T$15:$AM$141,,MATCH(AA$3,Калькуляция!$T$3:$AM$3,0)),Калькуляция!$A$15:$A$141,$A594,Калькуляция!$B$15:$B$141,$B594)</f>
        <v>#N/A</v>
      </c>
      <c r="AB594" s="478" t="e">
        <f>IF(Z594=0,0,(AA594-Z594)/Z594*100)</f>
        <v>#N/A</v>
      </c>
      <c r="AC594" s="565" t="e">
        <f>SUMIFS(INDEX(Калькуляция!$T$15:$AM$141,,MATCH(AC$3,Калькуляция!$T$3:$AM$3,0)),Калькуляция!$A$15:$A$141,$A594,Калькуляция!$B$15:$B$141,$B594)</f>
        <v>#N/A</v>
      </c>
      <c r="AD594" s="565" t="e">
        <f>SUMIFS(INDEX(Калькуляция!$T$15:$AM$141,,MATCH(AD$3,Калькуляция!$T$3:$AM$3,0)),Калькуляция!$A$15:$A$141,$A594,Калькуляция!$B$15:$B$141,$B594)</f>
        <v>#N/A</v>
      </c>
      <c r="AE594" s="478" t="e">
        <f>IF(AC594=0,0,(AD594-AC594)/AC594*100)</f>
        <v>#N/A</v>
      </c>
      <c r="AF594" s="565" t="e">
        <f>SUMIFS(INDEX(Калькуляция!$T$15:$AM$141,,MATCH(AF$3,Калькуляция!$T$3:$AM$3,0)),Калькуляция!$A$15:$A$141,$A594,Калькуляция!$B$15:$B$141,$B594)</f>
        <v>#N/A</v>
      </c>
      <c r="AG594" s="565" t="e">
        <f>SUMIFS(INDEX(Калькуляция!$T$15:$AM$141,,MATCH(AG$3,Калькуляция!$T$3:$AM$3,0)),Калькуляция!$A$15:$A$141,$A594,Калькуляция!$B$15:$B$141,$B594)</f>
        <v>#N/A</v>
      </c>
      <c r="AH594" s="478" t="e">
        <f>IF(AF594=0,0,(AG594-AF594)/AF594*100)</f>
        <v>#N/A</v>
      </c>
      <c r="AI594" s="565" t="e">
        <f>SUMIFS(INDEX(Калькуляция!$T$15:$AM$141,,MATCH(AI$3,Калькуляция!$T$3:$AM$3,0)),Калькуляция!$A$15:$A$141,$A594,Калькуляция!$B$15:$B$141,$B594)</f>
        <v>#N/A</v>
      </c>
      <c r="AJ594" s="565" t="e">
        <f>SUMIFS(INDEX(Калькуляция!$T$15:$AM$141,,MATCH(AJ$3,Калькуляция!$T$3:$AM$3,0)),Калькуляция!$A$15:$A$141,$A594,Калькуляция!$B$15:$B$141,$B594)</f>
        <v>#N/A</v>
      </c>
      <c r="AK594" s="478" t="e">
        <f>IF(AI594=0,0,(AJ594-AI594)/AI594*100)</f>
        <v>#N/A</v>
      </c>
      <c r="AL594" s="565" t="e">
        <f>SUMIFS(INDEX(Калькуляция!$T$15:$AM$141,,MATCH(AL$3,Калькуляция!$T$3:$AM$3,0)),Калькуляция!$A$15:$A$141,$A594,Калькуляция!$B$15:$B$141,$B594)</f>
        <v>#N/A</v>
      </c>
      <c r="AM594" s="565" t="e">
        <f>SUMIFS(INDEX(Калькуляция!$T$15:$AM$141,,MATCH(AM$3,Калькуляция!$T$3:$AM$3,0)),Калькуляция!$A$15:$A$141,$A594,Калькуляция!$B$15:$B$141,$B594)</f>
        <v>#N/A</v>
      </c>
      <c r="AN594" s="478" t="e">
        <f>IF(AL594=0,0,(AM594-AL594)/AL594*100)</f>
        <v>#N/A</v>
      </c>
      <c r="AO594" s="565" t="e">
        <f>SUMIFS(INDEX(Калькуляция!$T$15:$AM$141,,MATCH(AO$3,Калькуляция!$T$3:$AM$3,0)),Калькуляция!$A$15:$A$141,$A594,Калькуляция!$B$15:$B$141,$B594)</f>
        <v>#N/A</v>
      </c>
      <c r="AP594" s="565" t="e">
        <f>SUMIFS(INDEX(Калькуляция!$T$15:$AM$141,,MATCH(AP$3,Калькуляция!$T$3:$AM$3,0)),Калькуляция!$A$15:$A$141,$A594,Калькуляция!$B$15:$B$141,$B594)</f>
        <v>#N/A</v>
      </c>
      <c r="AQ594" s="478" t="e">
        <f>IF(AO594=0,0,(AP594-AO594)/AO594*100)</f>
        <v>#N/A</v>
      </c>
      <c r="AR594" s="565"/>
      <c r="AS594" s="565"/>
      <c r="AT594" s="478">
        <f>IF(AR594=0,0,(AS594-AR594)/AR594*100)</f>
        <v>0</v>
      </c>
      <c r="AU594" s="565"/>
      <c r="AV594" s="565"/>
      <c r="AW594" s="478">
        <f>IF(AU594=0,0,(AV594-AU594)/AU594*100)</f>
        <v>0</v>
      </c>
      <c r="AX594" s="565"/>
      <c r="AY594" s="565"/>
      <c r="AZ594" s="478">
        <f>IF(AX594=0,0,(AY594-AX594)/AX594*100)</f>
        <v>0</v>
      </c>
      <c r="BA594" s="565"/>
      <c r="BB594" s="565"/>
      <c r="BC594" s="478">
        <f>IF(BA594=0,0,(BB594-BA594)/BA594*100)</f>
        <v>0</v>
      </c>
      <c r="BD594" s="565"/>
      <c r="BE594" s="565"/>
      <c r="BF594" s="478">
        <f>IF(BD594=0,0,(BE594-BD594)/BD594*100)</f>
        <v>0</v>
      </c>
      <c r="BG594" s="565"/>
      <c r="BH594" s="565"/>
      <c r="BI594" s="478">
        <f>IF(BG594=0,0,(BH594-BG594)/BG594*100)</f>
        <v>0</v>
      </c>
      <c r="BJ594" s="565"/>
      <c r="BK594" s="565"/>
      <c r="BL594" s="478">
        <f>IF(BJ594=0,0,(BK594-BJ594)/BJ594*100)</f>
        <v>0</v>
      </c>
      <c r="BM594" s="565"/>
      <c r="BN594" s="565"/>
      <c r="BO594" s="478">
        <f>IF(BM594=0,0,(BN594-BM594)/BM594*100)</f>
        <v>0</v>
      </c>
      <c r="BP594" s="565"/>
      <c r="BQ594" s="565"/>
      <c r="BR594" s="478">
        <f>IF(BP594=0,0,(BQ594-BP594)/BP594*100)</f>
        <v>0</v>
      </c>
      <c r="BS594" s="565"/>
      <c r="BT594" s="565"/>
      <c r="BU594" s="478">
        <f>IF(BS594=0,0,(BT594-BS594)/BS594*100)</f>
        <v>0</v>
      </c>
      <c r="BV594" s="565"/>
      <c r="BW594" s="565"/>
      <c r="BX594" s="478">
        <f>IF(BV594=0,0,(BW594-BV594)/BV594*100)</f>
        <v>0</v>
      </c>
      <c r="BY594" s="565"/>
      <c r="BZ594" s="565"/>
      <c r="CA594" s="478">
        <f>IF(BY594=0,0,(BZ594-BY594)/BY594*100)</f>
        <v>0</v>
      </c>
      <c r="CB594" s="565"/>
      <c r="CC594" s="565"/>
      <c r="CD594" s="478">
        <f>IF(CB594=0,0,(CC594-CB594)/CB594*100)</f>
        <v>0</v>
      </c>
      <c r="CE594" s="565"/>
      <c r="CF594" s="565"/>
      <c r="CG594" s="478">
        <f>IF(CE594=0,0,(CF594-CE594)/CE594*100)</f>
        <v>0</v>
      </c>
      <c r="CH594" s="565"/>
      <c r="CI594" s="565"/>
      <c r="CJ594" s="478">
        <f>IF(CH594=0,0,(CI594-CH594)/CH594*100)</f>
        <v>0</v>
      </c>
      <c r="CK594" s="565"/>
      <c r="CL594" s="565"/>
      <c r="CM594" s="478">
        <f>IF(CK594=0,0,(CL594-CK594)/CK594*100)</f>
        <v>0</v>
      </c>
      <c r="CN594" s="565"/>
      <c r="CO594" s="565"/>
      <c r="CP594" s="478">
        <f>IF(CN594=0,0,(CO594-CN594)/CN594*100)</f>
        <v>0</v>
      </c>
      <c r="CQ594" s="565"/>
      <c r="CR594" s="565"/>
      <c r="CS594" s="478">
        <f>IF(CQ594=0,0,(CR594-CQ594)/CQ594*100)</f>
        <v>0</v>
      </c>
      <c r="CT594" s="565"/>
      <c r="CU594" s="565"/>
      <c r="CV594" s="478">
        <f>IF(CT594=0,0,(CU594-CT594)/CT594*100)</f>
        <v>0</v>
      </c>
      <c r="CW594" s="565"/>
      <c r="CX594" s="565"/>
      <c r="CY594" s="478">
        <f>IF(CW594=0,0,(CX594-CW594)/CW594*100)</f>
        <v>0</v>
      </c>
      <c r="CZ594" s="565"/>
      <c r="DA594" s="565"/>
      <c r="DB594" s="478">
        <f>IF(CZ594=0,0,(DA594-CZ594)/CZ594*100)</f>
        <v>0</v>
      </c>
      <c r="DC594" s="565"/>
      <c r="DD594" s="565"/>
      <c r="DE594" s="478">
        <f>IF(DC594=0,0,(DD594-DC594)/DC594*100)</f>
        <v>0</v>
      </c>
      <c r="DF594" s="565"/>
      <c r="DG594" s="565"/>
      <c r="DH594" s="478">
        <f>IF(DF594=0,0,(DG594-DF594)/DF594*100)</f>
        <v>0</v>
      </c>
      <c r="DI594" s="565"/>
      <c r="DJ594" s="565"/>
      <c r="DK594" s="478">
        <f>IF(DI594=0,0,(DJ594-DI594)/DI594*100)</f>
        <v>0</v>
      </c>
      <c r="DL594" s="565"/>
      <c r="DM594" s="565"/>
      <c r="DN594" s="478">
        <f>IF(DL594=0,0,(DM594-DL594)/DL594*100)</f>
        <v>0</v>
      </c>
      <c r="DO594" s="565"/>
      <c r="DP594" s="565"/>
      <c r="DQ594" s="478">
        <f>IF(DO594=0,0,(DP594-DO594)/DO594*100)</f>
        <v>0</v>
      </c>
      <c r="DR594" s="565"/>
      <c r="DS594" s="565"/>
      <c r="DT594" s="478">
        <f>IF(DR594=0,0,(DS594-DR594)/DR594*100)</f>
        <v>0</v>
      </c>
      <c r="DU594" s="565"/>
      <c r="DV594" s="565"/>
      <c r="DW594" s="478">
        <f>IF(DU594=0,0,(DV594-DU594)/DU594*100)</f>
        <v>0</v>
      </c>
      <c r="DX594" s="565"/>
      <c r="DY594" s="565"/>
      <c r="DZ594" s="478">
        <f>IF(DX594=0,0,(DY594-DX594)/DX594*100)</f>
        <v>0</v>
      </c>
      <c r="EA594" s="565"/>
      <c r="EB594" s="565"/>
      <c r="EC594" s="478">
        <f>IF(EA594=0,0,(EB594-EA594)/EA594*100)</f>
        <v>0</v>
      </c>
      <c r="ED594" s="565"/>
      <c r="EE594" s="565"/>
      <c r="EF594" s="478">
        <f>IF(ED594=0,0,(EE594-ED594)/ED594*100)</f>
        <v>0</v>
      </c>
      <c r="EG594" s="565"/>
      <c r="EH594" s="565"/>
      <c r="EI594" s="478">
        <f>IF(EG594=0,0,(EH594-EG594)/EG594*100)</f>
        <v>0</v>
      </c>
      <c r="EJ594" s="565"/>
      <c r="EK594" s="565"/>
      <c r="EL594" s="478">
        <f>IF(EJ594=0,0,(EK594-EJ594)/EJ594*100)</f>
        <v>0</v>
      </c>
      <c r="EM594" s="565"/>
      <c r="EN594" s="565"/>
      <c r="EO594" s="478">
        <f>IF(EM594=0,0,(EN594-EM594)/EM594*100)</f>
        <v>0</v>
      </c>
      <c r="EP594" s="565"/>
      <c r="EQ594" s="565"/>
      <c r="ER594" s="478">
        <f>IF(EP594=0,0,(EQ594-EP594)/EP594*100)</f>
        <v>0</v>
      </c>
      <c r="ES594" s="565"/>
      <c r="ET594" s="565"/>
      <c r="EU594" s="478">
        <f>IF(ES594=0,0,(ET594-ES594)/ES594*100)</f>
        <v>0</v>
      </c>
      <c r="EV594" s="565"/>
      <c r="EW594" s="565"/>
      <c r="EX594" s="478">
        <f>IF(EV594=0,0,(EW594-EV594)/EV594*100)</f>
        <v>0</v>
      </c>
      <c r="EY594" s="565"/>
      <c r="EZ594" s="565"/>
      <c r="FA594" s="478">
        <f>IF(EY594=0,0,(EZ594-EY594)/EY594*100)</f>
        <v>0</v>
      </c>
      <c r="FB594" s="565"/>
      <c r="FC594" s="565"/>
      <c r="FD594" s="478">
        <f>IF(FB594=0,0,(FC594-FB594)/FB594*100)</f>
        <v>0</v>
      </c>
      <c r="FE594" s="565"/>
      <c r="FF594" s="565"/>
      <c r="FG594" s="478">
        <f>IF(FE594=0,0,(FF594-FE594)/FE594*100)</f>
        <v>0</v>
      </c>
    </row>
    <row r="595" spans="1:163" s="295" customFormat="1" ht="15" customHeight="1" outlineLevel="1">
      <c r="A595" s="295" t="str">
        <f t="shared" si="126"/>
        <v>1</v>
      </c>
      <c r="C595" s="598" t="str">
        <f>A595&amp;"pIns1"</f>
        <v>1pIns1</v>
      </c>
      <c r="D595" s="598"/>
      <c r="G595" s="295" t="b">
        <f>F582="одноставочный"</f>
        <v>1</v>
      </c>
      <c r="J595" s="295" t="s">
        <v>1392</v>
      </c>
      <c r="L595" s="312" t="s">
        <v>352</v>
      </c>
      <c r="M595" s="311"/>
      <c r="N595" s="309"/>
      <c r="O595" s="309"/>
      <c r="P595" s="309"/>
      <c r="Q595" s="309"/>
      <c r="R595" s="309"/>
      <c r="S595" s="309"/>
      <c r="T595" s="309"/>
      <c r="U595" s="309"/>
      <c r="V595" s="309"/>
      <c r="W595" s="309"/>
      <c r="X595" s="309"/>
      <c r="Y595" s="309"/>
      <c r="Z595" s="309"/>
      <c r="AA595" s="309"/>
      <c r="AB595" s="309"/>
      <c r="AC595" s="309"/>
      <c r="AD595" s="309"/>
      <c r="AE595" s="309"/>
      <c r="AF595" s="309"/>
      <c r="AG595" s="309"/>
      <c r="AH595" s="309"/>
      <c r="AI595" s="309"/>
      <c r="AJ595" s="309"/>
      <c r="AK595" s="309"/>
      <c r="AL595" s="309"/>
      <c r="AM595" s="309"/>
      <c r="AN595" s="309"/>
      <c r="AO595" s="309"/>
      <c r="AP595" s="309"/>
      <c r="AQ595" s="309"/>
      <c r="AR595" s="309"/>
      <c r="AS595" s="309"/>
      <c r="AT595" s="309"/>
      <c r="AU595" s="309"/>
      <c r="AV595" s="309"/>
      <c r="AW595" s="309"/>
      <c r="AX595" s="309"/>
      <c r="AY595" s="309"/>
      <c r="AZ595" s="309"/>
      <c r="BA595" s="309"/>
      <c r="BB595" s="309"/>
      <c r="BC595" s="309"/>
      <c r="BD595" s="309"/>
      <c r="BE595" s="309"/>
      <c r="BF595" s="309"/>
      <c r="BG595" s="309"/>
      <c r="BH595" s="309"/>
      <c r="BI595" s="309"/>
      <c r="BJ595" s="309"/>
      <c r="BK595" s="309"/>
      <c r="BL595" s="309"/>
      <c r="BM595" s="309"/>
      <c r="BN595" s="309"/>
      <c r="BO595" s="309"/>
      <c r="BP595" s="309"/>
      <c r="BQ595" s="309"/>
      <c r="BR595" s="309"/>
      <c r="BS595" s="309"/>
      <c r="BT595" s="309"/>
      <c r="BU595" s="309"/>
      <c r="BV595" s="309"/>
      <c r="BW595" s="309"/>
      <c r="BX595" s="309"/>
      <c r="BY595" s="309"/>
      <c r="BZ595" s="309"/>
      <c r="CA595" s="309"/>
      <c r="CB595" s="309"/>
      <c r="CC595" s="309"/>
      <c r="CD595" s="309"/>
      <c r="CE595" s="309"/>
      <c r="CF595" s="309"/>
      <c r="CG595" s="309"/>
      <c r="CH595" s="309"/>
      <c r="CI595" s="309"/>
      <c r="CJ595" s="309"/>
      <c r="CK595" s="309"/>
      <c r="CL595" s="309"/>
      <c r="CM595" s="309"/>
      <c r="CN595" s="309"/>
      <c r="CO595" s="309"/>
      <c r="CP595" s="309"/>
      <c r="CQ595" s="309"/>
      <c r="CR595" s="309"/>
      <c r="CS595" s="309"/>
      <c r="CT595" s="309"/>
      <c r="CU595" s="309"/>
      <c r="CV595" s="309"/>
      <c r="CW595" s="309"/>
      <c r="CX595" s="309"/>
      <c r="CY595" s="309"/>
      <c r="CZ595" s="309"/>
      <c r="DA595" s="309"/>
      <c r="DB595" s="309"/>
      <c r="DC595" s="309"/>
      <c r="DD595" s="309"/>
      <c r="DE595" s="309"/>
      <c r="DF595" s="309"/>
      <c r="DG595" s="309"/>
      <c r="DH595" s="309"/>
      <c r="DI595" s="309"/>
      <c r="DJ595" s="309"/>
      <c r="DK595" s="309"/>
      <c r="DL595" s="309"/>
      <c r="DM595" s="309"/>
      <c r="DN595" s="309"/>
      <c r="DO595" s="309"/>
      <c r="DP595" s="309"/>
      <c r="DQ595" s="309"/>
      <c r="DR595" s="309"/>
      <c r="DS595" s="309"/>
      <c r="DT595" s="309"/>
      <c r="DU595" s="309"/>
      <c r="DV595" s="309"/>
      <c r="DW595" s="309"/>
      <c r="DX595" s="309"/>
      <c r="DY595" s="309"/>
      <c r="DZ595" s="309"/>
      <c r="EA595" s="309"/>
      <c r="EB595" s="309"/>
      <c r="EC595" s="309"/>
      <c r="ED595" s="309"/>
      <c r="EE595" s="309"/>
      <c r="EF595" s="309"/>
      <c r="EG595" s="309"/>
      <c r="EH595" s="309"/>
      <c r="EI595" s="309"/>
      <c r="EJ595" s="309"/>
      <c r="EK595" s="309"/>
      <c r="EL595" s="309"/>
      <c r="EM595" s="309"/>
      <c r="EN595" s="309"/>
      <c r="EO595" s="309"/>
      <c r="EP595" s="309"/>
      <c r="EQ595" s="309"/>
      <c r="ER595" s="309"/>
      <c r="ES595" s="309"/>
      <c r="ET595" s="309"/>
      <c r="EU595" s="309"/>
      <c r="EV595" s="309"/>
      <c r="EW595" s="309"/>
      <c r="EX595" s="309"/>
      <c r="EY595" s="309"/>
      <c r="EZ595" s="309"/>
      <c r="FA595" s="309"/>
      <c r="FB595" s="309"/>
      <c r="FC595" s="309"/>
      <c r="FD595" s="309"/>
      <c r="FE595" s="309"/>
      <c r="FF595" s="309"/>
      <c r="FG595" s="310"/>
    </row>
    <row r="596" spans="1:163" s="295" customFormat="1" ht="15" customHeight="1" outlineLevel="1">
      <c r="A596" s="295" t="str">
        <f>A594</f>
        <v>1</v>
      </c>
      <c r="C596" s="598"/>
      <c r="D596" s="598"/>
      <c r="G596" s="295" t="b">
        <f>F582="двухставочный"</f>
        <v>0</v>
      </c>
      <c r="L596" s="350" t="s">
        <v>663</v>
      </c>
      <c r="M596" s="351"/>
      <c r="N596" s="352"/>
      <c r="O596" s="352"/>
      <c r="P596" s="352"/>
      <c r="Q596" s="352"/>
      <c r="R596" s="352"/>
      <c r="S596" s="352"/>
      <c r="T596" s="352"/>
      <c r="U596" s="352"/>
      <c r="V596" s="352"/>
      <c r="W596" s="352"/>
      <c r="X596" s="352"/>
      <c r="Y596" s="352"/>
      <c r="Z596" s="352"/>
      <c r="AA596" s="352"/>
      <c r="AB596" s="352"/>
      <c r="AC596" s="352"/>
      <c r="AD596" s="352"/>
      <c r="AE596" s="352"/>
      <c r="AF596" s="352"/>
      <c r="AG596" s="352"/>
      <c r="AH596" s="352"/>
      <c r="AI596" s="352"/>
      <c r="AJ596" s="352"/>
      <c r="AK596" s="352"/>
      <c r="AL596" s="352"/>
      <c r="AM596" s="352"/>
      <c r="AN596" s="352"/>
      <c r="AO596" s="352"/>
      <c r="AP596" s="352"/>
      <c r="AQ596" s="352"/>
      <c r="AR596" s="352"/>
      <c r="AS596" s="352"/>
      <c r="AT596" s="352"/>
      <c r="AU596" s="352"/>
      <c r="AV596" s="352"/>
      <c r="AW596" s="352"/>
      <c r="AX596" s="352"/>
      <c r="AY596" s="352"/>
      <c r="AZ596" s="352"/>
      <c r="BA596" s="352"/>
      <c r="BB596" s="352"/>
      <c r="BC596" s="352"/>
      <c r="BD596" s="352"/>
      <c r="BE596" s="352"/>
      <c r="BF596" s="352"/>
      <c r="BG596" s="352"/>
      <c r="BH596" s="352"/>
      <c r="BI596" s="352"/>
      <c r="BJ596" s="352"/>
      <c r="BK596" s="352"/>
      <c r="BL596" s="352"/>
      <c r="BM596" s="352"/>
      <c r="BN596" s="352"/>
      <c r="BO596" s="352"/>
      <c r="BP596" s="352"/>
      <c r="BQ596" s="352"/>
      <c r="BR596" s="352"/>
      <c r="BS596" s="352"/>
      <c r="BT596" s="352"/>
      <c r="BU596" s="352"/>
      <c r="BV596" s="352"/>
      <c r="BW596" s="352"/>
      <c r="BX596" s="352"/>
      <c r="BY596" s="352"/>
      <c r="BZ596" s="352"/>
      <c r="CA596" s="352"/>
      <c r="CB596" s="352"/>
      <c r="CC596" s="352"/>
      <c r="CD596" s="352"/>
      <c r="CE596" s="352"/>
      <c r="CF596" s="352"/>
      <c r="CG596" s="352"/>
      <c r="CH596" s="352"/>
      <c r="CI596" s="352"/>
      <c r="CJ596" s="352"/>
      <c r="CK596" s="352"/>
      <c r="CL596" s="352"/>
      <c r="CM596" s="352"/>
      <c r="CN596" s="352"/>
      <c r="CO596" s="352"/>
      <c r="CP596" s="352"/>
      <c r="CQ596" s="352"/>
      <c r="CR596" s="352"/>
      <c r="CS596" s="352"/>
      <c r="CT596" s="352"/>
      <c r="CU596" s="352"/>
      <c r="CV596" s="352"/>
      <c r="CW596" s="352"/>
      <c r="CX596" s="352"/>
      <c r="CY596" s="352"/>
      <c r="CZ596" s="352"/>
      <c r="DA596" s="352"/>
      <c r="DB596" s="352"/>
      <c r="DC596" s="352"/>
      <c r="DD596" s="352"/>
      <c r="DE596" s="352"/>
      <c r="DF596" s="352"/>
      <c r="DG596" s="352"/>
      <c r="DH596" s="352"/>
      <c r="DI596" s="352"/>
      <c r="DJ596" s="352"/>
      <c r="DK596" s="352"/>
      <c r="DL596" s="352"/>
      <c r="DM596" s="352"/>
      <c r="DN596" s="352"/>
      <c r="DO596" s="352"/>
      <c r="DP596" s="352"/>
      <c r="DQ596" s="352"/>
      <c r="DR596" s="352"/>
      <c r="DS596" s="352"/>
      <c r="DT596" s="352"/>
      <c r="DU596" s="352"/>
      <c r="DV596" s="352"/>
      <c r="DW596" s="352"/>
      <c r="DX596" s="352"/>
      <c r="DY596" s="352"/>
      <c r="DZ596" s="352"/>
      <c r="EA596" s="352"/>
      <c r="EB596" s="352"/>
      <c r="EC596" s="352"/>
      <c r="ED596" s="352"/>
      <c r="EE596" s="352"/>
      <c r="EF596" s="352"/>
      <c r="EG596" s="352"/>
      <c r="EH596" s="352"/>
      <c r="EI596" s="352"/>
      <c r="EJ596" s="352"/>
      <c r="EK596" s="352"/>
      <c r="EL596" s="352"/>
      <c r="EM596" s="352"/>
      <c r="EN596" s="352"/>
      <c r="EO596" s="352"/>
      <c r="EP596" s="352"/>
      <c r="EQ596" s="352"/>
      <c r="ER596" s="352"/>
      <c r="ES596" s="352"/>
      <c r="ET596" s="352"/>
      <c r="EU596" s="352"/>
      <c r="EV596" s="352"/>
      <c r="EW596" s="352"/>
      <c r="EX596" s="352"/>
      <c r="EY596" s="352"/>
      <c r="EZ596" s="352"/>
      <c r="FA596" s="352"/>
      <c r="FB596" s="352"/>
      <c r="FC596" s="352"/>
      <c r="FD596" s="352"/>
      <c r="FE596" s="352"/>
      <c r="FF596" s="352"/>
      <c r="FG596" s="353"/>
    </row>
    <row r="597" spans="1:163" s="295" customFormat="1" ht="15" customHeight="1" outlineLevel="1">
      <c r="A597" s="295" t="str">
        <f t="shared" si="126"/>
        <v>1</v>
      </c>
      <c r="C597" s="598"/>
      <c r="D597" s="598"/>
      <c r="G597" s="295" t="b">
        <f>F582="двухставочный"</f>
        <v>0</v>
      </c>
      <c r="L597" s="365" t="s">
        <v>1178</v>
      </c>
      <c r="M597" s="366"/>
      <c r="N597" s="367"/>
      <c r="O597" s="367"/>
      <c r="P597" s="367"/>
      <c r="Q597" s="367"/>
      <c r="R597" s="367"/>
      <c r="S597" s="367"/>
      <c r="T597" s="367"/>
      <c r="U597" s="367"/>
      <c r="V597" s="367"/>
      <c r="W597" s="367"/>
      <c r="X597" s="367"/>
      <c r="Y597" s="367"/>
      <c r="Z597" s="367"/>
      <c r="AA597" s="367"/>
      <c r="AB597" s="367"/>
      <c r="AC597" s="367"/>
      <c r="AD597" s="367"/>
      <c r="AE597" s="367"/>
      <c r="AF597" s="367"/>
      <c r="AG597" s="367"/>
      <c r="AH597" s="367"/>
      <c r="AI597" s="367"/>
      <c r="AJ597" s="367"/>
      <c r="AK597" s="367"/>
      <c r="AL597" s="367"/>
      <c r="AM597" s="367"/>
      <c r="AN597" s="367"/>
      <c r="AO597" s="367"/>
      <c r="AP597" s="367"/>
      <c r="AQ597" s="367"/>
      <c r="AR597" s="367"/>
      <c r="AS597" s="367"/>
      <c r="AT597" s="367"/>
      <c r="AU597" s="367"/>
      <c r="AV597" s="367"/>
      <c r="AW597" s="367"/>
      <c r="AX597" s="367"/>
      <c r="AY597" s="367"/>
      <c r="AZ597" s="367"/>
      <c r="BA597" s="367"/>
      <c r="BB597" s="367"/>
      <c r="BC597" s="367"/>
      <c r="BD597" s="367"/>
      <c r="BE597" s="367"/>
      <c r="BF597" s="367"/>
      <c r="BG597" s="367"/>
      <c r="BH597" s="367"/>
      <c r="BI597" s="367"/>
      <c r="BJ597" s="367"/>
      <c r="BK597" s="367"/>
      <c r="BL597" s="367"/>
      <c r="BM597" s="367"/>
      <c r="BN597" s="367"/>
      <c r="BO597" s="367"/>
      <c r="BP597" s="367"/>
      <c r="BQ597" s="367"/>
      <c r="BR597" s="367"/>
      <c r="BS597" s="367"/>
      <c r="BT597" s="367"/>
      <c r="BU597" s="367"/>
      <c r="BV597" s="367"/>
      <c r="BW597" s="367"/>
      <c r="BX597" s="367"/>
      <c r="BY597" s="367"/>
      <c r="BZ597" s="367"/>
      <c r="CA597" s="367"/>
      <c r="CB597" s="367"/>
      <c r="CC597" s="367"/>
      <c r="CD597" s="367"/>
      <c r="CE597" s="367"/>
      <c r="CF597" s="367"/>
      <c r="CG597" s="367"/>
      <c r="CH597" s="367"/>
      <c r="CI597" s="367"/>
      <c r="CJ597" s="367"/>
      <c r="CK597" s="367"/>
      <c r="CL597" s="367"/>
      <c r="CM597" s="367"/>
      <c r="CN597" s="367"/>
      <c r="CO597" s="367"/>
      <c r="CP597" s="367"/>
      <c r="CQ597" s="367"/>
      <c r="CR597" s="367"/>
      <c r="CS597" s="367"/>
      <c r="CT597" s="367"/>
      <c r="CU597" s="367"/>
      <c r="CV597" s="367"/>
      <c r="CW597" s="367"/>
      <c r="CX597" s="367"/>
      <c r="CY597" s="367"/>
      <c r="CZ597" s="367"/>
      <c r="DA597" s="367"/>
      <c r="DB597" s="367"/>
      <c r="DC597" s="367"/>
      <c r="DD597" s="367"/>
      <c r="DE597" s="367"/>
      <c r="DF597" s="367"/>
      <c r="DG597" s="367"/>
      <c r="DH597" s="367"/>
      <c r="DI597" s="367"/>
      <c r="DJ597" s="367"/>
      <c r="DK597" s="367"/>
      <c r="DL597" s="367"/>
      <c r="DM597" s="367"/>
      <c r="DN597" s="367"/>
      <c r="DO597" s="367"/>
      <c r="DP597" s="367"/>
      <c r="DQ597" s="367"/>
      <c r="DR597" s="367"/>
      <c r="DS597" s="367"/>
      <c r="DT597" s="367"/>
      <c r="DU597" s="367"/>
      <c r="DV597" s="367"/>
      <c r="DW597" s="367"/>
      <c r="DX597" s="367"/>
      <c r="DY597" s="367"/>
      <c r="DZ597" s="367"/>
      <c r="EA597" s="367"/>
      <c r="EB597" s="367"/>
      <c r="EC597" s="367"/>
      <c r="ED597" s="367"/>
      <c r="EE597" s="367"/>
      <c r="EF597" s="367"/>
      <c r="EG597" s="367"/>
      <c r="EH597" s="367"/>
      <c r="EI597" s="367"/>
      <c r="EJ597" s="367"/>
      <c r="EK597" s="367"/>
      <c r="EL597" s="367"/>
      <c r="EM597" s="367"/>
      <c r="EN597" s="367"/>
      <c r="EO597" s="367"/>
      <c r="EP597" s="367"/>
      <c r="EQ597" s="367"/>
      <c r="ER597" s="367"/>
      <c r="ES597" s="367"/>
      <c r="ET597" s="367"/>
      <c r="EU597" s="367"/>
      <c r="EV597" s="367"/>
      <c r="EW597" s="367"/>
      <c r="EX597" s="367"/>
      <c r="EY597" s="367"/>
      <c r="EZ597" s="367"/>
      <c r="FA597" s="367"/>
      <c r="FB597" s="367"/>
      <c r="FC597" s="367"/>
      <c r="FD597" s="367"/>
      <c r="FE597" s="367"/>
      <c r="FF597" s="367"/>
      <c r="FG597" s="368"/>
    </row>
    <row r="598" spans="1:163" s="295" customFormat="1" ht="15" customHeight="1" outlineLevel="1">
      <c r="A598" s="295" t="str">
        <f t="shared" si="126"/>
        <v>1</v>
      </c>
      <c r="C598" s="598" t="s">
        <v>1604</v>
      </c>
      <c r="D598" s="598" t="s">
        <v>1718</v>
      </c>
      <c r="G598" s="295" t="b">
        <f>F582="двухставочный"</f>
        <v>0</v>
      </c>
      <c r="L598" s="369" t="s">
        <v>664</v>
      </c>
      <c r="M598" s="360" t="s">
        <v>652</v>
      </c>
      <c r="N598" s="363" t="e">
        <f>IF(N600=0,0,(N599*N600+N601*N602*6)/N600)</f>
        <v>#N/A</v>
      </c>
      <c r="O598" s="363" t="e">
        <f>IF(O600=0,0,(O599*O600+O601*O602*6)/O600)</f>
        <v>#N/A</v>
      </c>
      <c r="P598" s="362" t="e">
        <f>IF(N598=0,0,(O598-N598)/N598*100)</f>
        <v>#N/A</v>
      </c>
      <c r="Q598" s="363" t="e">
        <f>IF(Q600=0,0,(Q599*Q600+Q601*Q602*6)/Q600)</f>
        <v>#N/A</v>
      </c>
      <c r="R598" s="363" t="e">
        <f>IF(R600=0,0,(R599*R600+R601*R602*6)/R600)</f>
        <v>#N/A</v>
      </c>
      <c r="S598" s="362" t="e">
        <f>IF(Q598=0,0,(R598-Q598)/Q598*100)</f>
        <v>#N/A</v>
      </c>
      <c r="T598" s="363" t="e">
        <f>IF(T600=0,0,(T599*T600+T601*T602*6)/T600)</f>
        <v>#N/A</v>
      </c>
      <c r="U598" s="363" t="e">
        <f>IF(U600=0,0,(U599*U600+U601*U602*6)/U600)</f>
        <v>#N/A</v>
      </c>
      <c r="V598" s="362" t="e">
        <f>IF(T598=0,0,(U598-T598)/T598*100)</f>
        <v>#N/A</v>
      </c>
      <c r="W598" s="363" t="e">
        <f>IF(W600=0,0,(W599*W600+W601*W602*6)/W600)</f>
        <v>#N/A</v>
      </c>
      <c r="X598" s="363" t="e">
        <f>IF(X600=0,0,(X599*X600+X601*X602*6)/X600)</f>
        <v>#N/A</v>
      </c>
      <c r="Y598" s="362" t="e">
        <f>IF(W598=0,0,(X598-W598)/W598*100)</f>
        <v>#N/A</v>
      </c>
      <c r="Z598" s="363" t="e">
        <f>IF(Z600=0,0,(Z599*Z600+Z601*Z602*6)/Z600)</f>
        <v>#N/A</v>
      </c>
      <c r="AA598" s="363" t="e">
        <f>IF(AA600=0,0,(AA599*AA600+AA601*AA602*6)/AA600)</f>
        <v>#N/A</v>
      </c>
      <c r="AB598" s="362" t="e">
        <f>IF(Z598=0,0,(AA598-Z598)/Z598*100)</f>
        <v>#N/A</v>
      </c>
      <c r="AC598" s="363" t="e">
        <f>IF(AC600=0,0,(AC599*AC600+AC601*AC602*6)/AC600)</f>
        <v>#N/A</v>
      </c>
      <c r="AD598" s="363" t="e">
        <f>IF(AD600=0,0,(AD599*AD600+AD601*AD602*6)/AD600)</f>
        <v>#N/A</v>
      </c>
      <c r="AE598" s="362" t="e">
        <f>IF(AC598=0,0,(AD598-AC598)/AC598*100)</f>
        <v>#N/A</v>
      </c>
      <c r="AF598" s="363" t="e">
        <f>IF(AF600=0,0,(AF599*AF600+AF601*AF602*6)/AF600)</f>
        <v>#N/A</v>
      </c>
      <c r="AG598" s="363" t="e">
        <f>IF(AG600=0,0,(AG599*AG600+AG601*AG602*6)/AG600)</f>
        <v>#N/A</v>
      </c>
      <c r="AH598" s="362" t="e">
        <f>IF(AF598=0,0,(AG598-AF598)/AF598*100)</f>
        <v>#N/A</v>
      </c>
      <c r="AI598" s="363" t="e">
        <f>IF(AI600=0,0,(AI599*AI600+AI601*AI602*6)/AI600)</f>
        <v>#N/A</v>
      </c>
      <c r="AJ598" s="363" t="e">
        <f>IF(AJ600=0,0,(AJ599*AJ600+AJ601*AJ602*6)/AJ600)</f>
        <v>#N/A</v>
      </c>
      <c r="AK598" s="362" t="e">
        <f>IF(AI598=0,0,(AJ598-AI598)/AI598*100)</f>
        <v>#N/A</v>
      </c>
      <c r="AL598" s="363" t="e">
        <f>IF(AL600=0,0,(AL599*AL600+AL601*AL602*6)/AL600)</f>
        <v>#N/A</v>
      </c>
      <c r="AM598" s="363" t="e">
        <f>IF(AM600=0,0,(AM599*AM600+AM601*AM602*6)/AM600)</f>
        <v>#N/A</v>
      </c>
      <c r="AN598" s="362" t="e">
        <f>IF(AL598=0,0,(AM598-AL598)/AL598*100)</f>
        <v>#N/A</v>
      </c>
      <c r="AO598" s="363" t="e">
        <f>IF(AO600=0,0,(AO599*AO600+AO601*AO602*6)/AO600)</f>
        <v>#N/A</v>
      </c>
      <c r="AP598" s="363" t="e">
        <f>IF(AP600=0,0,(AP599*AP600+AP601*AP602*6)/AP600)</f>
        <v>#N/A</v>
      </c>
      <c r="AQ598" s="362" t="e">
        <f>IF(AO598=0,0,(AP598-AO598)/AO598*100)</f>
        <v>#N/A</v>
      </c>
      <c r="AR598" s="363">
        <f>IF(AR600=0,0,(AR599*AR600+AR601*AR602*6)/AR600)</f>
        <v>0</v>
      </c>
      <c r="AS598" s="363">
        <f>IF(AS600=0,0,(AS599*AS600+AS601*AS602*6)/AS600)</f>
        <v>0</v>
      </c>
      <c r="AT598" s="362">
        <f>IF(AR598=0,0,(AS598-AR598)/AR598*100)</f>
        <v>0</v>
      </c>
      <c r="AU598" s="363">
        <f>IF(AU600=0,0,(AU599*AU600+AU601*AU602*6)/AU600)</f>
        <v>0</v>
      </c>
      <c r="AV598" s="363">
        <f>IF(AV600=0,0,(AV599*AV600+AV601*AV602*6)/AV600)</f>
        <v>0</v>
      </c>
      <c r="AW598" s="362">
        <f>IF(AU598=0,0,(AV598-AU598)/AU598*100)</f>
        <v>0</v>
      </c>
      <c r="AX598" s="363">
        <f>IF(AX600=0,0,(AX599*AX600+AX601*AX602*6)/AX600)</f>
        <v>0</v>
      </c>
      <c r="AY598" s="363">
        <f>IF(AY600=0,0,(AY599*AY600+AY601*AY602*6)/AY600)</f>
        <v>0</v>
      </c>
      <c r="AZ598" s="362">
        <f>IF(AX598=0,0,(AY598-AX598)/AX598*100)</f>
        <v>0</v>
      </c>
      <c r="BA598" s="363">
        <f>IF(BA600=0,0,(BA599*BA600+BA601*BA602*6)/BA600)</f>
        <v>0</v>
      </c>
      <c r="BB598" s="363">
        <f>IF(BB600=0,0,(BB599*BB600+BB601*BB602*6)/BB600)</f>
        <v>0</v>
      </c>
      <c r="BC598" s="362">
        <f>IF(BA598=0,0,(BB598-BA598)/BA598*100)</f>
        <v>0</v>
      </c>
      <c r="BD598" s="363">
        <f>IF(BD600=0,0,(BD599*BD600+BD601*BD602*6)/BD600)</f>
        <v>0</v>
      </c>
      <c r="BE598" s="363">
        <f>IF(BE600=0,0,(BE599*BE600+BE601*BE602*6)/BE600)</f>
        <v>0</v>
      </c>
      <c r="BF598" s="362">
        <f>IF(BD598=0,0,(BE598-BD598)/BD598*100)</f>
        <v>0</v>
      </c>
      <c r="BG598" s="363">
        <f>IF(BG600=0,0,(BG599*BG600+BG601*BG602*6)/BG600)</f>
        <v>0</v>
      </c>
      <c r="BH598" s="363">
        <f>IF(BH600=0,0,(BH599*BH600+BH601*BH602*6)/BH600)</f>
        <v>0</v>
      </c>
      <c r="BI598" s="362">
        <f>IF(BG598=0,0,(BH598-BG598)/BG598*100)</f>
        <v>0</v>
      </c>
      <c r="BJ598" s="363">
        <f>IF(BJ600=0,0,(BJ599*BJ600+BJ601*BJ602*6)/BJ600)</f>
        <v>0</v>
      </c>
      <c r="BK598" s="363">
        <f>IF(BK600=0,0,(BK599*BK600+BK601*BK602*6)/BK600)</f>
        <v>0</v>
      </c>
      <c r="BL598" s="362">
        <f>IF(BJ598=0,0,(BK598-BJ598)/BJ598*100)</f>
        <v>0</v>
      </c>
      <c r="BM598" s="363">
        <f>IF(BM600=0,0,(BM599*BM600+BM601*BM602*6)/BM600)</f>
        <v>0</v>
      </c>
      <c r="BN598" s="363">
        <f>IF(BN600=0,0,(BN599*BN600+BN601*BN602*6)/BN600)</f>
        <v>0</v>
      </c>
      <c r="BO598" s="362">
        <f>IF(BM598=0,0,(BN598-BM598)/BM598*100)</f>
        <v>0</v>
      </c>
      <c r="BP598" s="363">
        <f>IF(BP600=0,0,(BP599*BP600+BP601*BP602*6)/BP600)</f>
        <v>0</v>
      </c>
      <c r="BQ598" s="363">
        <f>IF(BQ600=0,0,(BQ599*BQ600+BQ601*BQ602*6)/BQ600)</f>
        <v>0</v>
      </c>
      <c r="BR598" s="362">
        <f>IF(BP598=0,0,(BQ598-BP598)/BP598*100)</f>
        <v>0</v>
      </c>
      <c r="BS598" s="363">
        <f>IF(BS600=0,0,(BS599*BS600+BS601*BS602*6)/BS600)</f>
        <v>0</v>
      </c>
      <c r="BT598" s="363">
        <f>IF(BT600=0,0,(BT599*BT600+BT601*BT602*6)/BT600)</f>
        <v>0</v>
      </c>
      <c r="BU598" s="362">
        <f>IF(BS598=0,0,(BT598-BS598)/BS598*100)</f>
        <v>0</v>
      </c>
      <c r="BV598" s="363">
        <f>IF(BV600=0,0,(BV599*BV600+BV601*BV602*6)/BV600)</f>
        <v>0</v>
      </c>
      <c r="BW598" s="363">
        <f>IF(BW600=0,0,(BW599*BW600+BW601*BW602*6)/BW600)</f>
        <v>0</v>
      </c>
      <c r="BX598" s="362">
        <f>IF(BV598=0,0,(BW598-BV598)/BV598*100)</f>
        <v>0</v>
      </c>
      <c r="BY598" s="363">
        <f>IF(BY600=0,0,(BY599*BY600+BY601*BY602*6)/BY600)</f>
        <v>0</v>
      </c>
      <c r="BZ598" s="363">
        <f>IF(BZ600=0,0,(BZ599*BZ600+BZ601*BZ602*6)/BZ600)</f>
        <v>0</v>
      </c>
      <c r="CA598" s="362">
        <f>IF(BY598=0,0,(BZ598-BY598)/BY598*100)</f>
        <v>0</v>
      </c>
      <c r="CB598" s="363">
        <f>IF(CB600=0,0,(CB599*CB600+CB601*CB602*6)/CB600)</f>
        <v>0</v>
      </c>
      <c r="CC598" s="363">
        <f>IF(CC600=0,0,(CC599*CC600+CC601*CC602*6)/CC600)</f>
        <v>0</v>
      </c>
      <c r="CD598" s="362">
        <f>IF(CB598=0,0,(CC598-CB598)/CB598*100)</f>
        <v>0</v>
      </c>
      <c r="CE598" s="363">
        <f>IF(CE600=0,0,(CE599*CE600+CE601*CE602*6)/CE600)</f>
        <v>0</v>
      </c>
      <c r="CF598" s="363">
        <f>IF(CF600=0,0,(CF599*CF600+CF601*CF602*6)/CF600)</f>
        <v>0</v>
      </c>
      <c r="CG598" s="362">
        <f>IF(CE598=0,0,(CF598-CE598)/CE598*100)</f>
        <v>0</v>
      </c>
      <c r="CH598" s="363">
        <f>IF(CH600=0,0,(CH599*CH600+CH601*CH602*6)/CH600)</f>
        <v>0</v>
      </c>
      <c r="CI598" s="363">
        <f>IF(CI600=0,0,(CI599*CI600+CI601*CI602*6)/CI600)</f>
        <v>0</v>
      </c>
      <c r="CJ598" s="362">
        <f>IF(CH598=0,0,(CI598-CH598)/CH598*100)</f>
        <v>0</v>
      </c>
      <c r="CK598" s="363">
        <f>IF(CK600=0,0,(CK599*CK600+CK601*CK602*6)/CK600)</f>
        <v>0</v>
      </c>
      <c r="CL598" s="363">
        <f>IF(CL600=0,0,(CL599*CL600+CL601*CL602*6)/CL600)</f>
        <v>0</v>
      </c>
      <c r="CM598" s="362">
        <f>IF(CK598=0,0,(CL598-CK598)/CK598*100)</f>
        <v>0</v>
      </c>
      <c r="CN598" s="363">
        <f>IF(CN600=0,0,(CN599*CN600+CN601*CN602*6)/CN600)</f>
        <v>0</v>
      </c>
      <c r="CO598" s="363">
        <f>IF(CO600=0,0,(CO599*CO600+CO601*CO602*6)/CO600)</f>
        <v>0</v>
      </c>
      <c r="CP598" s="362">
        <f>IF(CN598=0,0,(CO598-CN598)/CN598*100)</f>
        <v>0</v>
      </c>
      <c r="CQ598" s="363">
        <f>IF(CQ600=0,0,(CQ599*CQ600+CQ601*CQ602*6)/CQ600)</f>
        <v>0</v>
      </c>
      <c r="CR598" s="363">
        <f>IF(CR600=0,0,(CR599*CR600+CR601*CR602*6)/CR600)</f>
        <v>0</v>
      </c>
      <c r="CS598" s="362">
        <f>IF(CQ598=0,0,(CR598-CQ598)/CQ598*100)</f>
        <v>0</v>
      </c>
      <c r="CT598" s="363">
        <f>IF(CT600=0,0,(CT599*CT600+CT601*CT602*6)/CT600)</f>
        <v>0</v>
      </c>
      <c r="CU598" s="363">
        <f>IF(CU600=0,0,(CU599*CU600+CU601*CU602*6)/CU600)</f>
        <v>0</v>
      </c>
      <c r="CV598" s="362">
        <f>IF(CT598=0,0,(CU598-CT598)/CT598*100)</f>
        <v>0</v>
      </c>
      <c r="CW598" s="363">
        <f>IF(CW600=0,0,(CW599*CW600+CW601*CW602*6)/CW600)</f>
        <v>0</v>
      </c>
      <c r="CX598" s="363">
        <f>IF(CX600=0,0,(CX599*CX600+CX601*CX602*6)/CX600)</f>
        <v>0</v>
      </c>
      <c r="CY598" s="362">
        <f>IF(CW598=0,0,(CX598-CW598)/CW598*100)</f>
        <v>0</v>
      </c>
      <c r="CZ598" s="363">
        <f>IF(CZ600=0,0,(CZ599*CZ600+CZ601*CZ602*6)/CZ600)</f>
        <v>0</v>
      </c>
      <c r="DA598" s="363">
        <f>IF(DA600=0,0,(DA599*DA600+DA601*DA602*6)/DA600)</f>
        <v>0</v>
      </c>
      <c r="DB598" s="362">
        <f>IF(CZ598=0,0,(DA598-CZ598)/CZ598*100)</f>
        <v>0</v>
      </c>
      <c r="DC598" s="363">
        <f>IF(DC600=0,0,(DC599*DC600+DC601*DC602*6)/DC600)</f>
        <v>0</v>
      </c>
      <c r="DD598" s="363">
        <f>IF(DD600=0,0,(DD599*DD600+DD601*DD602*6)/DD600)</f>
        <v>0</v>
      </c>
      <c r="DE598" s="362">
        <f>IF(DC598=0,0,(DD598-DC598)/DC598*100)</f>
        <v>0</v>
      </c>
      <c r="DF598" s="363">
        <f>IF(DF600=0,0,(DF599*DF600+DF601*DF602*6)/DF600)</f>
        <v>0</v>
      </c>
      <c r="DG598" s="363">
        <f>IF(DG600=0,0,(DG599*DG600+DG601*DG602*6)/DG600)</f>
        <v>0</v>
      </c>
      <c r="DH598" s="362">
        <f>IF(DF598=0,0,(DG598-DF598)/DF598*100)</f>
        <v>0</v>
      </c>
      <c r="DI598" s="363">
        <f>IF(DI600=0,0,(DI599*DI600+DI601*DI602*6)/DI600)</f>
        <v>0</v>
      </c>
      <c r="DJ598" s="363">
        <f>IF(DJ600=0,0,(DJ599*DJ600+DJ601*DJ602*6)/DJ600)</f>
        <v>0</v>
      </c>
      <c r="DK598" s="362">
        <f>IF(DI598=0,0,(DJ598-DI598)/DI598*100)</f>
        <v>0</v>
      </c>
      <c r="DL598" s="363">
        <f>IF(DL600=0,0,(DL599*DL600+DL601*DL602*6)/DL600)</f>
        <v>0</v>
      </c>
      <c r="DM598" s="363">
        <f>IF(DM600=0,0,(DM599*DM600+DM601*DM602*6)/DM600)</f>
        <v>0</v>
      </c>
      <c r="DN598" s="362">
        <f>IF(DL598=0,0,(DM598-DL598)/DL598*100)</f>
        <v>0</v>
      </c>
      <c r="DO598" s="363">
        <f>IF(DO600=0,0,(DO599*DO600+DO601*DO602*6)/DO600)</f>
        <v>0</v>
      </c>
      <c r="DP598" s="363">
        <f>IF(DP600=0,0,(DP599*DP600+DP601*DP602*6)/DP600)</f>
        <v>0</v>
      </c>
      <c r="DQ598" s="362">
        <f>IF(DO598=0,0,(DP598-DO598)/DO598*100)</f>
        <v>0</v>
      </c>
      <c r="DR598" s="363">
        <f>IF(DR600=0,0,(DR599*DR600+DR601*DR602*6)/DR600)</f>
        <v>0</v>
      </c>
      <c r="DS598" s="363">
        <f>IF(DS600=0,0,(DS599*DS600+DS601*DS602*6)/DS600)</f>
        <v>0</v>
      </c>
      <c r="DT598" s="362">
        <f>IF(DR598=0,0,(DS598-DR598)/DR598*100)</f>
        <v>0</v>
      </c>
      <c r="DU598" s="363">
        <f>IF(DU600=0,0,(DU599*DU600+DU601*DU602*6)/DU600)</f>
        <v>0</v>
      </c>
      <c r="DV598" s="363">
        <f>IF(DV600=0,0,(DV599*DV600+DV601*DV602*6)/DV600)</f>
        <v>0</v>
      </c>
      <c r="DW598" s="362">
        <f>IF(DU598=0,0,(DV598-DU598)/DU598*100)</f>
        <v>0</v>
      </c>
      <c r="DX598" s="363">
        <f>IF(DX600=0,0,(DX599*DX600+DX601*DX602*6)/DX600)</f>
        <v>0</v>
      </c>
      <c r="DY598" s="363">
        <f>IF(DY600=0,0,(DY599*DY600+DY601*DY602*6)/DY600)</f>
        <v>0</v>
      </c>
      <c r="DZ598" s="362">
        <f>IF(DX598=0,0,(DY598-DX598)/DX598*100)</f>
        <v>0</v>
      </c>
      <c r="EA598" s="363">
        <f>IF(EA600=0,0,(EA599*EA600+EA601*EA602*6)/EA600)</f>
        <v>0</v>
      </c>
      <c r="EB598" s="363">
        <f>IF(EB600=0,0,(EB599*EB600+EB601*EB602*6)/EB600)</f>
        <v>0</v>
      </c>
      <c r="EC598" s="362">
        <f>IF(EA598=0,0,(EB598-EA598)/EA598*100)</f>
        <v>0</v>
      </c>
      <c r="ED598" s="363">
        <f>IF(ED600=0,0,(ED599*ED600+ED601*ED602*6)/ED600)</f>
        <v>0</v>
      </c>
      <c r="EE598" s="363">
        <f>IF(EE600=0,0,(EE599*EE600+EE601*EE602*6)/EE600)</f>
        <v>0</v>
      </c>
      <c r="EF598" s="362">
        <f>IF(ED598=0,0,(EE598-ED598)/ED598*100)</f>
        <v>0</v>
      </c>
      <c r="EG598" s="363">
        <f>IF(EG600=0,0,(EG599*EG600+EG601*EG602*6)/EG600)</f>
        <v>0</v>
      </c>
      <c r="EH598" s="363">
        <f>IF(EH600=0,0,(EH599*EH600+EH601*EH602*6)/EH600)</f>
        <v>0</v>
      </c>
      <c r="EI598" s="362">
        <f>IF(EG598=0,0,(EH598-EG598)/EG598*100)</f>
        <v>0</v>
      </c>
      <c r="EJ598" s="363">
        <f>IF(EJ600=0,0,(EJ599*EJ600+EJ601*EJ602*6)/EJ600)</f>
        <v>0</v>
      </c>
      <c r="EK598" s="363">
        <f>IF(EK600=0,0,(EK599*EK600+EK601*EK602*6)/EK600)</f>
        <v>0</v>
      </c>
      <c r="EL598" s="362">
        <f>IF(EJ598=0,0,(EK598-EJ598)/EJ598*100)</f>
        <v>0</v>
      </c>
      <c r="EM598" s="363">
        <f>IF(EM600=0,0,(EM599*EM600+EM601*EM602*6)/EM600)</f>
        <v>0</v>
      </c>
      <c r="EN598" s="363">
        <f>IF(EN600=0,0,(EN599*EN600+EN601*EN602*6)/EN600)</f>
        <v>0</v>
      </c>
      <c r="EO598" s="362">
        <f>IF(EM598=0,0,(EN598-EM598)/EM598*100)</f>
        <v>0</v>
      </c>
      <c r="EP598" s="363">
        <f>IF(EP600=0,0,(EP599*EP600+EP601*EP602*6)/EP600)</f>
        <v>0</v>
      </c>
      <c r="EQ598" s="363">
        <f>IF(EQ600=0,0,(EQ599*EQ600+EQ601*EQ602*6)/EQ600)</f>
        <v>0</v>
      </c>
      <c r="ER598" s="362">
        <f>IF(EP598=0,0,(EQ598-EP598)/EP598*100)</f>
        <v>0</v>
      </c>
      <c r="ES598" s="363">
        <f>IF(ES600=0,0,(ES599*ES600+ES601*ES602*6)/ES600)</f>
        <v>0</v>
      </c>
      <c r="ET598" s="363">
        <f>IF(ET600=0,0,(ET599*ET600+ET601*ET602*6)/ET600)</f>
        <v>0</v>
      </c>
      <c r="EU598" s="362">
        <f>IF(ES598=0,0,(ET598-ES598)/ES598*100)</f>
        <v>0</v>
      </c>
      <c r="EV598" s="363">
        <f>IF(EV600=0,0,(EV599*EV600+EV601*EV602*6)/EV600)</f>
        <v>0</v>
      </c>
      <c r="EW598" s="363">
        <f>IF(EW600=0,0,(EW599*EW600+EW601*EW602*6)/EW600)</f>
        <v>0</v>
      </c>
      <c r="EX598" s="362">
        <f>IF(EV598=0,0,(EW598-EV598)/EV598*100)</f>
        <v>0</v>
      </c>
      <c r="EY598" s="363">
        <f>IF(EY600=0,0,(EY599*EY600+EY601*EY602*6)/EY600)</f>
        <v>0</v>
      </c>
      <c r="EZ598" s="363">
        <f>IF(EZ600=0,0,(EZ599*EZ600+EZ601*EZ602*6)/EZ600)</f>
        <v>0</v>
      </c>
      <c r="FA598" s="362">
        <f>IF(EY598=0,0,(EZ598-EY598)/EY598*100)</f>
        <v>0</v>
      </c>
      <c r="FB598" s="363">
        <f>IF(FB600=0,0,(FB599*FB600+FB601*FB602*6)/FB600)</f>
        <v>0</v>
      </c>
      <c r="FC598" s="363">
        <f>IF(FC600=0,0,(FC599*FC600+FC601*FC602*6)/FC600)</f>
        <v>0</v>
      </c>
      <c r="FD598" s="362">
        <f>IF(FB598=0,0,(FC598-FB598)/FB598*100)</f>
        <v>0</v>
      </c>
      <c r="FE598" s="363">
        <f>IF(FE600=0,0,(FE599*FE600+FE601*FE602*6)/FE600)</f>
        <v>0</v>
      </c>
      <c r="FF598" s="363">
        <f>IF(FF600=0,0,(FF599*FF600+FF601*FF602*6)/FF600)</f>
        <v>0</v>
      </c>
      <c r="FG598" s="362">
        <f>IF(FE598=0,0,(FF598-FE598)/FE598*100)</f>
        <v>0</v>
      </c>
    </row>
    <row r="599" spans="1:163" s="295" customFormat="1" ht="15" customHeight="1" outlineLevel="1">
      <c r="A599" s="295" t="str">
        <f t="shared" si="126"/>
        <v>1</v>
      </c>
      <c r="C599" s="598" t="s">
        <v>1605</v>
      </c>
      <c r="D599" s="598" t="s">
        <v>1718</v>
      </c>
      <c r="G599" s="295" t="b">
        <f>F582="двухставочный"</f>
        <v>0</v>
      </c>
      <c r="L599" s="369" t="s">
        <v>665</v>
      </c>
      <c r="M599" s="360" t="s">
        <v>652</v>
      </c>
      <c r="N599" s="363"/>
      <c r="O599" s="363"/>
      <c r="P599" s="362">
        <f>IF(N599=0,0,(O599-N599)/N599*100)</f>
        <v>0</v>
      </c>
      <c r="Q599" s="363"/>
      <c r="R599" s="363"/>
      <c r="S599" s="362">
        <f>IF(Q599=0,0,(R599-Q599)/Q599*100)</f>
        <v>0</v>
      </c>
      <c r="T599" s="363"/>
      <c r="U599" s="363"/>
      <c r="V599" s="362">
        <f>IF(T599=0,0,(U599-T599)/T599*100)</f>
        <v>0</v>
      </c>
      <c r="W599" s="363"/>
      <c r="X599" s="363"/>
      <c r="Y599" s="362">
        <f>IF(W599=0,0,(X599-W599)/W599*100)</f>
        <v>0</v>
      </c>
      <c r="Z599" s="363"/>
      <c r="AA599" s="363"/>
      <c r="AB599" s="362">
        <f>IF(Z599=0,0,(AA599-Z599)/Z599*100)</f>
        <v>0</v>
      </c>
      <c r="AC599" s="363"/>
      <c r="AD599" s="363"/>
      <c r="AE599" s="362">
        <f>IF(AC599=0,0,(AD599-AC599)/AC599*100)</f>
        <v>0</v>
      </c>
      <c r="AF599" s="363"/>
      <c r="AG599" s="363"/>
      <c r="AH599" s="362">
        <f>IF(AF599=0,0,(AG599-AF599)/AF599*100)</f>
        <v>0</v>
      </c>
      <c r="AI599" s="363"/>
      <c r="AJ599" s="363"/>
      <c r="AK599" s="362">
        <f>IF(AI599=0,0,(AJ599-AI599)/AI599*100)</f>
        <v>0</v>
      </c>
      <c r="AL599" s="363"/>
      <c r="AM599" s="363"/>
      <c r="AN599" s="362">
        <f>IF(AL599=0,0,(AM599-AL599)/AL599*100)</f>
        <v>0</v>
      </c>
      <c r="AO599" s="363"/>
      <c r="AP599" s="363"/>
      <c r="AQ599" s="362">
        <f>IF(AO599=0,0,(AP599-AO599)/AO599*100)</f>
        <v>0</v>
      </c>
      <c r="AR599" s="363"/>
      <c r="AS599" s="363"/>
      <c r="AT599" s="362">
        <f>IF(AR599=0,0,(AS599-AR599)/AR599*100)</f>
        <v>0</v>
      </c>
      <c r="AU599" s="363"/>
      <c r="AV599" s="363"/>
      <c r="AW599" s="362">
        <f>IF(AU599=0,0,(AV599-AU599)/AU599*100)</f>
        <v>0</v>
      </c>
      <c r="AX599" s="363"/>
      <c r="AY599" s="363"/>
      <c r="AZ599" s="362">
        <f>IF(AX599=0,0,(AY599-AX599)/AX599*100)</f>
        <v>0</v>
      </c>
      <c r="BA599" s="363"/>
      <c r="BB599" s="363"/>
      <c r="BC599" s="362">
        <f>IF(BA599=0,0,(BB599-BA599)/BA599*100)</f>
        <v>0</v>
      </c>
      <c r="BD599" s="363"/>
      <c r="BE599" s="363"/>
      <c r="BF599" s="362">
        <f>IF(BD599=0,0,(BE599-BD599)/BD599*100)</f>
        <v>0</v>
      </c>
      <c r="BG599" s="363"/>
      <c r="BH599" s="363"/>
      <c r="BI599" s="362">
        <f>IF(BG599=0,0,(BH599-BG599)/BG599*100)</f>
        <v>0</v>
      </c>
      <c r="BJ599" s="363"/>
      <c r="BK599" s="363"/>
      <c r="BL599" s="362">
        <f>IF(BJ599=0,0,(BK599-BJ599)/BJ599*100)</f>
        <v>0</v>
      </c>
      <c r="BM599" s="363"/>
      <c r="BN599" s="363"/>
      <c r="BO599" s="362">
        <f>IF(BM599=0,0,(BN599-BM599)/BM599*100)</f>
        <v>0</v>
      </c>
      <c r="BP599" s="363"/>
      <c r="BQ599" s="363"/>
      <c r="BR599" s="362">
        <f>IF(BP599=0,0,(BQ599-BP599)/BP599*100)</f>
        <v>0</v>
      </c>
      <c r="BS599" s="363"/>
      <c r="BT599" s="363"/>
      <c r="BU599" s="362">
        <f>IF(BS599=0,0,(BT599-BS599)/BS599*100)</f>
        <v>0</v>
      </c>
      <c r="BV599" s="363"/>
      <c r="BW599" s="363"/>
      <c r="BX599" s="362">
        <f>IF(BV599=0,0,(BW599-BV599)/BV599*100)</f>
        <v>0</v>
      </c>
      <c r="BY599" s="363"/>
      <c r="BZ599" s="363"/>
      <c r="CA599" s="362">
        <f>IF(BY599=0,0,(BZ599-BY599)/BY599*100)</f>
        <v>0</v>
      </c>
      <c r="CB599" s="363"/>
      <c r="CC599" s="363"/>
      <c r="CD599" s="362">
        <f>IF(CB599=0,0,(CC599-CB599)/CB599*100)</f>
        <v>0</v>
      </c>
      <c r="CE599" s="363"/>
      <c r="CF599" s="363"/>
      <c r="CG599" s="362">
        <f>IF(CE599=0,0,(CF599-CE599)/CE599*100)</f>
        <v>0</v>
      </c>
      <c r="CH599" s="363"/>
      <c r="CI599" s="363"/>
      <c r="CJ599" s="362">
        <f>IF(CH599=0,0,(CI599-CH599)/CH599*100)</f>
        <v>0</v>
      </c>
      <c r="CK599" s="363"/>
      <c r="CL599" s="363"/>
      <c r="CM599" s="362">
        <f>IF(CK599=0,0,(CL599-CK599)/CK599*100)</f>
        <v>0</v>
      </c>
      <c r="CN599" s="363"/>
      <c r="CO599" s="363"/>
      <c r="CP599" s="362">
        <f>IF(CN599=0,0,(CO599-CN599)/CN599*100)</f>
        <v>0</v>
      </c>
      <c r="CQ599" s="363"/>
      <c r="CR599" s="363"/>
      <c r="CS599" s="362">
        <f>IF(CQ599=0,0,(CR599-CQ599)/CQ599*100)</f>
        <v>0</v>
      </c>
      <c r="CT599" s="363"/>
      <c r="CU599" s="363"/>
      <c r="CV599" s="362">
        <f>IF(CT599=0,0,(CU599-CT599)/CT599*100)</f>
        <v>0</v>
      </c>
      <c r="CW599" s="363"/>
      <c r="CX599" s="363"/>
      <c r="CY599" s="362">
        <f>IF(CW599=0,0,(CX599-CW599)/CW599*100)</f>
        <v>0</v>
      </c>
      <c r="CZ599" s="363"/>
      <c r="DA599" s="363"/>
      <c r="DB599" s="362">
        <f>IF(CZ599=0,0,(DA599-CZ599)/CZ599*100)</f>
        <v>0</v>
      </c>
      <c r="DC599" s="363"/>
      <c r="DD599" s="363"/>
      <c r="DE599" s="362">
        <f>IF(DC599=0,0,(DD599-DC599)/DC599*100)</f>
        <v>0</v>
      </c>
      <c r="DF599" s="363"/>
      <c r="DG599" s="363"/>
      <c r="DH599" s="362">
        <f>IF(DF599=0,0,(DG599-DF599)/DF599*100)</f>
        <v>0</v>
      </c>
      <c r="DI599" s="363"/>
      <c r="DJ599" s="363"/>
      <c r="DK599" s="362">
        <f>IF(DI599=0,0,(DJ599-DI599)/DI599*100)</f>
        <v>0</v>
      </c>
      <c r="DL599" s="363"/>
      <c r="DM599" s="363"/>
      <c r="DN599" s="362">
        <f>IF(DL599=0,0,(DM599-DL599)/DL599*100)</f>
        <v>0</v>
      </c>
      <c r="DO599" s="363"/>
      <c r="DP599" s="363"/>
      <c r="DQ599" s="362">
        <f>IF(DO599=0,0,(DP599-DO599)/DO599*100)</f>
        <v>0</v>
      </c>
      <c r="DR599" s="363"/>
      <c r="DS599" s="363"/>
      <c r="DT599" s="362">
        <f>IF(DR599=0,0,(DS599-DR599)/DR599*100)</f>
        <v>0</v>
      </c>
      <c r="DU599" s="363"/>
      <c r="DV599" s="363"/>
      <c r="DW599" s="362">
        <f>IF(DU599=0,0,(DV599-DU599)/DU599*100)</f>
        <v>0</v>
      </c>
      <c r="DX599" s="363"/>
      <c r="DY599" s="363"/>
      <c r="DZ599" s="362">
        <f>IF(DX599=0,0,(DY599-DX599)/DX599*100)</f>
        <v>0</v>
      </c>
      <c r="EA599" s="363"/>
      <c r="EB599" s="363"/>
      <c r="EC599" s="362">
        <f>IF(EA599=0,0,(EB599-EA599)/EA599*100)</f>
        <v>0</v>
      </c>
      <c r="ED599" s="363"/>
      <c r="EE599" s="363"/>
      <c r="EF599" s="362">
        <f>IF(ED599=0,0,(EE599-ED599)/ED599*100)</f>
        <v>0</v>
      </c>
      <c r="EG599" s="363"/>
      <c r="EH599" s="363"/>
      <c r="EI599" s="362">
        <f>IF(EG599=0,0,(EH599-EG599)/EG599*100)</f>
        <v>0</v>
      </c>
      <c r="EJ599" s="363"/>
      <c r="EK599" s="363"/>
      <c r="EL599" s="362">
        <f>IF(EJ599=0,0,(EK599-EJ599)/EJ599*100)</f>
        <v>0</v>
      </c>
      <c r="EM599" s="363"/>
      <c r="EN599" s="363"/>
      <c r="EO599" s="362">
        <f>IF(EM599=0,0,(EN599-EM599)/EM599*100)</f>
        <v>0</v>
      </c>
      <c r="EP599" s="363"/>
      <c r="EQ599" s="363"/>
      <c r="ER599" s="362">
        <f>IF(EP599=0,0,(EQ599-EP599)/EP599*100)</f>
        <v>0</v>
      </c>
      <c r="ES599" s="363"/>
      <c r="ET599" s="363"/>
      <c r="EU599" s="362">
        <f>IF(ES599=0,0,(ET599-ES599)/ES599*100)</f>
        <v>0</v>
      </c>
      <c r="EV599" s="363"/>
      <c r="EW599" s="363"/>
      <c r="EX599" s="362">
        <f>IF(EV599=0,0,(EW599-EV599)/EV599*100)</f>
        <v>0</v>
      </c>
      <c r="EY599" s="363"/>
      <c r="EZ599" s="363"/>
      <c r="FA599" s="362">
        <f>IF(EY599=0,0,(EZ599-EY599)/EY599*100)</f>
        <v>0</v>
      </c>
      <c r="FB599" s="363"/>
      <c r="FC599" s="363"/>
      <c r="FD599" s="362">
        <f>IF(FB599=0,0,(FC599-FB599)/FB599*100)</f>
        <v>0</v>
      </c>
      <c r="FE599" s="363"/>
      <c r="FF599" s="363"/>
      <c r="FG599" s="362">
        <f>IF(FE599=0,0,(FF599-FE599)/FE599*100)</f>
        <v>0</v>
      </c>
    </row>
    <row r="600" spans="1:163" s="295" customFormat="1" ht="15" customHeight="1" outlineLevel="1">
      <c r="A600" s="295" t="str">
        <f t="shared" si="126"/>
        <v>1</v>
      </c>
      <c r="B600" s="104" t="s">
        <v>1172</v>
      </c>
      <c r="C600" s="598" t="s">
        <v>1660</v>
      </c>
      <c r="D600" s="598" t="s">
        <v>1718</v>
      </c>
      <c r="G600" s="295" t="b">
        <f>F582="двухставочный"</f>
        <v>0</v>
      </c>
      <c r="L600" s="369" t="s">
        <v>666</v>
      </c>
      <c r="M600" s="360" t="s">
        <v>310</v>
      </c>
      <c r="N600" s="565" t="e">
        <f>SUMIFS(INDEX(Калькуляция!$T$15:$AM$141,,MATCH(N$3,Калькуляция!$T$3:$AM$3,0)),Калькуляция!$A$15:$A$141,$A600,Калькуляция!$B$15:$B$141,$B600)</f>
        <v>#N/A</v>
      </c>
      <c r="O600" s="565" t="e">
        <f>SUMIFS(INDEX(Калькуляция!$T$15:$AM$141,,MATCH(O$3,Калькуляция!$T$3:$AM$3,0)),Калькуляция!$A$15:$A$141,$A600,Калькуляция!$B$15:$B$141,$B600)</f>
        <v>#N/A</v>
      </c>
      <c r="P600" s="478" t="e">
        <f>IF(N600=0,0,(O600-N600)/N600*100)</f>
        <v>#N/A</v>
      </c>
      <c r="Q600" s="565" t="e">
        <f>SUMIFS(INDEX(Калькуляция!$T$15:$AM$141,,MATCH(Q$3,Калькуляция!$T$3:$AM$3,0)),Калькуляция!$A$15:$A$141,$A600,Калькуляция!$B$15:$B$141,$B600)</f>
        <v>#N/A</v>
      </c>
      <c r="R600" s="565" t="e">
        <f>SUMIFS(INDEX(Калькуляция!$T$15:$AM$141,,MATCH(R$3,Калькуляция!$T$3:$AM$3,0)),Калькуляция!$A$15:$A$141,$A600,Калькуляция!$B$15:$B$141,$B600)</f>
        <v>#N/A</v>
      </c>
      <c r="S600" s="478" t="e">
        <f>IF(Q600=0,0,(R600-Q600)/Q600*100)</f>
        <v>#N/A</v>
      </c>
      <c r="T600" s="565" t="e">
        <f>SUMIFS(INDEX(Калькуляция!$T$15:$AM$141,,MATCH(T$3,Калькуляция!$T$3:$AM$3,0)),Калькуляция!$A$15:$A$141,$A600,Калькуляция!$B$15:$B$141,$B600)</f>
        <v>#N/A</v>
      </c>
      <c r="U600" s="565" t="e">
        <f>SUMIFS(INDEX(Калькуляция!$T$15:$AM$141,,MATCH(U$3,Калькуляция!$T$3:$AM$3,0)),Калькуляция!$A$15:$A$141,$A600,Калькуляция!$B$15:$B$141,$B600)</f>
        <v>#N/A</v>
      </c>
      <c r="V600" s="478" t="e">
        <f>IF(T600=0,0,(U600-T600)/T600*100)</f>
        <v>#N/A</v>
      </c>
      <c r="W600" s="565" t="e">
        <f>SUMIFS(INDEX(Калькуляция!$T$15:$AM$141,,MATCH(W$3,Калькуляция!$T$3:$AM$3,0)),Калькуляция!$A$15:$A$141,$A600,Калькуляция!$B$15:$B$141,$B600)</f>
        <v>#N/A</v>
      </c>
      <c r="X600" s="565" t="e">
        <f>SUMIFS(INDEX(Калькуляция!$T$15:$AM$141,,MATCH(X$3,Калькуляция!$T$3:$AM$3,0)),Калькуляция!$A$15:$A$141,$A600,Калькуляция!$B$15:$B$141,$B600)</f>
        <v>#N/A</v>
      </c>
      <c r="Y600" s="478" t="e">
        <f>IF(W600=0,0,(X600-W600)/W600*100)</f>
        <v>#N/A</v>
      </c>
      <c r="Z600" s="565" t="e">
        <f>SUMIFS(INDEX(Калькуляция!$T$15:$AM$141,,MATCH(Z$3,Калькуляция!$T$3:$AM$3,0)),Калькуляция!$A$15:$A$141,$A600,Калькуляция!$B$15:$B$141,$B600)</f>
        <v>#N/A</v>
      </c>
      <c r="AA600" s="565" t="e">
        <f>SUMIFS(INDEX(Калькуляция!$T$15:$AM$141,,MATCH(AA$3,Калькуляция!$T$3:$AM$3,0)),Калькуляция!$A$15:$A$141,$A600,Калькуляция!$B$15:$B$141,$B600)</f>
        <v>#N/A</v>
      </c>
      <c r="AB600" s="478" t="e">
        <f>IF(Z600=0,0,(AA600-Z600)/Z600*100)</f>
        <v>#N/A</v>
      </c>
      <c r="AC600" s="565" t="e">
        <f>SUMIFS(INDEX(Калькуляция!$T$15:$AM$141,,MATCH(AC$3,Калькуляция!$T$3:$AM$3,0)),Калькуляция!$A$15:$A$141,$A600,Калькуляция!$B$15:$B$141,$B600)</f>
        <v>#N/A</v>
      </c>
      <c r="AD600" s="565" t="e">
        <f>SUMIFS(INDEX(Калькуляция!$T$15:$AM$141,,MATCH(AD$3,Калькуляция!$T$3:$AM$3,0)),Калькуляция!$A$15:$A$141,$A600,Калькуляция!$B$15:$B$141,$B600)</f>
        <v>#N/A</v>
      </c>
      <c r="AE600" s="478" t="e">
        <f>IF(AC600=0,0,(AD600-AC600)/AC600*100)</f>
        <v>#N/A</v>
      </c>
      <c r="AF600" s="565" t="e">
        <f>SUMIFS(INDEX(Калькуляция!$T$15:$AM$141,,MATCH(AF$3,Калькуляция!$T$3:$AM$3,0)),Калькуляция!$A$15:$A$141,$A600,Калькуляция!$B$15:$B$141,$B600)</f>
        <v>#N/A</v>
      </c>
      <c r="AG600" s="565" t="e">
        <f>SUMIFS(INDEX(Калькуляция!$T$15:$AM$141,,MATCH(AG$3,Калькуляция!$T$3:$AM$3,0)),Калькуляция!$A$15:$A$141,$A600,Калькуляция!$B$15:$B$141,$B600)</f>
        <v>#N/A</v>
      </c>
      <c r="AH600" s="478" t="e">
        <f>IF(AF600=0,0,(AG600-AF600)/AF600*100)</f>
        <v>#N/A</v>
      </c>
      <c r="AI600" s="565" t="e">
        <f>SUMIFS(INDEX(Калькуляция!$T$15:$AM$141,,MATCH(AI$3,Калькуляция!$T$3:$AM$3,0)),Калькуляция!$A$15:$A$141,$A600,Калькуляция!$B$15:$B$141,$B600)</f>
        <v>#N/A</v>
      </c>
      <c r="AJ600" s="565" t="e">
        <f>SUMIFS(INDEX(Калькуляция!$T$15:$AM$141,,MATCH(AJ$3,Калькуляция!$T$3:$AM$3,0)),Калькуляция!$A$15:$A$141,$A600,Калькуляция!$B$15:$B$141,$B600)</f>
        <v>#N/A</v>
      </c>
      <c r="AK600" s="478" t="e">
        <f>IF(AI600=0,0,(AJ600-AI600)/AI600*100)</f>
        <v>#N/A</v>
      </c>
      <c r="AL600" s="565" t="e">
        <f>SUMIFS(INDEX(Калькуляция!$T$15:$AM$141,,MATCH(AL$3,Калькуляция!$T$3:$AM$3,0)),Калькуляция!$A$15:$A$141,$A600,Калькуляция!$B$15:$B$141,$B600)</f>
        <v>#N/A</v>
      </c>
      <c r="AM600" s="565" t="e">
        <f>SUMIFS(INDEX(Калькуляция!$T$15:$AM$141,,MATCH(AM$3,Калькуляция!$T$3:$AM$3,0)),Калькуляция!$A$15:$A$141,$A600,Калькуляция!$B$15:$B$141,$B600)</f>
        <v>#N/A</v>
      </c>
      <c r="AN600" s="478" t="e">
        <f>IF(AL600=0,0,(AM600-AL600)/AL600*100)</f>
        <v>#N/A</v>
      </c>
      <c r="AO600" s="565" t="e">
        <f>SUMIFS(INDEX(Калькуляция!$T$15:$AM$141,,MATCH(AO$3,Калькуляция!$T$3:$AM$3,0)),Калькуляция!$A$15:$A$141,$A600,Калькуляция!$B$15:$B$141,$B600)</f>
        <v>#N/A</v>
      </c>
      <c r="AP600" s="565" t="e">
        <f>SUMIFS(INDEX(Калькуляция!$T$15:$AM$141,,MATCH(AP$3,Калькуляция!$T$3:$AM$3,0)),Калькуляция!$A$15:$A$141,$A600,Калькуляция!$B$15:$B$141,$B600)</f>
        <v>#N/A</v>
      </c>
      <c r="AQ600" s="478" t="e">
        <f>IF(AO600=0,0,(AP600-AO600)/AO600*100)</f>
        <v>#N/A</v>
      </c>
      <c r="AR600" s="565"/>
      <c r="AS600" s="565"/>
      <c r="AT600" s="478">
        <f>IF(AR600=0,0,(AS600-AR600)/AR600*100)</f>
        <v>0</v>
      </c>
      <c r="AU600" s="565"/>
      <c r="AV600" s="565"/>
      <c r="AW600" s="478">
        <f>IF(AU600=0,0,(AV600-AU600)/AU600*100)</f>
        <v>0</v>
      </c>
      <c r="AX600" s="565"/>
      <c r="AY600" s="565"/>
      <c r="AZ600" s="478">
        <f>IF(AX600=0,0,(AY600-AX600)/AX600*100)</f>
        <v>0</v>
      </c>
      <c r="BA600" s="565"/>
      <c r="BB600" s="565"/>
      <c r="BC600" s="478">
        <f>IF(BA600=0,0,(BB600-BA600)/BA600*100)</f>
        <v>0</v>
      </c>
      <c r="BD600" s="565"/>
      <c r="BE600" s="565"/>
      <c r="BF600" s="478">
        <f>IF(BD600=0,0,(BE600-BD600)/BD600*100)</f>
        <v>0</v>
      </c>
      <c r="BG600" s="565"/>
      <c r="BH600" s="565"/>
      <c r="BI600" s="478">
        <f>IF(BG600=0,0,(BH600-BG600)/BG600*100)</f>
        <v>0</v>
      </c>
      <c r="BJ600" s="565"/>
      <c r="BK600" s="565"/>
      <c r="BL600" s="478">
        <f>IF(BJ600=0,0,(BK600-BJ600)/BJ600*100)</f>
        <v>0</v>
      </c>
      <c r="BM600" s="565"/>
      <c r="BN600" s="565"/>
      <c r="BO600" s="478">
        <f>IF(BM600=0,0,(BN600-BM600)/BM600*100)</f>
        <v>0</v>
      </c>
      <c r="BP600" s="565"/>
      <c r="BQ600" s="565"/>
      <c r="BR600" s="478">
        <f>IF(BP600=0,0,(BQ600-BP600)/BP600*100)</f>
        <v>0</v>
      </c>
      <c r="BS600" s="565"/>
      <c r="BT600" s="565"/>
      <c r="BU600" s="478">
        <f>IF(BS600=0,0,(BT600-BS600)/BS600*100)</f>
        <v>0</v>
      </c>
      <c r="BV600" s="565"/>
      <c r="BW600" s="565"/>
      <c r="BX600" s="478">
        <f>IF(BV600=0,0,(BW600-BV600)/BV600*100)</f>
        <v>0</v>
      </c>
      <c r="BY600" s="565"/>
      <c r="BZ600" s="565"/>
      <c r="CA600" s="478">
        <f>IF(BY600=0,0,(BZ600-BY600)/BY600*100)</f>
        <v>0</v>
      </c>
      <c r="CB600" s="565"/>
      <c r="CC600" s="565"/>
      <c r="CD600" s="478">
        <f>IF(CB600=0,0,(CC600-CB600)/CB600*100)</f>
        <v>0</v>
      </c>
      <c r="CE600" s="565"/>
      <c r="CF600" s="565"/>
      <c r="CG600" s="478">
        <f>IF(CE600=0,0,(CF600-CE600)/CE600*100)</f>
        <v>0</v>
      </c>
      <c r="CH600" s="565"/>
      <c r="CI600" s="565"/>
      <c r="CJ600" s="478">
        <f>IF(CH600=0,0,(CI600-CH600)/CH600*100)</f>
        <v>0</v>
      </c>
      <c r="CK600" s="565"/>
      <c r="CL600" s="565"/>
      <c r="CM600" s="478">
        <f>IF(CK600=0,0,(CL600-CK600)/CK600*100)</f>
        <v>0</v>
      </c>
      <c r="CN600" s="565"/>
      <c r="CO600" s="565"/>
      <c r="CP600" s="478">
        <f>IF(CN600=0,0,(CO600-CN600)/CN600*100)</f>
        <v>0</v>
      </c>
      <c r="CQ600" s="565"/>
      <c r="CR600" s="565"/>
      <c r="CS600" s="478">
        <f>IF(CQ600=0,0,(CR600-CQ600)/CQ600*100)</f>
        <v>0</v>
      </c>
      <c r="CT600" s="565"/>
      <c r="CU600" s="565"/>
      <c r="CV600" s="478">
        <f>IF(CT600=0,0,(CU600-CT600)/CT600*100)</f>
        <v>0</v>
      </c>
      <c r="CW600" s="565"/>
      <c r="CX600" s="565"/>
      <c r="CY600" s="478">
        <f>IF(CW600=0,0,(CX600-CW600)/CW600*100)</f>
        <v>0</v>
      </c>
      <c r="CZ600" s="565"/>
      <c r="DA600" s="565"/>
      <c r="DB600" s="478">
        <f>IF(CZ600=0,0,(DA600-CZ600)/CZ600*100)</f>
        <v>0</v>
      </c>
      <c r="DC600" s="565"/>
      <c r="DD600" s="565"/>
      <c r="DE600" s="478">
        <f>IF(DC600=0,0,(DD600-DC600)/DC600*100)</f>
        <v>0</v>
      </c>
      <c r="DF600" s="565"/>
      <c r="DG600" s="565"/>
      <c r="DH600" s="478">
        <f>IF(DF600=0,0,(DG600-DF600)/DF600*100)</f>
        <v>0</v>
      </c>
      <c r="DI600" s="565"/>
      <c r="DJ600" s="565"/>
      <c r="DK600" s="478">
        <f>IF(DI600=0,0,(DJ600-DI600)/DI600*100)</f>
        <v>0</v>
      </c>
      <c r="DL600" s="565"/>
      <c r="DM600" s="565"/>
      <c r="DN600" s="478">
        <f>IF(DL600=0,0,(DM600-DL600)/DL600*100)</f>
        <v>0</v>
      </c>
      <c r="DO600" s="565"/>
      <c r="DP600" s="565"/>
      <c r="DQ600" s="478">
        <f>IF(DO600=0,0,(DP600-DO600)/DO600*100)</f>
        <v>0</v>
      </c>
      <c r="DR600" s="565"/>
      <c r="DS600" s="565"/>
      <c r="DT600" s="478">
        <f>IF(DR600=0,0,(DS600-DR600)/DR600*100)</f>
        <v>0</v>
      </c>
      <c r="DU600" s="565"/>
      <c r="DV600" s="565"/>
      <c r="DW600" s="478">
        <f>IF(DU600=0,0,(DV600-DU600)/DU600*100)</f>
        <v>0</v>
      </c>
      <c r="DX600" s="565"/>
      <c r="DY600" s="565"/>
      <c r="DZ600" s="478">
        <f>IF(DX600=0,0,(DY600-DX600)/DX600*100)</f>
        <v>0</v>
      </c>
      <c r="EA600" s="565"/>
      <c r="EB600" s="565"/>
      <c r="EC600" s="478">
        <f>IF(EA600=0,0,(EB600-EA600)/EA600*100)</f>
        <v>0</v>
      </c>
      <c r="ED600" s="565"/>
      <c r="EE600" s="565"/>
      <c r="EF600" s="478">
        <f>IF(ED600=0,0,(EE600-ED600)/ED600*100)</f>
        <v>0</v>
      </c>
      <c r="EG600" s="565"/>
      <c r="EH600" s="565"/>
      <c r="EI600" s="478">
        <f>IF(EG600=0,0,(EH600-EG600)/EG600*100)</f>
        <v>0</v>
      </c>
      <c r="EJ600" s="565"/>
      <c r="EK600" s="565"/>
      <c r="EL600" s="478">
        <f>IF(EJ600=0,0,(EK600-EJ600)/EJ600*100)</f>
        <v>0</v>
      </c>
      <c r="EM600" s="565"/>
      <c r="EN600" s="565"/>
      <c r="EO600" s="478">
        <f>IF(EM600=0,0,(EN600-EM600)/EM600*100)</f>
        <v>0</v>
      </c>
      <c r="EP600" s="565"/>
      <c r="EQ600" s="565"/>
      <c r="ER600" s="478">
        <f>IF(EP600=0,0,(EQ600-EP600)/EP600*100)</f>
        <v>0</v>
      </c>
      <c r="ES600" s="565"/>
      <c r="ET600" s="565"/>
      <c r="EU600" s="478">
        <f>IF(ES600=0,0,(ET600-ES600)/ES600*100)</f>
        <v>0</v>
      </c>
      <c r="EV600" s="565"/>
      <c r="EW600" s="565"/>
      <c r="EX600" s="478">
        <f>IF(EV600=0,0,(EW600-EV600)/EV600*100)</f>
        <v>0</v>
      </c>
      <c r="EY600" s="565"/>
      <c r="EZ600" s="565"/>
      <c r="FA600" s="478">
        <f>IF(EY600=0,0,(EZ600-EY600)/EY600*100)</f>
        <v>0</v>
      </c>
      <c r="FB600" s="565"/>
      <c r="FC600" s="565"/>
      <c r="FD600" s="478">
        <f>IF(FB600=0,0,(FC600-FB600)/FB600*100)</f>
        <v>0</v>
      </c>
      <c r="FE600" s="565"/>
      <c r="FF600" s="565"/>
      <c r="FG600" s="478">
        <f>IF(FE600=0,0,(FF600-FE600)/FE600*100)</f>
        <v>0</v>
      </c>
    </row>
    <row r="601" spans="1:163" s="295" customFormat="1" ht="24.75" customHeight="1" outlineLevel="1">
      <c r="A601" s="295" t="str">
        <f t="shared" si="126"/>
        <v>1</v>
      </c>
      <c r="C601" s="598" t="s">
        <v>1661</v>
      </c>
      <c r="D601" s="598" t="s">
        <v>1718</v>
      </c>
      <c r="G601" s="295" t="b">
        <f>F582="двухставочный"</f>
        <v>0</v>
      </c>
      <c r="L601" s="369" t="s">
        <v>667</v>
      </c>
      <c r="M601" s="360" t="s">
        <v>668</v>
      </c>
      <c r="N601" s="363"/>
      <c r="O601" s="363"/>
      <c r="P601" s="362">
        <f>IF(N601=0,0,(O601-N601)/N601*100)</f>
        <v>0</v>
      </c>
      <c r="Q601" s="363"/>
      <c r="R601" s="363"/>
      <c r="S601" s="362">
        <f>IF(Q601=0,0,(R601-Q601)/Q601*100)</f>
        <v>0</v>
      </c>
      <c r="T601" s="363"/>
      <c r="U601" s="363"/>
      <c r="V601" s="362">
        <f>IF(T601=0,0,(U601-T601)/T601*100)</f>
        <v>0</v>
      </c>
      <c r="W601" s="363"/>
      <c r="X601" s="363"/>
      <c r="Y601" s="362">
        <f>IF(W601=0,0,(X601-W601)/W601*100)</f>
        <v>0</v>
      </c>
      <c r="Z601" s="363"/>
      <c r="AA601" s="363"/>
      <c r="AB601" s="362">
        <f>IF(Z601=0,0,(AA601-Z601)/Z601*100)</f>
        <v>0</v>
      </c>
      <c r="AC601" s="363"/>
      <c r="AD601" s="363"/>
      <c r="AE601" s="362">
        <f>IF(AC601=0,0,(AD601-AC601)/AC601*100)</f>
        <v>0</v>
      </c>
      <c r="AF601" s="363"/>
      <c r="AG601" s="363"/>
      <c r="AH601" s="362">
        <f>IF(AF601=0,0,(AG601-AF601)/AF601*100)</f>
        <v>0</v>
      </c>
      <c r="AI601" s="363"/>
      <c r="AJ601" s="363"/>
      <c r="AK601" s="362">
        <f>IF(AI601=0,0,(AJ601-AI601)/AI601*100)</f>
        <v>0</v>
      </c>
      <c r="AL601" s="363"/>
      <c r="AM601" s="363"/>
      <c r="AN601" s="362">
        <f>IF(AL601=0,0,(AM601-AL601)/AL601*100)</f>
        <v>0</v>
      </c>
      <c r="AO601" s="363"/>
      <c r="AP601" s="363"/>
      <c r="AQ601" s="362">
        <f>IF(AO601=0,0,(AP601-AO601)/AO601*100)</f>
        <v>0</v>
      </c>
      <c r="AR601" s="363"/>
      <c r="AS601" s="363"/>
      <c r="AT601" s="362">
        <f>IF(AR601=0,0,(AS601-AR601)/AR601*100)</f>
        <v>0</v>
      </c>
      <c r="AU601" s="363"/>
      <c r="AV601" s="363"/>
      <c r="AW601" s="362">
        <f>IF(AU601=0,0,(AV601-AU601)/AU601*100)</f>
        <v>0</v>
      </c>
      <c r="AX601" s="363"/>
      <c r="AY601" s="363"/>
      <c r="AZ601" s="362">
        <f>IF(AX601=0,0,(AY601-AX601)/AX601*100)</f>
        <v>0</v>
      </c>
      <c r="BA601" s="363"/>
      <c r="BB601" s="363"/>
      <c r="BC601" s="362">
        <f>IF(BA601=0,0,(BB601-BA601)/BA601*100)</f>
        <v>0</v>
      </c>
      <c r="BD601" s="363"/>
      <c r="BE601" s="363"/>
      <c r="BF601" s="362">
        <f>IF(BD601=0,0,(BE601-BD601)/BD601*100)</f>
        <v>0</v>
      </c>
      <c r="BG601" s="363"/>
      <c r="BH601" s="363"/>
      <c r="BI601" s="362">
        <f>IF(BG601=0,0,(BH601-BG601)/BG601*100)</f>
        <v>0</v>
      </c>
      <c r="BJ601" s="363"/>
      <c r="BK601" s="363"/>
      <c r="BL601" s="362">
        <f>IF(BJ601=0,0,(BK601-BJ601)/BJ601*100)</f>
        <v>0</v>
      </c>
      <c r="BM601" s="363"/>
      <c r="BN601" s="363"/>
      <c r="BO601" s="362">
        <f>IF(BM601=0,0,(BN601-BM601)/BM601*100)</f>
        <v>0</v>
      </c>
      <c r="BP601" s="363"/>
      <c r="BQ601" s="363"/>
      <c r="BR601" s="362">
        <f>IF(BP601=0,0,(BQ601-BP601)/BP601*100)</f>
        <v>0</v>
      </c>
      <c r="BS601" s="363"/>
      <c r="BT601" s="363"/>
      <c r="BU601" s="362">
        <f>IF(BS601=0,0,(BT601-BS601)/BS601*100)</f>
        <v>0</v>
      </c>
      <c r="BV601" s="363"/>
      <c r="BW601" s="363"/>
      <c r="BX601" s="362">
        <f>IF(BV601=0,0,(BW601-BV601)/BV601*100)</f>
        <v>0</v>
      </c>
      <c r="BY601" s="363"/>
      <c r="BZ601" s="363"/>
      <c r="CA601" s="362">
        <f>IF(BY601=0,0,(BZ601-BY601)/BY601*100)</f>
        <v>0</v>
      </c>
      <c r="CB601" s="363"/>
      <c r="CC601" s="363"/>
      <c r="CD601" s="362">
        <f>IF(CB601=0,0,(CC601-CB601)/CB601*100)</f>
        <v>0</v>
      </c>
      <c r="CE601" s="363"/>
      <c r="CF601" s="363"/>
      <c r="CG601" s="362">
        <f>IF(CE601=0,0,(CF601-CE601)/CE601*100)</f>
        <v>0</v>
      </c>
      <c r="CH601" s="363"/>
      <c r="CI601" s="363"/>
      <c r="CJ601" s="362">
        <f>IF(CH601=0,0,(CI601-CH601)/CH601*100)</f>
        <v>0</v>
      </c>
      <c r="CK601" s="363"/>
      <c r="CL601" s="363"/>
      <c r="CM601" s="362">
        <f>IF(CK601=0,0,(CL601-CK601)/CK601*100)</f>
        <v>0</v>
      </c>
      <c r="CN601" s="363"/>
      <c r="CO601" s="363"/>
      <c r="CP601" s="362">
        <f>IF(CN601=0,0,(CO601-CN601)/CN601*100)</f>
        <v>0</v>
      </c>
      <c r="CQ601" s="363"/>
      <c r="CR601" s="363"/>
      <c r="CS601" s="362">
        <f>IF(CQ601=0,0,(CR601-CQ601)/CQ601*100)</f>
        <v>0</v>
      </c>
      <c r="CT601" s="363"/>
      <c r="CU601" s="363"/>
      <c r="CV601" s="362">
        <f>IF(CT601=0,0,(CU601-CT601)/CT601*100)</f>
        <v>0</v>
      </c>
      <c r="CW601" s="363"/>
      <c r="CX601" s="363"/>
      <c r="CY601" s="362">
        <f>IF(CW601=0,0,(CX601-CW601)/CW601*100)</f>
        <v>0</v>
      </c>
      <c r="CZ601" s="363"/>
      <c r="DA601" s="363"/>
      <c r="DB601" s="362">
        <f>IF(CZ601=0,0,(DA601-CZ601)/CZ601*100)</f>
        <v>0</v>
      </c>
      <c r="DC601" s="363"/>
      <c r="DD601" s="363"/>
      <c r="DE601" s="362">
        <f>IF(DC601=0,0,(DD601-DC601)/DC601*100)</f>
        <v>0</v>
      </c>
      <c r="DF601" s="363"/>
      <c r="DG601" s="363"/>
      <c r="DH601" s="362">
        <f>IF(DF601=0,0,(DG601-DF601)/DF601*100)</f>
        <v>0</v>
      </c>
      <c r="DI601" s="363"/>
      <c r="DJ601" s="363"/>
      <c r="DK601" s="362">
        <f>IF(DI601=0,0,(DJ601-DI601)/DI601*100)</f>
        <v>0</v>
      </c>
      <c r="DL601" s="363"/>
      <c r="DM601" s="363"/>
      <c r="DN601" s="362">
        <f>IF(DL601=0,0,(DM601-DL601)/DL601*100)</f>
        <v>0</v>
      </c>
      <c r="DO601" s="363"/>
      <c r="DP601" s="363"/>
      <c r="DQ601" s="362">
        <f>IF(DO601=0,0,(DP601-DO601)/DO601*100)</f>
        <v>0</v>
      </c>
      <c r="DR601" s="363"/>
      <c r="DS601" s="363"/>
      <c r="DT601" s="362">
        <f>IF(DR601=0,0,(DS601-DR601)/DR601*100)</f>
        <v>0</v>
      </c>
      <c r="DU601" s="363"/>
      <c r="DV601" s="363"/>
      <c r="DW601" s="362">
        <f>IF(DU601=0,0,(DV601-DU601)/DU601*100)</f>
        <v>0</v>
      </c>
      <c r="DX601" s="363"/>
      <c r="DY601" s="363"/>
      <c r="DZ601" s="362">
        <f>IF(DX601=0,0,(DY601-DX601)/DX601*100)</f>
        <v>0</v>
      </c>
      <c r="EA601" s="363"/>
      <c r="EB601" s="363"/>
      <c r="EC601" s="362">
        <f>IF(EA601=0,0,(EB601-EA601)/EA601*100)</f>
        <v>0</v>
      </c>
      <c r="ED601" s="363"/>
      <c r="EE601" s="363"/>
      <c r="EF601" s="362">
        <f>IF(ED601=0,0,(EE601-ED601)/ED601*100)</f>
        <v>0</v>
      </c>
      <c r="EG601" s="363"/>
      <c r="EH601" s="363"/>
      <c r="EI601" s="362">
        <f>IF(EG601=0,0,(EH601-EG601)/EG601*100)</f>
        <v>0</v>
      </c>
      <c r="EJ601" s="363"/>
      <c r="EK601" s="363"/>
      <c r="EL601" s="362">
        <f>IF(EJ601=0,0,(EK601-EJ601)/EJ601*100)</f>
        <v>0</v>
      </c>
      <c r="EM601" s="363"/>
      <c r="EN601" s="363"/>
      <c r="EO601" s="362">
        <f>IF(EM601=0,0,(EN601-EM601)/EM601*100)</f>
        <v>0</v>
      </c>
      <c r="EP601" s="363"/>
      <c r="EQ601" s="363"/>
      <c r="ER601" s="362">
        <f>IF(EP601=0,0,(EQ601-EP601)/EP601*100)</f>
        <v>0</v>
      </c>
      <c r="ES601" s="363"/>
      <c r="ET601" s="363"/>
      <c r="EU601" s="362">
        <f>IF(ES601=0,0,(ET601-ES601)/ES601*100)</f>
        <v>0</v>
      </c>
      <c r="EV601" s="363"/>
      <c r="EW601" s="363"/>
      <c r="EX601" s="362">
        <f>IF(EV601=0,0,(EW601-EV601)/EV601*100)</f>
        <v>0</v>
      </c>
      <c r="EY601" s="363"/>
      <c r="EZ601" s="363"/>
      <c r="FA601" s="362">
        <f>IF(EY601=0,0,(EZ601-EY601)/EY601*100)</f>
        <v>0</v>
      </c>
      <c r="FB601" s="363"/>
      <c r="FC601" s="363"/>
      <c r="FD601" s="362">
        <f>IF(FB601=0,0,(FC601-FB601)/FB601*100)</f>
        <v>0</v>
      </c>
      <c r="FE601" s="363"/>
      <c r="FF601" s="363"/>
      <c r="FG601" s="362">
        <f>IF(FE601=0,0,(FF601-FE601)/FE601*100)</f>
        <v>0</v>
      </c>
    </row>
    <row r="602" spans="1:163" s="295" customFormat="1" ht="15" customHeight="1" outlineLevel="1">
      <c r="A602" s="295" t="str">
        <f t="shared" si="126"/>
        <v>1</v>
      </c>
      <c r="C602" s="598" t="s">
        <v>1662</v>
      </c>
      <c r="D602" s="598" t="s">
        <v>1718</v>
      </c>
      <c r="G602" s="295" t="b">
        <f>F582="двухставочный"</f>
        <v>0</v>
      </c>
      <c r="L602" s="369" t="s">
        <v>669</v>
      </c>
      <c r="M602" s="360" t="s">
        <v>670</v>
      </c>
      <c r="N602" s="363"/>
      <c r="O602" s="363"/>
      <c r="P602" s="362">
        <f>IF(N602=0,0,(O602-N602)/N602*100)</f>
        <v>0</v>
      </c>
      <c r="Q602" s="363"/>
      <c r="R602" s="363"/>
      <c r="S602" s="362">
        <f>IF(Q602=0,0,(R602-Q602)/Q602*100)</f>
        <v>0</v>
      </c>
      <c r="T602" s="363"/>
      <c r="U602" s="363"/>
      <c r="V602" s="362">
        <f>IF(T602=0,0,(U602-T602)/T602*100)</f>
        <v>0</v>
      </c>
      <c r="W602" s="363"/>
      <c r="X602" s="363"/>
      <c r="Y602" s="362">
        <f>IF(W602=0,0,(X602-W602)/W602*100)</f>
        <v>0</v>
      </c>
      <c r="Z602" s="363"/>
      <c r="AA602" s="363"/>
      <c r="AB602" s="362">
        <f>IF(Z602=0,0,(AA602-Z602)/Z602*100)</f>
        <v>0</v>
      </c>
      <c r="AC602" s="363"/>
      <c r="AD602" s="363"/>
      <c r="AE602" s="362">
        <f>IF(AC602=0,0,(AD602-AC602)/AC602*100)</f>
        <v>0</v>
      </c>
      <c r="AF602" s="363"/>
      <c r="AG602" s="363"/>
      <c r="AH602" s="362">
        <f>IF(AF602=0,0,(AG602-AF602)/AF602*100)</f>
        <v>0</v>
      </c>
      <c r="AI602" s="363"/>
      <c r="AJ602" s="363"/>
      <c r="AK602" s="362">
        <f>IF(AI602=0,0,(AJ602-AI602)/AI602*100)</f>
        <v>0</v>
      </c>
      <c r="AL602" s="363"/>
      <c r="AM602" s="363"/>
      <c r="AN602" s="362">
        <f>IF(AL602=0,0,(AM602-AL602)/AL602*100)</f>
        <v>0</v>
      </c>
      <c r="AO602" s="363"/>
      <c r="AP602" s="363"/>
      <c r="AQ602" s="362">
        <f>IF(AO602=0,0,(AP602-AO602)/AO602*100)</f>
        <v>0</v>
      </c>
      <c r="AR602" s="363"/>
      <c r="AS602" s="363"/>
      <c r="AT602" s="362">
        <f>IF(AR602=0,0,(AS602-AR602)/AR602*100)</f>
        <v>0</v>
      </c>
      <c r="AU602" s="363"/>
      <c r="AV602" s="363"/>
      <c r="AW602" s="362">
        <f>IF(AU602=0,0,(AV602-AU602)/AU602*100)</f>
        <v>0</v>
      </c>
      <c r="AX602" s="363"/>
      <c r="AY602" s="363"/>
      <c r="AZ602" s="362">
        <f>IF(AX602=0,0,(AY602-AX602)/AX602*100)</f>
        <v>0</v>
      </c>
      <c r="BA602" s="363"/>
      <c r="BB602" s="363"/>
      <c r="BC602" s="362">
        <f>IF(BA602=0,0,(BB602-BA602)/BA602*100)</f>
        <v>0</v>
      </c>
      <c r="BD602" s="363"/>
      <c r="BE602" s="363"/>
      <c r="BF602" s="362">
        <f>IF(BD602=0,0,(BE602-BD602)/BD602*100)</f>
        <v>0</v>
      </c>
      <c r="BG602" s="363"/>
      <c r="BH602" s="363"/>
      <c r="BI602" s="362">
        <f>IF(BG602=0,0,(BH602-BG602)/BG602*100)</f>
        <v>0</v>
      </c>
      <c r="BJ602" s="363"/>
      <c r="BK602" s="363"/>
      <c r="BL602" s="362">
        <f>IF(BJ602=0,0,(BK602-BJ602)/BJ602*100)</f>
        <v>0</v>
      </c>
      <c r="BM602" s="363"/>
      <c r="BN602" s="363"/>
      <c r="BO602" s="362">
        <f>IF(BM602=0,0,(BN602-BM602)/BM602*100)</f>
        <v>0</v>
      </c>
      <c r="BP602" s="363"/>
      <c r="BQ602" s="363"/>
      <c r="BR602" s="362">
        <f>IF(BP602=0,0,(BQ602-BP602)/BP602*100)</f>
        <v>0</v>
      </c>
      <c r="BS602" s="363"/>
      <c r="BT602" s="363"/>
      <c r="BU602" s="362">
        <f>IF(BS602=0,0,(BT602-BS602)/BS602*100)</f>
        <v>0</v>
      </c>
      <c r="BV602" s="363"/>
      <c r="BW602" s="363"/>
      <c r="BX602" s="362">
        <f>IF(BV602=0,0,(BW602-BV602)/BV602*100)</f>
        <v>0</v>
      </c>
      <c r="BY602" s="363"/>
      <c r="BZ602" s="363"/>
      <c r="CA602" s="362">
        <f>IF(BY602=0,0,(BZ602-BY602)/BY602*100)</f>
        <v>0</v>
      </c>
      <c r="CB602" s="363"/>
      <c r="CC602" s="363"/>
      <c r="CD602" s="362">
        <f>IF(CB602=0,0,(CC602-CB602)/CB602*100)</f>
        <v>0</v>
      </c>
      <c r="CE602" s="363"/>
      <c r="CF602" s="363"/>
      <c r="CG602" s="362">
        <f>IF(CE602=0,0,(CF602-CE602)/CE602*100)</f>
        <v>0</v>
      </c>
      <c r="CH602" s="363"/>
      <c r="CI602" s="363"/>
      <c r="CJ602" s="362">
        <f>IF(CH602=0,0,(CI602-CH602)/CH602*100)</f>
        <v>0</v>
      </c>
      <c r="CK602" s="363"/>
      <c r="CL602" s="363"/>
      <c r="CM602" s="362">
        <f>IF(CK602=0,0,(CL602-CK602)/CK602*100)</f>
        <v>0</v>
      </c>
      <c r="CN602" s="363"/>
      <c r="CO602" s="363"/>
      <c r="CP602" s="362">
        <f>IF(CN602=0,0,(CO602-CN602)/CN602*100)</f>
        <v>0</v>
      </c>
      <c r="CQ602" s="363"/>
      <c r="CR602" s="363"/>
      <c r="CS602" s="362">
        <f>IF(CQ602=0,0,(CR602-CQ602)/CQ602*100)</f>
        <v>0</v>
      </c>
      <c r="CT602" s="363"/>
      <c r="CU602" s="363"/>
      <c r="CV602" s="362">
        <f>IF(CT602=0,0,(CU602-CT602)/CT602*100)</f>
        <v>0</v>
      </c>
      <c r="CW602" s="363"/>
      <c r="CX602" s="363"/>
      <c r="CY602" s="362">
        <f>IF(CW602=0,0,(CX602-CW602)/CW602*100)</f>
        <v>0</v>
      </c>
      <c r="CZ602" s="363"/>
      <c r="DA602" s="363"/>
      <c r="DB602" s="362">
        <f>IF(CZ602=0,0,(DA602-CZ602)/CZ602*100)</f>
        <v>0</v>
      </c>
      <c r="DC602" s="363"/>
      <c r="DD602" s="363"/>
      <c r="DE602" s="362">
        <f>IF(DC602=0,0,(DD602-DC602)/DC602*100)</f>
        <v>0</v>
      </c>
      <c r="DF602" s="363"/>
      <c r="DG602" s="363"/>
      <c r="DH602" s="362">
        <f>IF(DF602=0,0,(DG602-DF602)/DF602*100)</f>
        <v>0</v>
      </c>
      <c r="DI602" s="363"/>
      <c r="DJ602" s="363"/>
      <c r="DK602" s="362">
        <f>IF(DI602=0,0,(DJ602-DI602)/DI602*100)</f>
        <v>0</v>
      </c>
      <c r="DL602" s="363"/>
      <c r="DM602" s="363"/>
      <c r="DN602" s="362">
        <f>IF(DL602=0,0,(DM602-DL602)/DL602*100)</f>
        <v>0</v>
      </c>
      <c r="DO602" s="363"/>
      <c r="DP602" s="363"/>
      <c r="DQ602" s="362">
        <f>IF(DO602=0,0,(DP602-DO602)/DO602*100)</f>
        <v>0</v>
      </c>
      <c r="DR602" s="363"/>
      <c r="DS602" s="363"/>
      <c r="DT602" s="362">
        <f>IF(DR602=0,0,(DS602-DR602)/DR602*100)</f>
        <v>0</v>
      </c>
      <c r="DU602" s="363"/>
      <c r="DV602" s="363"/>
      <c r="DW602" s="362">
        <f>IF(DU602=0,0,(DV602-DU602)/DU602*100)</f>
        <v>0</v>
      </c>
      <c r="DX602" s="363"/>
      <c r="DY602" s="363"/>
      <c r="DZ602" s="362">
        <f>IF(DX602=0,0,(DY602-DX602)/DX602*100)</f>
        <v>0</v>
      </c>
      <c r="EA602" s="363"/>
      <c r="EB602" s="363"/>
      <c r="EC602" s="362">
        <f>IF(EA602=0,0,(EB602-EA602)/EA602*100)</f>
        <v>0</v>
      </c>
      <c r="ED602" s="363"/>
      <c r="EE602" s="363"/>
      <c r="EF602" s="362">
        <f>IF(ED602=0,0,(EE602-ED602)/ED602*100)</f>
        <v>0</v>
      </c>
      <c r="EG602" s="363"/>
      <c r="EH602" s="363"/>
      <c r="EI602" s="362">
        <f>IF(EG602=0,0,(EH602-EG602)/EG602*100)</f>
        <v>0</v>
      </c>
      <c r="EJ602" s="363"/>
      <c r="EK602" s="363"/>
      <c r="EL602" s="362">
        <f>IF(EJ602=0,0,(EK602-EJ602)/EJ602*100)</f>
        <v>0</v>
      </c>
      <c r="EM602" s="363"/>
      <c r="EN602" s="363"/>
      <c r="EO602" s="362">
        <f>IF(EM602=0,0,(EN602-EM602)/EM602*100)</f>
        <v>0</v>
      </c>
      <c r="EP602" s="363"/>
      <c r="EQ602" s="363"/>
      <c r="ER602" s="362">
        <f>IF(EP602=0,0,(EQ602-EP602)/EP602*100)</f>
        <v>0</v>
      </c>
      <c r="ES602" s="363"/>
      <c r="ET602" s="363"/>
      <c r="EU602" s="362">
        <f>IF(ES602=0,0,(ET602-ES602)/ES602*100)</f>
        <v>0</v>
      </c>
      <c r="EV602" s="363"/>
      <c r="EW602" s="363"/>
      <c r="EX602" s="362">
        <f>IF(EV602=0,0,(EW602-EV602)/EV602*100)</f>
        <v>0</v>
      </c>
      <c r="EY602" s="363"/>
      <c r="EZ602" s="363"/>
      <c r="FA602" s="362">
        <f>IF(EY602=0,0,(EZ602-EY602)/EY602*100)</f>
        <v>0</v>
      </c>
      <c r="FB602" s="363"/>
      <c r="FC602" s="363"/>
      <c r="FD602" s="362">
        <f>IF(FB602=0,0,(FC602-FB602)/FB602*100)</f>
        <v>0</v>
      </c>
      <c r="FE602" s="363"/>
      <c r="FF602" s="363"/>
      <c r="FG602" s="362">
        <f>IF(FE602=0,0,(FF602-FE602)/FE602*100)</f>
        <v>0</v>
      </c>
    </row>
    <row r="603" spans="1:163" s="295" customFormat="1" ht="15" customHeight="1" outlineLevel="1">
      <c r="A603" s="295" t="str">
        <f t="shared" si="126"/>
        <v>1</v>
      </c>
      <c r="C603" s="598"/>
      <c r="D603" s="598"/>
      <c r="G603" s="295" t="b">
        <f>F582="двухставочный"</f>
        <v>0</v>
      </c>
      <c r="L603" s="355" t="s">
        <v>1179</v>
      </c>
      <c r="M603" s="366"/>
      <c r="N603" s="367"/>
      <c r="O603" s="367"/>
      <c r="P603" s="367"/>
      <c r="Q603" s="367"/>
      <c r="R603" s="367"/>
      <c r="S603" s="367"/>
      <c r="T603" s="367"/>
      <c r="U603" s="367"/>
      <c r="V603" s="367"/>
      <c r="W603" s="367"/>
      <c r="X603" s="367"/>
      <c r="Y603" s="367"/>
      <c r="Z603" s="367"/>
      <c r="AA603" s="367"/>
      <c r="AB603" s="367"/>
      <c r="AC603" s="367"/>
      <c r="AD603" s="367"/>
      <c r="AE603" s="367"/>
      <c r="AF603" s="367"/>
      <c r="AG603" s="367"/>
      <c r="AH603" s="367"/>
      <c r="AI603" s="367"/>
      <c r="AJ603" s="367"/>
      <c r="AK603" s="367"/>
      <c r="AL603" s="367"/>
      <c r="AM603" s="367"/>
      <c r="AN603" s="367"/>
      <c r="AO603" s="367"/>
      <c r="AP603" s="367"/>
      <c r="AQ603" s="367"/>
      <c r="AR603" s="367"/>
      <c r="AS603" s="367"/>
      <c r="AT603" s="367"/>
      <c r="AU603" s="367"/>
      <c r="AV603" s="367"/>
      <c r="AW603" s="367"/>
      <c r="AX603" s="367"/>
      <c r="AY603" s="367"/>
      <c r="AZ603" s="367"/>
      <c r="BA603" s="367"/>
      <c r="BB603" s="367"/>
      <c r="BC603" s="367"/>
      <c r="BD603" s="367"/>
      <c r="BE603" s="367"/>
      <c r="BF603" s="367"/>
      <c r="BG603" s="367"/>
      <c r="BH603" s="367"/>
      <c r="BI603" s="367"/>
      <c r="BJ603" s="367"/>
      <c r="BK603" s="367"/>
      <c r="BL603" s="367"/>
      <c r="BM603" s="367"/>
      <c r="BN603" s="367"/>
      <c r="BO603" s="367"/>
      <c r="BP603" s="367"/>
      <c r="BQ603" s="367"/>
      <c r="BR603" s="367"/>
      <c r="BS603" s="367"/>
      <c r="BT603" s="367"/>
      <c r="BU603" s="367"/>
      <c r="BV603" s="367"/>
      <c r="BW603" s="367"/>
      <c r="BX603" s="367"/>
      <c r="BY603" s="367"/>
      <c r="BZ603" s="367"/>
      <c r="CA603" s="367"/>
      <c r="CB603" s="367"/>
      <c r="CC603" s="367"/>
      <c r="CD603" s="367"/>
      <c r="CE603" s="367"/>
      <c r="CF603" s="367"/>
      <c r="CG603" s="367"/>
      <c r="CH603" s="367"/>
      <c r="CI603" s="367"/>
      <c r="CJ603" s="367"/>
      <c r="CK603" s="367"/>
      <c r="CL603" s="367"/>
      <c r="CM603" s="367"/>
      <c r="CN603" s="367"/>
      <c r="CO603" s="367"/>
      <c r="CP603" s="367"/>
      <c r="CQ603" s="367"/>
      <c r="CR603" s="367"/>
      <c r="CS603" s="367"/>
      <c r="CT603" s="367"/>
      <c r="CU603" s="367"/>
      <c r="CV603" s="367"/>
      <c r="CW603" s="367"/>
      <c r="CX603" s="367"/>
      <c r="CY603" s="367"/>
      <c r="CZ603" s="367"/>
      <c r="DA603" s="367"/>
      <c r="DB603" s="367"/>
      <c r="DC603" s="367"/>
      <c r="DD603" s="367"/>
      <c r="DE603" s="367"/>
      <c r="DF603" s="367"/>
      <c r="DG603" s="367"/>
      <c r="DH603" s="367"/>
      <c r="DI603" s="367"/>
      <c r="DJ603" s="367"/>
      <c r="DK603" s="367"/>
      <c r="DL603" s="367"/>
      <c r="DM603" s="367"/>
      <c r="DN603" s="367"/>
      <c r="DO603" s="367"/>
      <c r="DP603" s="367"/>
      <c r="DQ603" s="367"/>
      <c r="DR603" s="367"/>
      <c r="DS603" s="367"/>
      <c r="DT603" s="367"/>
      <c r="DU603" s="367"/>
      <c r="DV603" s="367"/>
      <c r="DW603" s="367"/>
      <c r="DX603" s="367"/>
      <c r="DY603" s="367"/>
      <c r="DZ603" s="367"/>
      <c r="EA603" s="367"/>
      <c r="EB603" s="367"/>
      <c r="EC603" s="367"/>
      <c r="ED603" s="367"/>
      <c r="EE603" s="367"/>
      <c r="EF603" s="367"/>
      <c r="EG603" s="367"/>
      <c r="EH603" s="367"/>
      <c r="EI603" s="367"/>
      <c r="EJ603" s="367"/>
      <c r="EK603" s="367"/>
      <c r="EL603" s="367"/>
      <c r="EM603" s="367"/>
      <c r="EN603" s="367"/>
      <c r="EO603" s="367"/>
      <c r="EP603" s="367"/>
      <c r="EQ603" s="367"/>
      <c r="ER603" s="367"/>
      <c r="ES603" s="367"/>
      <c r="ET603" s="367"/>
      <c r="EU603" s="367"/>
      <c r="EV603" s="367"/>
      <c r="EW603" s="367"/>
      <c r="EX603" s="367"/>
      <c r="EY603" s="367"/>
      <c r="EZ603" s="367"/>
      <c r="FA603" s="367"/>
      <c r="FB603" s="367"/>
      <c r="FC603" s="367"/>
      <c r="FD603" s="367"/>
      <c r="FE603" s="367"/>
      <c r="FF603" s="367"/>
      <c r="FG603" s="368"/>
    </row>
    <row r="604" spans="1:163" s="295" customFormat="1" ht="15" customHeight="1" outlineLevel="1">
      <c r="A604" s="295" t="str">
        <f t="shared" si="126"/>
        <v>1</v>
      </c>
      <c r="C604" s="598" t="s">
        <v>1604</v>
      </c>
      <c r="D604" s="598" t="s">
        <v>1719</v>
      </c>
      <c r="G604" s="295" t="b">
        <f>F582="двухставочный"</f>
        <v>0</v>
      </c>
      <c r="L604" s="369" t="s">
        <v>664</v>
      </c>
      <c r="M604" s="360" t="s">
        <v>652</v>
      </c>
      <c r="N604" s="363" t="e">
        <f>IF(N606=0,0,(N605*N606+N607*N608*6)/N606)</f>
        <v>#N/A</v>
      </c>
      <c r="O604" s="363" t="e">
        <f>IF(O606=0,0,(O605*O606+O607*O608*6)/O606)</f>
        <v>#N/A</v>
      </c>
      <c r="P604" s="362" t="e">
        <f>IF(N604=0,0,(O604-N604)/N604*100)</f>
        <v>#N/A</v>
      </c>
      <c r="Q604" s="363" t="e">
        <f>IF(Q606=0,0,(Q605*Q606+Q607*Q608*6)/Q606)</f>
        <v>#N/A</v>
      </c>
      <c r="R604" s="363" t="e">
        <f>IF(R606=0,0,(R605*R606+R607*R608*6)/R606)</f>
        <v>#N/A</v>
      </c>
      <c r="S604" s="362" t="e">
        <f>IF(Q604=0,0,(R604-Q604)/Q604*100)</f>
        <v>#N/A</v>
      </c>
      <c r="T604" s="363" t="e">
        <f>IF(T606=0,0,(T605*T606+T607*T608*6)/T606)</f>
        <v>#N/A</v>
      </c>
      <c r="U604" s="363" t="e">
        <f>IF(U606=0,0,(U605*U606+U607*U608*6)/U606)</f>
        <v>#N/A</v>
      </c>
      <c r="V604" s="362" t="e">
        <f>IF(T604=0,0,(U604-T604)/T604*100)</f>
        <v>#N/A</v>
      </c>
      <c r="W604" s="363" t="e">
        <f>IF(W606=0,0,(W605*W606+W607*W608*6)/W606)</f>
        <v>#N/A</v>
      </c>
      <c r="X604" s="363" t="e">
        <f>IF(X606=0,0,(X605*X606+X607*X608*6)/X606)</f>
        <v>#N/A</v>
      </c>
      <c r="Y604" s="362" t="e">
        <f>IF(W604=0,0,(X604-W604)/W604*100)</f>
        <v>#N/A</v>
      </c>
      <c r="Z604" s="363" t="e">
        <f>IF(Z606=0,0,(Z605*Z606+Z607*Z608*6)/Z606)</f>
        <v>#N/A</v>
      </c>
      <c r="AA604" s="363" t="e">
        <f>IF(AA606=0,0,(AA605*AA606+AA607*AA608*6)/AA606)</f>
        <v>#N/A</v>
      </c>
      <c r="AB604" s="362" t="e">
        <f>IF(Z604=0,0,(AA604-Z604)/Z604*100)</f>
        <v>#N/A</v>
      </c>
      <c r="AC604" s="363" t="e">
        <f>IF(AC606=0,0,(AC605*AC606+AC607*AC608*6)/AC606)</f>
        <v>#N/A</v>
      </c>
      <c r="AD604" s="363" t="e">
        <f>IF(AD606=0,0,(AD605*AD606+AD607*AD608*6)/AD606)</f>
        <v>#N/A</v>
      </c>
      <c r="AE604" s="362" t="e">
        <f>IF(AC604=0,0,(AD604-AC604)/AC604*100)</f>
        <v>#N/A</v>
      </c>
      <c r="AF604" s="363" t="e">
        <f>IF(AF606=0,0,(AF605*AF606+AF607*AF608*6)/AF606)</f>
        <v>#N/A</v>
      </c>
      <c r="AG604" s="363" t="e">
        <f>IF(AG606=0,0,(AG605*AG606+AG607*AG608*6)/AG606)</f>
        <v>#N/A</v>
      </c>
      <c r="AH604" s="362" t="e">
        <f>IF(AF604=0,0,(AG604-AF604)/AF604*100)</f>
        <v>#N/A</v>
      </c>
      <c r="AI604" s="363" t="e">
        <f>IF(AI606=0,0,(AI605*AI606+AI607*AI608*6)/AI606)</f>
        <v>#N/A</v>
      </c>
      <c r="AJ604" s="363" t="e">
        <f>IF(AJ606=0,0,(AJ605*AJ606+AJ607*AJ608*6)/AJ606)</f>
        <v>#N/A</v>
      </c>
      <c r="AK604" s="362" t="e">
        <f>IF(AI604=0,0,(AJ604-AI604)/AI604*100)</f>
        <v>#N/A</v>
      </c>
      <c r="AL604" s="363" t="e">
        <f>IF(AL606=0,0,(AL605*AL606+AL607*AL608*6)/AL606)</f>
        <v>#N/A</v>
      </c>
      <c r="AM604" s="363" t="e">
        <f>IF(AM606=0,0,(AM605*AM606+AM607*AM608*6)/AM606)</f>
        <v>#N/A</v>
      </c>
      <c r="AN604" s="362" t="e">
        <f>IF(AL604=0,0,(AM604-AL604)/AL604*100)</f>
        <v>#N/A</v>
      </c>
      <c r="AO604" s="363" t="e">
        <f>IF(AO606=0,0,(AO605*AO606+AO607*AO608*6)/AO606)</f>
        <v>#N/A</v>
      </c>
      <c r="AP604" s="363" t="e">
        <f>IF(AP606=0,0,(AP605*AP606+AP607*AP608*6)/AP606)</f>
        <v>#N/A</v>
      </c>
      <c r="AQ604" s="362" t="e">
        <f>IF(AO604=0,0,(AP604-AO604)/AO604*100)</f>
        <v>#N/A</v>
      </c>
      <c r="AR604" s="363">
        <f>IF(AR606=0,0,(AR605*AR606+AR607*AR608*6)/AR606)</f>
        <v>0</v>
      </c>
      <c r="AS604" s="363">
        <f>IF(AS606=0,0,(AS605*AS606+AS607*AS608*6)/AS606)</f>
        <v>0</v>
      </c>
      <c r="AT604" s="362">
        <f>IF(AR604=0,0,(AS604-AR604)/AR604*100)</f>
        <v>0</v>
      </c>
      <c r="AU604" s="363">
        <f>IF(AU606=0,0,(AU605*AU606+AU607*AU608*6)/AU606)</f>
        <v>0</v>
      </c>
      <c r="AV604" s="363">
        <f>IF(AV606=0,0,(AV605*AV606+AV607*AV608*6)/AV606)</f>
        <v>0</v>
      </c>
      <c r="AW604" s="362">
        <f>IF(AU604=0,0,(AV604-AU604)/AU604*100)</f>
        <v>0</v>
      </c>
      <c r="AX604" s="363">
        <f>IF(AX606=0,0,(AX605*AX606+AX607*AX608*6)/AX606)</f>
        <v>0</v>
      </c>
      <c r="AY604" s="363">
        <f>IF(AY606=0,0,(AY605*AY606+AY607*AY608*6)/AY606)</f>
        <v>0</v>
      </c>
      <c r="AZ604" s="362">
        <f>IF(AX604=0,0,(AY604-AX604)/AX604*100)</f>
        <v>0</v>
      </c>
      <c r="BA604" s="363">
        <f>IF(BA606=0,0,(BA605*BA606+BA607*BA608*6)/BA606)</f>
        <v>0</v>
      </c>
      <c r="BB604" s="363">
        <f>IF(BB606=0,0,(BB605*BB606+BB607*BB608*6)/BB606)</f>
        <v>0</v>
      </c>
      <c r="BC604" s="362">
        <f>IF(BA604=0,0,(BB604-BA604)/BA604*100)</f>
        <v>0</v>
      </c>
      <c r="BD604" s="363">
        <f>IF(BD606=0,0,(BD605*BD606+BD607*BD608*6)/BD606)</f>
        <v>0</v>
      </c>
      <c r="BE604" s="363">
        <f>IF(BE606=0,0,(BE605*BE606+BE607*BE608*6)/BE606)</f>
        <v>0</v>
      </c>
      <c r="BF604" s="362">
        <f>IF(BD604=0,0,(BE604-BD604)/BD604*100)</f>
        <v>0</v>
      </c>
      <c r="BG604" s="363">
        <f>IF(BG606=0,0,(BG605*BG606+BG607*BG608*6)/BG606)</f>
        <v>0</v>
      </c>
      <c r="BH604" s="363">
        <f>IF(BH606=0,0,(BH605*BH606+BH607*BH608*6)/BH606)</f>
        <v>0</v>
      </c>
      <c r="BI604" s="362">
        <f>IF(BG604=0,0,(BH604-BG604)/BG604*100)</f>
        <v>0</v>
      </c>
      <c r="BJ604" s="363">
        <f>IF(BJ606=0,0,(BJ605*BJ606+BJ607*BJ608*6)/BJ606)</f>
        <v>0</v>
      </c>
      <c r="BK604" s="363">
        <f>IF(BK606=0,0,(BK605*BK606+BK607*BK608*6)/BK606)</f>
        <v>0</v>
      </c>
      <c r="BL604" s="362">
        <f>IF(BJ604=0,0,(BK604-BJ604)/BJ604*100)</f>
        <v>0</v>
      </c>
      <c r="BM604" s="363">
        <f>IF(BM606=0,0,(BM605*BM606+BM607*BM608*6)/BM606)</f>
        <v>0</v>
      </c>
      <c r="BN604" s="363">
        <f>IF(BN606=0,0,(BN605*BN606+BN607*BN608*6)/BN606)</f>
        <v>0</v>
      </c>
      <c r="BO604" s="362">
        <f>IF(BM604=0,0,(BN604-BM604)/BM604*100)</f>
        <v>0</v>
      </c>
      <c r="BP604" s="363">
        <f>IF(BP606=0,0,(BP605*BP606+BP607*BP608*6)/BP606)</f>
        <v>0</v>
      </c>
      <c r="BQ604" s="363">
        <f>IF(BQ606=0,0,(BQ605*BQ606+BQ607*BQ608*6)/BQ606)</f>
        <v>0</v>
      </c>
      <c r="BR604" s="362">
        <f>IF(BP604=0,0,(BQ604-BP604)/BP604*100)</f>
        <v>0</v>
      </c>
      <c r="BS604" s="363">
        <f>IF(BS606=0,0,(BS605*BS606+BS607*BS608*6)/BS606)</f>
        <v>0</v>
      </c>
      <c r="BT604" s="363">
        <f>IF(BT606=0,0,(BT605*BT606+BT607*BT608*6)/BT606)</f>
        <v>0</v>
      </c>
      <c r="BU604" s="362">
        <f>IF(BS604=0,0,(BT604-BS604)/BS604*100)</f>
        <v>0</v>
      </c>
      <c r="BV604" s="363">
        <f>IF(BV606=0,0,(BV605*BV606+BV607*BV608*6)/BV606)</f>
        <v>0</v>
      </c>
      <c r="BW604" s="363">
        <f>IF(BW606=0,0,(BW605*BW606+BW607*BW608*6)/BW606)</f>
        <v>0</v>
      </c>
      <c r="BX604" s="362">
        <f>IF(BV604=0,0,(BW604-BV604)/BV604*100)</f>
        <v>0</v>
      </c>
      <c r="BY604" s="363">
        <f>IF(BY606=0,0,(BY605*BY606+BY607*BY608*6)/BY606)</f>
        <v>0</v>
      </c>
      <c r="BZ604" s="363">
        <f>IF(BZ606=0,0,(BZ605*BZ606+BZ607*BZ608*6)/BZ606)</f>
        <v>0</v>
      </c>
      <c r="CA604" s="362">
        <f>IF(BY604=0,0,(BZ604-BY604)/BY604*100)</f>
        <v>0</v>
      </c>
      <c r="CB604" s="363">
        <f>IF(CB606=0,0,(CB605*CB606+CB607*CB608*6)/CB606)</f>
        <v>0</v>
      </c>
      <c r="CC604" s="363">
        <f>IF(CC606=0,0,(CC605*CC606+CC607*CC608*6)/CC606)</f>
        <v>0</v>
      </c>
      <c r="CD604" s="362">
        <f>IF(CB604=0,0,(CC604-CB604)/CB604*100)</f>
        <v>0</v>
      </c>
      <c r="CE604" s="363">
        <f>IF(CE606=0,0,(CE605*CE606+CE607*CE608*6)/CE606)</f>
        <v>0</v>
      </c>
      <c r="CF604" s="363">
        <f>IF(CF606=0,0,(CF605*CF606+CF607*CF608*6)/CF606)</f>
        <v>0</v>
      </c>
      <c r="CG604" s="362">
        <f>IF(CE604=0,0,(CF604-CE604)/CE604*100)</f>
        <v>0</v>
      </c>
      <c r="CH604" s="363">
        <f>IF(CH606=0,0,(CH605*CH606+CH607*CH608*6)/CH606)</f>
        <v>0</v>
      </c>
      <c r="CI604" s="363">
        <f>IF(CI606=0,0,(CI605*CI606+CI607*CI608*6)/CI606)</f>
        <v>0</v>
      </c>
      <c r="CJ604" s="362">
        <f>IF(CH604=0,0,(CI604-CH604)/CH604*100)</f>
        <v>0</v>
      </c>
      <c r="CK604" s="363">
        <f>IF(CK606=0,0,(CK605*CK606+CK607*CK608*6)/CK606)</f>
        <v>0</v>
      </c>
      <c r="CL604" s="363">
        <f>IF(CL606=0,0,(CL605*CL606+CL607*CL608*6)/CL606)</f>
        <v>0</v>
      </c>
      <c r="CM604" s="362">
        <f>IF(CK604=0,0,(CL604-CK604)/CK604*100)</f>
        <v>0</v>
      </c>
      <c r="CN604" s="363">
        <f>IF(CN606=0,0,(CN605*CN606+CN607*CN608*6)/CN606)</f>
        <v>0</v>
      </c>
      <c r="CO604" s="363">
        <f>IF(CO606=0,0,(CO605*CO606+CO607*CO608*6)/CO606)</f>
        <v>0</v>
      </c>
      <c r="CP604" s="362">
        <f>IF(CN604=0,0,(CO604-CN604)/CN604*100)</f>
        <v>0</v>
      </c>
      <c r="CQ604" s="363">
        <f>IF(CQ606=0,0,(CQ605*CQ606+CQ607*CQ608*6)/CQ606)</f>
        <v>0</v>
      </c>
      <c r="CR604" s="363">
        <f>IF(CR606=0,0,(CR605*CR606+CR607*CR608*6)/CR606)</f>
        <v>0</v>
      </c>
      <c r="CS604" s="362">
        <f>IF(CQ604=0,0,(CR604-CQ604)/CQ604*100)</f>
        <v>0</v>
      </c>
      <c r="CT604" s="363">
        <f>IF(CT606=0,0,(CT605*CT606+CT607*CT608*6)/CT606)</f>
        <v>0</v>
      </c>
      <c r="CU604" s="363">
        <f>IF(CU606=0,0,(CU605*CU606+CU607*CU608*6)/CU606)</f>
        <v>0</v>
      </c>
      <c r="CV604" s="362">
        <f>IF(CT604=0,0,(CU604-CT604)/CT604*100)</f>
        <v>0</v>
      </c>
      <c r="CW604" s="363">
        <f>IF(CW606=0,0,(CW605*CW606+CW607*CW608*6)/CW606)</f>
        <v>0</v>
      </c>
      <c r="CX604" s="363">
        <f>IF(CX606=0,0,(CX605*CX606+CX607*CX608*6)/CX606)</f>
        <v>0</v>
      </c>
      <c r="CY604" s="362">
        <f>IF(CW604=0,0,(CX604-CW604)/CW604*100)</f>
        <v>0</v>
      </c>
      <c r="CZ604" s="363">
        <f>IF(CZ606=0,0,(CZ605*CZ606+CZ607*CZ608*6)/CZ606)</f>
        <v>0</v>
      </c>
      <c r="DA604" s="363">
        <f>IF(DA606=0,0,(DA605*DA606+DA607*DA608*6)/DA606)</f>
        <v>0</v>
      </c>
      <c r="DB604" s="362">
        <f>IF(CZ604=0,0,(DA604-CZ604)/CZ604*100)</f>
        <v>0</v>
      </c>
      <c r="DC604" s="363">
        <f>IF(DC606=0,0,(DC605*DC606+DC607*DC608*6)/DC606)</f>
        <v>0</v>
      </c>
      <c r="DD604" s="363">
        <f>IF(DD606=0,0,(DD605*DD606+DD607*DD608*6)/DD606)</f>
        <v>0</v>
      </c>
      <c r="DE604" s="362">
        <f>IF(DC604=0,0,(DD604-DC604)/DC604*100)</f>
        <v>0</v>
      </c>
      <c r="DF604" s="363">
        <f>IF(DF606=0,0,(DF605*DF606+DF607*DF608*6)/DF606)</f>
        <v>0</v>
      </c>
      <c r="DG604" s="363">
        <f>IF(DG606=0,0,(DG605*DG606+DG607*DG608*6)/DG606)</f>
        <v>0</v>
      </c>
      <c r="DH604" s="362">
        <f>IF(DF604=0,0,(DG604-DF604)/DF604*100)</f>
        <v>0</v>
      </c>
      <c r="DI604" s="363">
        <f>IF(DI606=0,0,(DI605*DI606+DI607*DI608*6)/DI606)</f>
        <v>0</v>
      </c>
      <c r="DJ604" s="363">
        <f>IF(DJ606=0,0,(DJ605*DJ606+DJ607*DJ608*6)/DJ606)</f>
        <v>0</v>
      </c>
      <c r="DK604" s="362">
        <f>IF(DI604=0,0,(DJ604-DI604)/DI604*100)</f>
        <v>0</v>
      </c>
      <c r="DL604" s="363">
        <f>IF(DL606=0,0,(DL605*DL606+DL607*DL608*6)/DL606)</f>
        <v>0</v>
      </c>
      <c r="DM604" s="363">
        <f>IF(DM606=0,0,(DM605*DM606+DM607*DM608*6)/DM606)</f>
        <v>0</v>
      </c>
      <c r="DN604" s="362">
        <f>IF(DL604=0,0,(DM604-DL604)/DL604*100)</f>
        <v>0</v>
      </c>
      <c r="DO604" s="363">
        <f>IF(DO606=0,0,(DO605*DO606+DO607*DO608*6)/DO606)</f>
        <v>0</v>
      </c>
      <c r="DP604" s="363">
        <f>IF(DP606=0,0,(DP605*DP606+DP607*DP608*6)/DP606)</f>
        <v>0</v>
      </c>
      <c r="DQ604" s="362">
        <f>IF(DO604=0,0,(DP604-DO604)/DO604*100)</f>
        <v>0</v>
      </c>
      <c r="DR604" s="363">
        <f>IF(DR606=0,0,(DR605*DR606+DR607*DR608*6)/DR606)</f>
        <v>0</v>
      </c>
      <c r="DS604" s="363">
        <f>IF(DS606=0,0,(DS605*DS606+DS607*DS608*6)/DS606)</f>
        <v>0</v>
      </c>
      <c r="DT604" s="362">
        <f>IF(DR604=0,0,(DS604-DR604)/DR604*100)</f>
        <v>0</v>
      </c>
      <c r="DU604" s="363">
        <f>IF(DU606=0,0,(DU605*DU606+DU607*DU608*6)/DU606)</f>
        <v>0</v>
      </c>
      <c r="DV604" s="363">
        <f>IF(DV606=0,0,(DV605*DV606+DV607*DV608*6)/DV606)</f>
        <v>0</v>
      </c>
      <c r="DW604" s="362">
        <f>IF(DU604=0,0,(DV604-DU604)/DU604*100)</f>
        <v>0</v>
      </c>
      <c r="DX604" s="363">
        <f>IF(DX606=0,0,(DX605*DX606+DX607*DX608*6)/DX606)</f>
        <v>0</v>
      </c>
      <c r="DY604" s="363">
        <f>IF(DY606=0,0,(DY605*DY606+DY607*DY608*6)/DY606)</f>
        <v>0</v>
      </c>
      <c r="DZ604" s="362">
        <f>IF(DX604=0,0,(DY604-DX604)/DX604*100)</f>
        <v>0</v>
      </c>
      <c r="EA604" s="363">
        <f>IF(EA606=0,0,(EA605*EA606+EA607*EA608*6)/EA606)</f>
        <v>0</v>
      </c>
      <c r="EB604" s="363">
        <f>IF(EB606=0,0,(EB605*EB606+EB607*EB608*6)/EB606)</f>
        <v>0</v>
      </c>
      <c r="EC604" s="362">
        <f>IF(EA604=0,0,(EB604-EA604)/EA604*100)</f>
        <v>0</v>
      </c>
      <c r="ED604" s="363">
        <f>IF(ED606=0,0,(ED605*ED606+ED607*ED608*6)/ED606)</f>
        <v>0</v>
      </c>
      <c r="EE604" s="363">
        <f>IF(EE606=0,0,(EE605*EE606+EE607*EE608*6)/EE606)</f>
        <v>0</v>
      </c>
      <c r="EF604" s="362">
        <f>IF(ED604=0,0,(EE604-ED604)/ED604*100)</f>
        <v>0</v>
      </c>
      <c r="EG604" s="363">
        <f>IF(EG606=0,0,(EG605*EG606+EG607*EG608*6)/EG606)</f>
        <v>0</v>
      </c>
      <c r="EH604" s="363">
        <f>IF(EH606=0,0,(EH605*EH606+EH607*EH608*6)/EH606)</f>
        <v>0</v>
      </c>
      <c r="EI604" s="362">
        <f>IF(EG604=0,0,(EH604-EG604)/EG604*100)</f>
        <v>0</v>
      </c>
      <c r="EJ604" s="363">
        <f>IF(EJ606=0,0,(EJ605*EJ606+EJ607*EJ608*6)/EJ606)</f>
        <v>0</v>
      </c>
      <c r="EK604" s="363">
        <f>IF(EK606=0,0,(EK605*EK606+EK607*EK608*6)/EK606)</f>
        <v>0</v>
      </c>
      <c r="EL604" s="362">
        <f>IF(EJ604=0,0,(EK604-EJ604)/EJ604*100)</f>
        <v>0</v>
      </c>
      <c r="EM604" s="363">
        <f>IF(EM606=0,0,(EM605*EM606+EM607*EM608*6)/EM606)</f>
        <v>0</v>
      </c>
      <c r="EN604" s="363">
        <f>IF(EN606=0,0,(EN605*EN606+EN607*EN608*6)/EN606)</f>
        <v>0</v>
      </c>
      <c r="EO604" s="362">
        <f>IF(EM604=0,0,(EN604-EM604)/EM604*100)</f>
        <v>0</v>
      </c>
      <c r="EP604" s="363">
        <f>IF(EP606=0,0,(EP605*EP606+EP607*EP608*6)/EP606)</f>
        <v>0</v>
      </c>
      <c r="EQ604" s="363">
        <f>IF(EQ606=0,0,(EQ605*EQ606+EQ607*EQ608*6)/EQ606)</f>
        <v>0</v>
      </c>
      <c r="ER604" s="362">
        <f>IF(EP604=0,0,(EQ604-EP604)/EP604*100)</f>
        <v>0</v>
      </c>
      <c r="ES604" s="363">
        <f>IF(ES606=0,0,(ES605*ES606+ES607*ES608*6)/ES606)</f>
        <v>0</v>
      </c>
      <c r="ET604" s="363">
        <f>IF(ET606=0,0,(ET605*ET606+ET607*ET608*6)/ET606)</f>
        <v>0</v>
      </c>
      <c r="EU604" s="362">
        <f>IF(ES604=0,0,(ET604-ES604)/ES604*100)</f>
        <v>0</v>
      </c>
      <c r="EV604" s="363">
        <f>IF(EV606=0,0,(EV605*EV606+EV607*EV608*6)/EV606)</f>
        <v>0</v>
      </c>
      <c r="EW604" s="363">
        <f>IF(EW606=0,0,(EW605*EW606+EW607*EW608*6)/EW606)</f>
        <v>0</v>
      </c>
      <c r="EX604" s="362">
        <f>IF(EV604=0,0,(EW604-EV604)/EV604*100)</f>
        <v>0</v>
      </c>
      <c r="EY604" s="363">
        <f>IF(EY606=0,0,(EY605*EY606+EY607*EY608*6)/EY606)</f>
        <v>0</v>
      </c>
      <c r="EZ604" s="363">
        <f>IF(EZ606=0,0,(EZ605*EZ606+EZ607*EZ608*6)/EZ606)</f>
        <v>0</v>
      </c>
      <c r="FA604" s="362">
        <f>IF(EY604=0,0,(EZ604-EY604)/EY604*100)</f>
        <v>0</v>
      </c>
      <c r="FB604" s="363">
        <f>IF(FB606=0,0,(FB605*FB606+FB607*FB608*6)/FB606)</f>
        <v>0</v>
      </c>
      <c r="FC604" s="363">
        <f>IF(FC606=0,0,(FC605*FC606+FC607*FC608*6)/FC606)</f>
        <v>0</v>
      </c>
      <c r="FD604" s="362">
        <f>IF(FB604=0,0,(FC604-FB604)/FB604*100)</f>
        <v>0</v>
      </c>
      <c r="FE604" s="363">
        <f>IF(FE606=0,0,(FE605*FE606+FE607*FE608*6)/FE606)</f>
        <v>0</v>
      </c>
      <c r="FF604" s="363">
        <f>IF(FF606=0,0,(FF605*FF606+FF607*FF608*6)/FF606)</f>
        <v>0</v>
      </c>
      <c r="FG604" s="362">
        <f>IF(FE604=0,0,(FF604-FE604)/FE604*100)</f>
        <v>0</v>
      </c>
    </row>
    <row r="605" spans="1:163" s="295" customFormat="1" ht="15" customHeight="1" outlineLevel="1">
      <c r="A605" s="295" t="str">
        <f t="shared" si="126"/>
        <v>1</v>
      </c>
      <c r="C605" s="598" t="s">
        <v>1605</v>
      </c>
      <c r="D605" s="598" t="s">
        <v>1719</v>
      </c>
      <c r="G605" s="295" t="b">
        <f>F582="двухставочный"</f>
        <v>0</v>
      </c>
      <c r="L605" s="369" t="s">
        <v>665</v>
      </c>
      <c r="M605" s="360" t="s">
        <v>652</v>
      </c>
      <c r="N605" s="363"/>
      <c r="O605" s="363"/>
      <c r="P605" s="362">
        <f>IF(N605=0,0,(O605-N605)/N605*100)</f>
        <v>0</v>
      </c>
      <c r="Q605" s="363"/>
      <c r="R605" s="363"/>
      <c r="S605" s="362">
        <f>IF(Q605=0,0,(R605-Q605)/Q605*100)</f>
        <v>0</v>
      </c>
      <c r="T605" s="363"/>
      <c r="U605" s="363"/>
      <c r="V605" s="362">
        <f>IF(T605=0,0,(U605-T605)/T605*100)</f>
        <v>0</v>
      </c>
      <c r="W605" s="363"/>
      <c r="X605" s="363"/>
      <c r="Y605" s="362">
        <f>IF(W605=0,0,(X605-W605)/W605*100)</f>
        <v>0</v>
      </c>
      <c r="Z605" s="363"/>
      <c r="AA605" s="363"/>
      <c r="AB605" s="362">
        <f>IF(Z605=0,0,(AA605-Z605)/Z605*100)</f>
        <v>0</v>
      </c>
      <c r="AC605" s="363"/>
      <c r="AD605" s="363"/>
      <c r="AE605" s="362">
        <f>IF(AC605=0,0,(AD605-AC605)/AC605*100)</f>
        <v>0</v>
      </c>
      <c r="AF605" s="363"/>
      <c r="AG605" s="363"/>
      <c r="AH605" s="362">
        <f>IF(AF605=0,0,(AG605-AF605)/AF605*100)</f>
        <v>0</v>
      </c>
      <c r="AI605" s="363"/>
      <c r="AJ605" s="363"/>
      <c r="AK605" s="362">
        <f>IF(AI605=0,0,(AJ605-AI605)/AI605*100)</f>
        <v>0</v>
      </c>
      <c r="AL605" s="363"/>
      <c r="AM605" s="363"/>
      <c r="AN605" s="362">
        <f>IF(AL605=0,0,(AM605-AL605)/AL605*100)</f>
        <v>0</v>
      </c>
      <c r="AO605" s="363"/>
      <c r="AP605" s="363"/>
      <c r="AQ605" s="362">
        <f>IF(AO605=0,0,(AP605-AO605)/AO605*100)</f>
        <v>0</v>
      </c>
      <c r="AR605" s="363"/>
      <c r="AS605" s="363"/>
      <c r="AT605" s="362">
        <f>IF(AR605=0,0,(AS605-AR605)/AR605*100)</f>
        <v>0</v>
      </c>
      <c r="AU605" s="363"/>
      <c r="AV605" s="363"/>
      <c r="AW605" s="362">
        <f>IF(AU605=0,0,(AV605-AU605)/AU605*100)</f>
        <v>0</v>
      </c>
      <c r="AX605" s="363"/>
      <c r="AY605" s="363"/>
      <c r="AZ605" s="362">
        <f>IF(AX605=0,0,(AY605-AX605)/AX605*100)</f>
        <v>0</v>
      </c>
      <c r="BA605" s="363"/>
      <c r="BB605" s="363"/>
      <c r="BC605" s="362">
        <f>IF(BA605=0,0,(BB605-BA605)/BA605*100)</f>
        <v>0</v>
      </c>
      <c r="BD605" s="363"/>
      <c r="BE605" s="363"/>
      <c r="BF605" s="362">
        <f>IF(BD605=0,0,(BE605-BD605)/BD605*100)</f>
        <v>0</v>
      </c>
      <c r="BG605" s="363"/>
      <c r="BH605" s="363"/>
      <c r="BI605" s="362">
        <f>IF(BG605=0,0,(BH605-BG605)/BG605*100)</f>
        <v>0</v>
      </c>
      <c r="BJ605" s="363"/>
      <c r="BK605" s="363"/>
      <c r="BL605" s="362">
        <f>IF(BJ605=0,0,(BK605-BJ605)/BJ605*100)</f>
        <v>0</v>
      </c>
      <c r="BM605" s="363"/>
      <c r="BN605" s="363"/>
      <c r="BO605" s="362">
        <f>IF(BM605=0,0,(BN605-BM605)/BM605*100)</f>
        <v>0</v>
      </c>
      <c r="BP605" s="363"/>
      <c r="BQ605" s="363"/>
      <c r="BR605" s="362">
        <f>IF(BP605=0,0,(BQ605-BP605)/BP605*100)</f>
        <v>0</v>
      </c>
      <c r="BS605" s="363"/>
      <c r="BT605" s="363"/>
      <c r="BU605" s="362">
        <f>IF(BS605=0,0,(BT605-BS605)/BS605*100)</f>
        <v>0</v>
      </c>
      <c r="BV605" s="363"/>
      <c r="BW605" s="363"/>
      <c r="BX605" s="362">
        <f>IF(BV605=0,0,(BW605-BV605)/BV605*100)</f>
        <v>0</v>
      </c>
      <c r="BY605" s="363"/>
      <c r="BZ605" s="363"/>
      <c r="CA605" s="362">
        <f>IF(BY605=0,0,(BZ605-BY605)/BY605*100)</f>
        <v>0</v>
      </c>
      <c r="CB605" s="363"/>
      <c r="CC605" s="363"/>
      <c r="CD605" s="362">
        <f>IF(CB605=0,0,(CC605-CB605)/CB605*100)</f>
        <v>0</v>
      </c>
      <c r="CE605" s="363"/>
      <c r="CF605" s="363"/>
      <c r="CG605" s="362">
        <f>IF(CE605=0,0,(CF605-CE605)/CE605*100)</f>
        <v>0</v>
      </c>
      <c r="CH605" s="363"/>
      <c r="CI605" s="363"/>
      <c r="CJ605" s="362">
        <f>IF(CH605=0,0,(CI605-CH605)/CH605*100)</f>
        <v>0</v>
      </c>
      <c r="CK605" s="363"/>
      <c r="CL605" s="363"/>
      <c r="CM605" s="362">
        <f>IF(CK605=0,0,(CL605-CK605)/CK605*100)</f>
        <v>0</v>
      </c>
      <c r="CN605" s="363"/>
      <c r="CO605" s="363"/>
      <c r="CP605" s="362">
        <f>IF(CN605=0,0,(CO605-CN605)/CN605*100)</f>
        <v>0</v>
      </c>
      <c r="CQ605" s="363"/>
      <c r="CR605" s="363"/>
      <c r="CS605" s="362">
        <f>IF(CQ605=0,0,(CR605-CQ605)/CQ605*100)</f>
        <v>0</v>
      </c>
      <c r="CT605" s="363"/>
      <c r="CU605" s="363"/>
      <c r="CV605" s="362">
        <f>IF(CT605=0,0,(CU605-CT605)/CT605*100)</f>
        <v>0</v>
      </c>
      <c r="CW605" s="363"/>
      <c r="CX605" s="363"/>
      <c r="CY605" s="362">
        <f>IF(CW605=0,0,(CX605-CW605)/CW605*100)</f>
        <v>0</v>
      </c>
      <c r="CZ605" s="363"/>
      <c r="DA605" s="363"/>
      <c r="DB605" s="362">
        <f>IF(CZ605=0,0,(DA605-CZ605)/CZ605*100)</f>
        <v>0</v>
      </c>
      <c r="DC605" s="363"/>
      <c r="DD605" s="363"/>
      <c r="DE605" s="362">
        <f>IF(DC605=0,0,(DD605-DC605)/DC605*100)</f>
        <v>0</v>
      </c>
      <c r="DF605" s="363"/>
      <c r="DG605" s="363"/>
      <c r="DH605" s="362">
        <f>IF(DF605=0,0,(DG605-DF605)/DF605*100)</f>
        <v>0</v>
      </c>
      <c r="DI605" s="363"/>
      <c r="DJ605" s="363"/>
      <c r="DK605" s="362">
        <f>IF(DI605=0,0,(DJ605-DI605)/DI605*100)</f>
        <v>0</v>
      </c>
      <c r="DL605" s="363"/>
      <c r="DM605" s="363"/>
      <c r="DN605" s="362">
        <f>IF(DL605=0,0,(DM605-DL605)/DL605*100)</f>
        <v>0</v>
      </c>
      <c r="DO605" s="363"/>
      <c r="DP605" s="363"/>
      <c r="DQ605" s="362">
        <f>IF(DO605=0,0,(DP605-DO605)/DO605*100)</f>
        <v>0</v>
      </c>
      <c r="DR605" s="363"/>
      <c r="DS605" s="363"/>
      <c r="DT605" s="362">
        <f>IF(DR605=0,0,(DS605-DR605)/DR605*100)</f>
        <v>0</v>
      </c>
      <c r="DU605" s="363"/>
      <c r="DV605" s="363"/>
      <c r="DW605" s="362">
        <f>IF(DU605=0,0,(DV605-DU605)/DU605*100)</f>
        <v>0</v>
      </c>
      <c r="DX605" s="363"/>
      <c r="DY605" s="363"/>
      <c r="DZ605" s="362">
        <f>IF(DX605=0,0,(DY605-DX605)/DX605*100)</f>
        <v>0</v>
      </c>
      <c r="EA605" s="363"/>
      <c r="EB605" s="363"/>
      <c r="EC605" s="362">
        <f>IF(EA605=0,0,(EB605-EA605)/EA605*100)</f>
        <v>0</v>
      </c>
      <c r="ED605" s="363"/>
      <c r="EE605" s="363"/>
      <c r="EF605" s="362">
        <f>IF(ED605=0,0,(EE605-ED605)/ED605*100)</f>
        <v>0</v>
      </c>
      <c r="EG605" s="363"/>
      <c r="EH605" s="363"/>
      <c r="EI605" s="362">
        <f>IF(EG605=0,0,(EH605-EG605)/EG605*100)</f>
        <v>0</v>
      </c>
      <c r="EJ605" s="363"/>
      <c r="EK605" s="363"/>
      <c r="EL605" s="362">
        <f>IF(EJ605=0,0,(EK605-EJ605)/EJ605*100)</f>
        <v>0</v>
      </c>
      <c r="EM605" s="363"/>
      <c r="EN605" s="363"/>
      <c r="EO605" s="362">
        <f>IF(EM605=0,0,(EN605-EM605)/EM605*100)</f>
        <v>0</v>
      </c>
      <c r="EP605" s="363"/>
      <c r="EQ605" s="363"/>
      <c r="ER605" s="362">
        <f>IF(EP605=0,0,(EQ605-EP605)/EP605*100)</f>
        <v>0</v>
      </c>
      <c r="ES605" s="363"/>
      <c r="ET605" s="363"/>
      <c r="EU605" s="362">
        <f>IF(ES605=0,0,(ET605-ES605)/ES605*100)</f>
        <v>0</v>
      </c>
      <c r="EV605" s="363"/>
      <c r="EW605" s="363"/>
      <c r="EX605" s="362">
        <f>IF(EV605=0,0,(EW605-EV605)/EV605*100)</f>
        <v>0</v>
      </c>
      <c r="EY605" s="363"/>
      <c r="EZ605" s="363"/>
      <c r="FA605" s="362">
        <f>IF(EY605=0,0,(EZ605-EY605)/EY605*100)</f>
        <v>0</v>
      </c>
      <c r="FB605" s="363"/>
      <c r="FC605" s="363"/>
      <c r="FD605" s="362">
        <f>IF(FB605=0,0,(FC605-FB605)/FB605*100)</f>
        <v>0</v>
      </c>
      <c r="FE605" s="363"/>
      <c r="FF605" s="363"/>
      <c r="FG605" s="362">
        <f>IF(FE605=0,0,(FF605-FE605)/FE605*100)</f>
        <v>0</v>
      </c>
    </row>
    <row r="606" spans="1:163" s="295" customFormat="1" ht="15" customHeight="1" outlineLevel="1">
      <c r="A606" s="295" t="str">
        <f t="shared" si="126"/>
        <v>1</v>
      </c>
      <c r="B606" s="104" t="s">
        <v>1173</v>
      </c>
      <c r="C606" s="598" t="s">
        <v>1660</v>
      </c>
      <c r="D606" s="598" t="s">
        <v>1719</v>
      </c>
      <c r="G606" s="295" t="b">
        <f>F582="двухставочный"</f>
        <v>0</v>
      </c>
      <c r="L606" s="369" t="s">
        <v>666</v>
      </c>
      <c r="M606" s="360" t="s">
        <v>310</v>
      </c>
      <c r="N606" s="565" t="e">
        <f>SUMIFS(INDEX(Калькуляция!$T$15:$AM$141,,MATCH(N$3,Калькуляция!$T$3:$AM$3,0)),Калькуляция!$A$15:$A$141,$A606,Калькуляция!$B$15:$B$141,$B606)</f>
        <v>#N/A</v>
      </c>
      <c r="O606" s="565" t="e">
        <f>SUMIFS(INDEX(Калькуляция!$T$15:$AM$141,,MATCH(O$3,Калькуляция!$T$3:$AM$3,0)),Калькуляция!$A$15:$A$141,$A606,Калькуляция!$B$15:$B$141,$B606)</f>
        <v>#N/A</v>
      </c>
      <c r="P606" s="478" t="e">
        <f>IF(N606=0,0,(O606-N606)/N606*100)</f>
        <v>#N/A</v>
      </c>
      <c r="Q606" s="565" t="e">
        <f>SUMIFS(INDEX(Калькуляция!$T$15:$AM$141,,MATCH(Q$3,Калькуляция!$T$3:$AM$3,0)),Калькуляция!$A$15:$A$141,$A606,Калькуляция!$B$15:$B$141,$B606)</f>
        <v>#N/A</v>
      </c>
      <c r="R606" s="565" t="e">
        <f>SUMIFS(INDEX(Калькуляция!$T$15:$AM$141,,MATCH(R$3,Калькуляция!$T$3:$AM$3,0)),Калькуляция!$A$15:$A$141,$A606,Калькуляция!$B$15:$B$141,$B606)</f>
        <v>#N/A</v>
      </c>
      <c r="S606" s="478" t="e">
        <f>IF(Q606=0,0,(R606-Q606)/Q606*100)</f>
        <v>#N/A</v>
      </c>
      <c r="T606" s="565" t="e">
        <f>SUMIFS(INDEX(Калькуляция!$T$15:$AM$141,,MATCH(T$3,Калькуляция!$T$3:$AM$3,0)),Калькуляция!$A$15:$A$141,$A606,Калькуляция!$B$15:$B$141,$B606)</f>
        <v>#N/A</v>
      </c>
      <c r="U606" s="565" t="e">
        <f>SUMIFS(INDEX(Калькуляция!$T$15:$AM$141,,MATCH(U$3,Калькуляция!$T$3:$AM$3,0)),Калькуляция!$A$15:$A$141,$A606,Калькуляция!$B$15:$B$141,$B606)</f>
        <v>#N/A</v>
      </c>
      <c r="V606" s="478" t="e">
        <f>IF(T606=0,0,(U606-T606)/T606*100)</f>
        <v>#N/A</v>
      </c>
      <c r="W606" s="565" t="e">
        <f>SUMIFS(INDEX(Калькуляция!$T$15:$AM$141,,MATCH(W$3,Калькуляция!$T$3:$AM$3,0)),Калькуляция!$A$15:$A$141,$A606,Калькуляция!$B$15:$B$141,$B606)</f>
        <v>#N/A</v>
      </c>
      <c r="X606" s="565" t="e">
        <f>SUMIFS(INDEX(Калькуляция!$T$15:$AM$141,,MATCH(X$3,Калькуляция!$T$3:$AM$3,0)),Калькуляция!$A$15:$A$141,$A606,Калькуляция!$B$15:$B$141,$B606)</f>
        <v>#N/A</v>
      </c>
      <c r="Y606" s="478" t="e">
        <f>IF(W606=0,0,(X606-W606)/W606*100)</f>
        <v>#N/A</v>
      </c>
      <c r="Z606" s="565" t="e">
        <f>SUMIFS(INDEX(Калькуляция!$T$15:$AM$141,,MATCH(Z$3,Калькуляция!$T$3:$AM$3,0)),Калькуляция!$A$15:$A$141,$A606,Калькуляция!$B$15:$B$141,$B606)</f>
        <v>#N/A</v>
      </c>
      <c r="AA606" s="565" t="e">
        <f>SUMIFS(INDEX(Калькуляция!$T$15:$AM$141,,MATCH(AA$3,Калькуляция!$T$3:$AM$3,0)),Калькуляция!$A$15:$A$141,$A606,Калькуляция!$B$15:$B$141,$B606)</f>
        <v>#N/A</v>
      </c>
      <c r="AB606" s="478" t="e">
        <f>IF(Z606=0,0,(AA606-Z606)/Z606*100)</f>
        <v>#N/A</v>
      </c>
      <c r="AC606" s="565" t="e">
        <f>SUMIFS(INDEX(Калькуляция!$T$15:$AM$141,,MATCH(AC$3,Калькуляция!$T$3:$AM$3,0)),Калькуляция!$A$15:$A$141,$A606,Калькуляция!$B$15:$B$141,$B606)</f>
        <v>#N/A</v>
      </c>
      <c r="AD606" s="565" t="e">
        <f>SUMIFS(INDEX(Калькуляция!$T$15:$AM$141,,MATCH(AD$3,Калькуляция!$T$3:$AM$3,0)),Калькуляция!$A$15:$A$141,$A606,Калькуляция!$B$15:$B$141,$B606)</f>
        <v>#N/A</v>
      </c>
      <c r="AE606" s="478" t="e">
        <f>IF(AC606=0,0,(AD606-AC606)/AC606*100)</f>
        <v>#N/A</v>
      </c>
      <c r="AF606" s="565" t="e">
        <f>SUMIFS(INDEX(Калькуляция!$T$15:$AM$141,,MATCH(AF$3,Калькуляция!$T$3:$AM$3,0)),Калькуляция!$A$15:$A$141,$A606,Калькуляция!$B$15:$B$141,$B606)</f>
        <v>#N/A</v>
      </c>
      <c r="AG606" s="565" t="e">
        <f>SUMIFS(INDEX(Калькуляция!$T$15:$AM$141,,MATCH(AG$3,Калькуляция!$T$3:$AM$3,0)),Калькуляция!$A$15:$A$141,$A606,Калькуляция!$B$15:$B$141,$B606)</f>
        <v>#N/A</v>
      </c>
      <c r="AH606" s="478" t="e">
        <f>IF(AF606=0,0,(AG606-AF606)/AF606*100)</f>
        <v>#N/A</v>
      </c>
      <c r="AI606" s="565" t="e">
        <f>SUMIFS(INDEX(Калькуляция!$T$15:$AM$141,,MATCH(AI$3,Калькуляция!$T$3:$AM$3,0)),Калькуляция!$A$15:$A$141,$A606,Калькуляция!$B$15:$B$141,$B606)</f>
        <v>#N/A</v>
      </c>
      <c r="AJ606" s="565" t="e">
        <f>SUMIFS(INDEX(Калькуляция!$T$15:$AM$141,,MATCH(AJ$3,Калькуляция!$T$3:$AM$3,0)),Калькуляция!$A$15:$A$141,$A606,Калькуляция!$B$15:$B$141,$B606)</f>
        <v>#N/A</v>
      </c>
      <c r="AK606" s="478" t="e">
        <f>IF(AI606=0,0,(AJ606-AI606)/AI606*100)</f>
        <v>#N/A</v>
      </c>
      <c r="AL606" s="565" t="e">
        <f>SUMIFS(INDEX(Калькуляция!$T$15:$AM$141,,MATCH(AL$3,Калькуляция!$T$3:$AM$3,0)),Калькуляция!$A$15:$A$141,$A606,Калькуляция!$B$15:$B$141,$B606)</f>
        <v>#N/A</v>
      </c>
      <c r="AM606" s="565" t="e">
        <f>SUMIFS(INDEX(Калькуляция!$T$15:$AM$141,,MATCH(AM$3,Калькуляция!$T$3:$AM$3,0)),Калькуляция!$A$15:$A$141,$A606,Калькуляция!$B$15:$B$141,$B606)</f>
        <v>#N/A</v>
      </c>
      <c r="AN606" s="478" t="e">
        <f>IF(AL606=0,0,(AM606-AL606)/AL606*100)</f>
        <v>#N/A</v>
      </c>
      <c r="AO606" s="565" t="e">
        <f>SUMIFS(INDEX(Калькуляция!$T$15:$AM$141,,MATCH(AO$3,Калькуляция!$T$3:$AM$3,0)),Калькуляция!$A$15:$A$141,$A606,Калькуляция!$B$15:$B$141,$B606)</f>
        <v>#N/A</v>
      </c>
      <c r="AP606" s="565" t="e">
        <f>SUMIFS(INDEX(Калькуляция!$T$15:$AM$141,,MATCH(AP$3,Калькуляция!$T$3:$AM$3,0)),Калькуляция!$A$15:$A$141,$A606,Калькуляция!$B$15:$B$141,$B606)</f>
        <v>#N/A</v>
      </c>
      <c r="AQ606" s="479" t="e">
        <f>IF(AO606=0,0,(AP606-AO606)/AO606*100)</f>
        <v>#N/A</v>
      </c>
      <c r="AR606" s="565"/>
      <c r="AS606" s="565"/>
      <c r="AT606" s="479">
        <f>IF(AR606=0,0,(AS606-AR606)/AR606*100)</f>
        <v>0</v>
      </c>
      <c r="AU606" s="565"/>
      <c r="AV606" s="565"/>
      <c r="AW606" s="479">
        <f>IF(AU606=0,0,(AV606-AU606)/AU606*100)</f>
        <v>0</v>
      </c>
      <c r="AX606" s="565"/>
      <c r="AY606" s="565"/>
      <c r="AZ606" s="479">
        <f>IF(AX606=0,0,(AY606-AX606)/AX606*100)</f>
        <v>0</v>
      </c>
      <c r="BA606" s="565"/>
      <c r="BB606" s="565"/>
      <c r="BC606" s="479">
        <f>IF(BA606=0,0,(BB606-BA606)/BA606*100)</f>
        <v>0</v>
      </c>
      <c r="BD606" s="565"/>
      <c r="BE606" s="565"/>
      <c r="BF606" s="479">
        <f>IF(BD606=0,0,(BE606-BD606)/BD606*100)</f>
        <v>0</v>
      </c>
      <c r="BG606" s="565"/>
      <c r="BH606" s="565"/>
      <c r="BI606" s="479">
        <f>IF(BG606=0,0,(BH606-BG606)/BG606*100)</f>
        <v>0</v>
      </c>
      <c r="BJ606" s="565"/>
      <c r="BK606" s="565"/>
      <c r="BL606" s="479">
        <f>IF(BJ606=0,0,(BK606-BJ606)/BJ606*100)</f>
        <v>0</v>
      </c>
      <c r="BM606" s="565"/>
      <c r="BN606" s="565"/>
      <c r="BO606" s="479">
        <f>IF(BM606=0,0,(BN606-BM606)/BM606*100)</f>
        <v>0</v>
      </c>
      <c r="BP606" s="565"/>
      <c r="BQ606" s="565"/>
      <c r="BR606" s="479">
        <f>IF(BP606=0,0,(BQ606-BP606)/BP606*100)</f>
        <v>0</v>
      </c>
      <c r="BS606" s="565"/>
      <c r="BT606" s="565"/>
      <c r="BU606" s="479">
        <f>IF(BS606=0,0,(BT606-BS606)/BS606*100)</f>
        <v>0</v>
      </c>
      <c r="BV606" s="565"/>
      <c r="BW606" s="565"/>
      <c r="BX606" s="479">
        <f>IF(BV606=0,0,(BW606-BV606)/BV606*100)</f>
        <v>0</v>
      </c>
      <c r="BY606" s="565"/>
      <c r="BZ606" s="565"/>
      <c r="CA606" s="479">
        <f>IF(BY606=0,0,(BZ606-BY606)/BY606*100)</f>
        <v>0</v>
      </c>
      <c r="CB606" s="565"/>
      <c r="CC606" s="565"/>
      <c r="CD606" s="479">
        <f>IF(CB606=0,0,(CC606-CB606)/CB606*100)</f>
        <v>0</v>
      </c>
      <c r="CE606" s="565"/>
      <c r="CF606" s="565"/>
      <c r="CG606" s="479">
        <f>IF(CE606=0,0,(CF606-CE606)/CE606*100)</f>
        <v>0</v>
      </c>
      <c r="CH606" s="565"/>
      <c r="CI606" s="565"/>
      <c r="CJ606" s="479">
        <f>IF(CH606=0,0,(CI606-CH606)/CH606*100)</f>
        <v>0</v>
      </c>
      <c r="CK606" s="565"/>
      <c r="CL606" s="565"/>
      <c r="CM606" s="479">
        <f>IF(CK606=0,0,(CL606-CK606)/CK606*100)</f>
        <v>0</v>
      </c>
      <c r="CN606" s="565"/>
      <c r="CO606" s="565"/>
      <c r="CP606" s="479">
        <f>IF(CN606=0,0,(CO606-CN606)/CN606*100)</f>
        <v>0</v>
      </c>
      <c r="CQ606" s="565"/>
      <c r="CR606" s="565"/>
      <c r="CS606" s="479">
        <f>IF(CQ606=0,0,(CR606-CQ606)/CQ606*100)</f>
        <v>0</v>
      </c>
      <c r="CT606" s="565"/>
      <c r="CU606" s="565"/>
      <c r="CV606" s="479">
        <f>IF(CT606=0,0,(CU606-CT606)/CT606*100)</f>
        <v>0</v>
      </c>
      <c r="CW606" s="565"/>
      <c r="CX606" s="565"/>
      <c r="CY606" s="479">
        <f>IF(CW606=0,0,(CX606-CW606)/CW606*100)</f>
        <v>0</v>
      </c>
      <c r="CZ606" s="565"/>
      <c r="DA606" s="565"/>
      <c r="DB606" s="479">
        <f>IF(CZ606=0,0,(DA606-CZ606)/CZ606*100)</f>
        <v>0</v>
      </c>
      <c r="DC606" s="565"/>
      <c r="DD606" s="565"/>
      <c r="DE606" s="479">
        <f>IF(DC606=0,0,(DD606-DC606)/DC606*100)</f>
        <v>0</v>
      </c>
      <c r="DF606" s="565"/>
      <c r="DG606" s="565"/>
      <c r="DH606" s="479">
        <f>IF(DF606=0,0,(DG606-DF606)/DF606*100)</f>
        <v>0</v>
      </c>
      <c r="DI606" s="565"/>
      <c r="DJ606" s="565"/>
      <c r="DK606" s="479">
        <f>IF(DI606=0,0,(DJ606-DI606)/DI606*100)</f>
        <v>0</v>
      </c>
      <c r="DL606" s="565"/>
      <c r="DM606" s="565"/>
      <c r="DN606" s="479">
        <f>IF(DL606=0,0,(DM606-DL606)/DL606*100)</f>
        <v>0</v>
      </c>
      <c r="DO606" s="565"/>
      <c r="DP606" s="565"/>
      <c r="DQ606" s="479">
        <f>IF(DO606=0,0,(DP606-DO606)/DO606*100)</f>
        <v>0</v>
      </c>
      <c r="DR606" s="565"/>
      <c r="DS606" s="565"/>
      <c r="DT606" s="479">
        <f>IF(DR606=0,0,(DS606-DR606)/DR606*100)</f>
        <v>0</v>
      </c>
      <c r="DU606" s="565"/>
      <c r="DV606" s="565"/>
      <c r="DW606" s="479">
        <f>IF(DU606=0,0,(DV606-DU606)/DU606*100)</f>
        <v>0</v>
      </c>
      <c r="DX606" s="565"/>
      <c r="DY606" s="565"/>
      <c r="DZ606" s="479">
        <f>IF(DX606=0,0,(DY606-DX606)/DX606*100)</f>
        <v>0</v>
      </c>
      <c r="EA606" s="565"/>
      <c r="EB606" s="565"/>
      <c r="EC606" s="479">
        <f>IF(EA606=0,0,(EB606-EA606)/EA606*100)</f>
        <v>0</v>
      </c>
      <c r="ED606" s="565"/>
      <c r="EE606" s="565"/>
      <c r="EF606" s="479">
        <f>IF(ED606=0,0,(EE606-ED606)/ED606*100)</f>
        <v>0</v>
      </c>
      <c r="EG606" s="565"/>
      <c r="EH606" s="565"/>
      <c r="EI606" s="479">
        <f>IF(EG606=0,0,(EH606-EG606)/EG606*100)</f>
        <v>0</v>
      </c>
      <c r="EJ606" s="565"/>
      <c r="EK606" s="565"/>
      <c r="EL606" s="479">
        <f>IF(EJ606=0,0,(EK606-EJ606)/EJ606*100)</f>
        <v>0</v>
      </c>
      <c r="EM606" s="565"/>
      <c r="EN606" s="565"/>
      <c r="EO606" s="479">
        <f>IF(EM606=0,0,(EN606-EM606)/EM606*100)</f>
        <v>0</v>
      </c>
      <c r="EP606" s="565"/>
      <c r="EQ606" s="565"/>
      <c r="ER606" s="479">
        <f>IF(EP606=0,0,(EQ606-EP606)/EP606*100)</f>
        <v>0</v>
      </c>
      <c r="ES606" s="565"/>
      <c r="ET606" s="565"/>
      <c r="EU606" s="479">
        <f>IF(ES606=0,0,(ET606-ES606)/ES606*100)</f>
        <v>0</v>
      </c>
      <c r="EV606" s="565"/>
      <c r="EW606" s="565"/>
      <c r="EX606" s="479">
        <f>IF(EV606=0,0,(EW606-EV606)/EV606*100)</f>
        <v>0</v>
      </c>
      <c r="EY606" s="565"/>
      <c r="EZ606" s="565"/>
      <c r="FA606" s="479">
        <f>IF(EY606=0,0,(EZ606-EY606)/EY606*100)</f>
        <v>0</v>
      </c>
      <c r="FB606" s="565"/>
      <c r="FC606" s="565"/>
      <c r="FD606" s="479">
        <f>IF(FB606=0,0,(FC606-FB606)/FB606*100)</f>
        <v>0</v>
      </c>
      <c r="FE606" s="565"/>
      <c r="FF606" s="565"/>
      <c r="FG606" s="479">
        <f>IF(FE606=0,0,(FF606-FE606)/FE606*100)</f>
        <v>0</v>
      </c>
    </row>
    <row r="607" spans="1:163" s="295" customFormat="1" ht="24.75" customHeight="1" outlineLevel="1">
      <c r="A607" s="295" t="str">
        <f t="shared" si="126"/>
        <v>1</v>
      </c>
      <c r="C607" s="598" t="s">
        <v>1661</v>
      </c>
      <c r="D607" s="598" t="s">
        <v>1719</v>
      </c>
      <c r="G607" s="295" t="b">
        <f>F582="двухставочный"</f>
        <v>0</v>
      </c>
      <c r="L607" s="369" t="s">
        <v>667</v>
      </c>
      <c r="M607" s="360" t="s">
        <v>668</v>
      </c>
      <c r="N607" s="363"/>
      <c r="O607" s="363"/>
      <c r="P607" s="362">
        <f>IF(N607=0,0,(O607-N607)/N607*100)</f>
        <v>0</v>
      </c>
      <c r="Q607" s="363"/>
      <c r="R607" s="363"/>
      <c r="S607" s="362">
        <f>IF(Q607=0,0,(R607-Q607)/Q607*100)</f>
        <v>0</v>
      </c>
      <c r="T607" s="363"/>
      <c r="U607" s="363"/>
      <c r="V607" s="362">
        <f>IF(T607=0,0,(U607-T607)/T607*100)</f>
        <v>0</v>
      </c>
      <c r="W607" s="363"/>
      <c r="X607" s="363"/>
      <c r="Y607" s="362">
        <f>IF(W607=0,0,(X607-W607)/W607*100)</f>
        <v>0</v>
      </c>
      <c r="Z607" s="363"/>
      <c r="AA607" s="363"/>
      <c r="AB607" s="362">
        <f>IF(Z607=0,0,(AA607-Z607)/Z607*100)</f>
        <v>0</v>
      </c>
      <c r="AC607" s="363"/>
      <c r="AD607" s="363"/>
      <c r="AE607" s="362">
        <f>IF(AC607=0,0,(AD607-AC607)/AC607*100)</f>
        <v>0</v>
      </c>
      <c r="AF607" s="363"/>
      <c r="AG607" s="363"/>
      <c r="AH607" s="362">
        <f>IF(AF607=0,0,(AG607-AF607)/AF607*100)</f>
        <v>0</v>
      </c>
      <c r="AI607" s="363"/>
      <c r="AJ607" s="363"/>
      <c r="AK607" s="362">
        <f>IF(AI607=0,0,(AJ607-AI607)/AI607*100)</f>
        <v>0</v>
      </c>
      <c r="AL607" s="363"/>
      <c r="AM607" s="363"/>
      <c r="AN607" s="362">
        <f>IF(AL607=0,0,(AM607-AL607)/AL607*100)</f>
        <v>0</v>
      </c>
      <c r="AO607" s="363"/>
      <c r="AP607" s="363"/>
      <c r="AQ607" s="362">
        <f>IF(AO607=0,0,(AP607-AO607)/AO607*100)</f>
        <v>0</v>
      </c>
      <c r="AR607" s="363"/>
      <c r="AS607" s="363"/>
      <c r="AT607" s="362">
        <f>IF(AR607=0,0,(AS607-AR607)/AR607*100)</f>
        <v>0</v>
      </c>
      <c r="AU607" s="363"/>
      <c r="AV607" s="363"/>
      <c r="AW607" s="362">
        <f>IF(AU607=0,0,(AV607-AU607)/AU607*100)</f>
        <v>0</v>
      </c>
      <c r="AX607" s="363"/>
      <c r="AY607" s="363"/>
      <c r="AZ607" s="362">
        <f>IF(AX607=0,0,(AY607-AX607)/AX607*100)</f>
        <v>0</v>
      </c>
      <c r="BA607" s="363"/>
      <c r="BB607" s="363"/>
      <c r="BC607" s="362">
        <f>IF(BA607=0,0,(BB607-BA607)/BA607*100)</f>
        <v>0</v>
      </c>
      <c r="BD607" s="363"/>
      <c r="BE607" s="363"/>
      <c r="BF607" s="362">
        <f>IF(BD607=0,0,(BE607-BD607)/BD607*100)</f>
        <v>0</v>
      </c>
      <c r="BG607" s="363"/>
      <c r="BH607" s="363"/>
      <c r="BI607" s="362">
        <f>IF(BG607=0,0,(BH607-BG607)/BG607*100)</f>
        <v>0</v>
      </c>
      <c r="BJ607" s="363"/>
      <c r="BK607" s="363"/>
      <c r="BL607" s="362">
        <f>IF(BJ607=0,0,(BK607-BJ607)/BJ607*100)</f>
        <v>0</v>
      </c>
      <c r="BM607" s="363"/>
      <c r="BN607" s="363"/>
      <c r="BO607" s="362">
        <f>IF(BM607=0,0,(BN607-BM607)/BM607*100)</f>
        <v>0</v>
      </c>
      <c r="BP607" s="363"/>
      <c r="BQ607" s="363"/>
      <c r="BR607" s="362">
        <f>IF(BP607=0,0,(BQ607-BP607)/BP607*100)</f>
        <v>0</v>
      </c>
      <c r="BS607" s="363"/>
      <c r="BT607" s="363"/>
      <c r="BU607" s="362">
        <f>IF(BS607=0,0,(BT607-BS607)/BS607*100)</f>
        <v>0</v>
      </c>
      <c r="BV607" s="363"/>
      <c r="BW607" s="363"/>
      <c r="BX607" s="362">
        <f>IF(BV607=0,0,(BW607-BV607)/BV607*100)</f>
        <v>0</v>
      </c>
      <c r="BY607" s="363"/>
      <c r="BZ607" s="363"/>
      <c r="CA607" s="362">
        <f>IF(BY607=0,0,(BZ607-BY607)/BY607*100)</f>
        <v>0</v>
      </c>
      <c r="CB607" s="363"/>
      <c r="CC607" s="363"/>
      <c r="CD607" s="362">
        <f>IF(CB607=0,0,(CC607-CB607)/CB607*100)</f>
        <v>0</v>
      </c>
      <c r="CE607" s="363"/>
      <c r="CF607" s="363"/>
      <c r="CG607" s="362">
        <f>IF(CE607=0,0,(CF607-CE607)/CE607*100)</f>
        <v>0</v>
      </c>
      <c r="CH607" s="363"/>
      <c r="CI607" s="363"/>
      <c r="CJ607" s="362">
        <f>IF(CH607=0,0,(CI607-CH607)/CH607*100)</f>
        <v>0</v>
      </c>
      <c r="CK607" s="363"/>
      <c r="CL607" s="363"/>
      <c r="CM607" s="362">
        <f>IF(CK607=0,0,(CL607-CK607)/CK607*100)</f>
        <v>0</v>
      </c>
      <c r="CN607" s="363"/>
      <c r="CO607" s="363"/>
      <c r="CP607" s="362">
        <f>IF(CN607=0,0,(CO607-CN607)/CN607*100)</f>
        <v>0</v>
      </c>
      <c r="CQ607" s="363"/>
      <c r="CR607" s="363"/>
      <c r="CS607" s="362">
        <f>IF(CQ607=0,0,(CR607-CQ607)/CQ607*100)</f>
        <v>0</v>
      </c>
      <c r="CT607" s="363"/>
      <c r="CU607" s="363"/>
      <c r="CV607" s="362">
        <f>IF(CT607=0,0,(CU607-CT607)/CT607*100)</f>
        <v>0</v>
      </c>
      <c r="CW607" s="363"/>
      <c r="CX607" s="363"/>
      <c r="CY607" s="362">
        <f>IF(CW607=0,0,(CX607-CW607)/CW607*100)</f>
        <v>0</v>
      </c>
      <c r="CZ607" s="363"/>
      <c r="DA607" s="363"/>
      <c r="DB607" s="362">
        <f>IF(CZ607=0,0,(DA607-CZ607)/CZ607*100)</f>
        <v>0</v>
      </c>
      <c r="DC607" s="363"/>
      <c r="DD607" s="363"/>
      <c r="DE607" s="362">
        <f>IF(DC607=0,0,(DD607-DC607)/DC607*100)</f>
        <v>0</v>
      </c>
      <c r="DF607" s="363"/>
      <c r="DG607" s="363"/>
      <c r="DH607" s="362">
        <f>IF(DF607=0,0,(DG607-DF607)/DF607*100)</f>
        <v>0</v>
      </c>
      <c r="DI607" s="363"/>
      <c r="DJ607" s="363"/>
      <c r="DK607" s="362">
        <f>IF(DI607=0,0,(DJ607-DI607)/DI607*100)</f>
        <v>0</v>
      </c>
      <c r="DL607" s="363"/>
      <c r="DM607" s="363"/>
      <c r="DN607" s="362">
        <f>IF(DL607=0,0,(DM607-DL607)/DL607*100)</f>
        <v>0</v>
      </c>
      <c r="DO607" s="363"/>
      <c r="DP607" s="363"/>
      <c r="DQ607" s="362">
        <f>IF(DO607=0,0,(DP607-DO607)/DO607*100)</f>
        <v>0</v>
      </c>
      <c r="DR607" s="363"/>
      <c r="DS607" s="363"/>
      <c r="DT607" s="362">
        <f>IF(DR607=0,0,(DS607-DR607)/DR607*100)</f>
        <v>0</v>
      </c>
      <c r="DU607" s="363"/>
      <c r="DV607" s="363"/>
      <c r="DW607" s="362">
        <f>IF(DU607=0,0,(DV607-DU607)/DU607*100)</f>
        <v>0</v>
      </c>
      <c r="DX607" s="363"/>
      <c r="DY607" s="363"/>
      <c r="DZ607" s="362">
        <f>IF(DX607=0,0,(DY607-DX607)/DX607*100)</f>
        <v>0</v>
      </c>
      <c r="EA607" s="363"/>
      <c r="EB607" s="363"/>
      <c r="EC607" s="362">
        <f>IF(EA607=0,0,(EB607-EA607)/EA607*100)</f>
        <v>0</v>
      </c>
      <c r="ED607" s="363"/>
      <c r="EE607" s="363"/>
      <c r="EF607" s="362">
        <f>IF(ED607=0,0,(EE607-ED607)/ED607*100)</f>
        <v>0</v>
      </c>
      <c r="EG607" s="363"/>
      <c r="EH607" s="363"/>
      <c r="EI607" s="362">
        <f>IF(EG607=0,0,(EH607-EG607)/EG607*100)</f>
        <v>0</v>
      </c>
      <c r="EJ607" s="363"/>
      <c r="EK607" s="363"/>
      <c r="EL607" s="362">
        <f>IF(EJ607=0,0,(EK607-EJ607)/EJ607*100)</f>
        <v>0</v>
      </c>
      <c r="EM607" s="363"/>
      <c r="EN607" s="363"/>
      <c r="EO607" s="362">
        <f>IF(EM607=0,0,(EN607-EM607)/EM607*100)</f>
        <v>0</v>
      </c>
      <c r="EP607" s="363"/>
      <c r="EQ607" s="363"/>
      <c r="ER607" s="362">
        <f>IF(EP607=0,0,(EQ607-EP607)/EP607*100)</f>
        <v>0</v>
      </c>
      <c r="ES607" s="363"/>
      <c r="ET607" s="363"/>
      <c r="EU607" s="362">
        <f>IF(ES607=0,0,(ET607-ES607)/ES607*100)</f>
        <v>0</v>
      </c>
      <c r="EV607" s="363"/>
      <c r="EW607" s="363"/>
      <c r="EX607" s="362">
        <f>IF(EV607=0,0,(EW607-EV607)/EV607*100)</f>
        <v>0</v>
      </c>
      <c r="EY607" s="363"/>
      <c r="EZ607" s="363"/>
      <c r="FA607" s="362">
        <f>IF(EY607=0,0,(EZ607-EY607)/EY607*100)</f>
        <v>0</v>
      </c>
      <c r="FB607" s="363"/>
      <c r="FC607" s="363"/>
      <c r="FD607" s="362">
        <f>IF(FB607=0,0,(FC607-FB607)/FB607*100)</f>
        <v>0</v>
      </c>
      <c r="FE607" s="363"/>
      <c r="FF607" s="363"/>
      <c r="FG607" s="362">
        <f>IF(FE607=0,0,(FF607-FE607)/FE607*100)</f>
        <v>0</v>
      </c>
    </row>
    <row r="608" spans="1:163" s="295" customFormat="1" ht="15" customHeight="1" outlineLevel="1">
      <c r="A608" s="295" t="str">
        <f t="shared" si="126"/>
        <v>1</v>
      </c>
      <c r="C608" s="598" t="s">
        <v>1662</v>
      </c>
      <c r="D608" s="598" t="s">
        <v>1719</v>
      </c>
      <c r="G608" s="295" t="b">
        <f>F582="двухставочный"</f>
        <v>0</v>
      </c>
      <c r="L608" s="369" t="s">
        <v>669</v>
      </c>
      <c r="M608" s="360" t="s">
        <v>670</v>
      </c>
      <c r="N608" s="363"/>
      <c r="O608" s="363"/>
      <c r="P608" s="362">
        <f>IF(N608=0,0,(O608-N608)/N608*100)</f>
        <v>0</v>
      </c>
      <c r="Q608" s="363"/>
      <c r="R608" s="363"/>
      <c r="S608" s="362">
        <f>IF(Q608=0,0,(R608-Q608)/Q608*100)</f>
        <v>0</v>
      </c>
      <c r="T608" s="363"/>
      <c r="U608" s="363"/>
      <c r="V608" s="362">
        <f>IF(T608=0,0,(U608-T608)/T608*100)</f>
        <v>0</v>
      </c>
      <c r="W608" s="363"/>
      <c r="X608" s="363"/>
      <c r="Y608" s="362">
        <f>IF(W608=0,0,(X608-W608)/W608*100)</f>
        <v>0</v>
      </c>
      <c r="Z608" s="363"/>
      <c r="AA608" s="363"/>
      <c r="AB608" s="362">
        <f>IF(Z608=0,0,(AA608-Z608)/Z608*100)</f>
        <v>0</v>
      </c>
      <c r="AC608" s="363"/>
      <c r="AD608" s="363"/>
      <c r="AE608" s="362">
        <f>IF(AC608=0,0,(AD608-AC608)/AC608*100)</f>
        <v>0</v>
      </c>
      <c r="AF608" s="363"/>
      <c r="AG608" s="363"/>
      <c r="AH608" s="362">
        <f>IF(AF608=0,0,(AG608-AF608)/AF608*100)</f>
        <v>0</v>
      </c>
      <c r="AI608" s="363"/>
      <c r="AJ608" s="363"/>
      <c r="AK608" s="362">
        <f>IF(AI608=0,0,(AJ608-AI608)/AI608*100)</f>
        <v>0</v>
      </c>
      <c r="AL608" s="363"/>
      <c r="AM608" s="363"/>
      <c r="AN608" s="362">
        <f>IF(AL608=0,0,(AM608-AL608)/AL608*100)</f>
        <v>0</v>
      </c>
      <c r="AO608" s="363"/>
      <c r="AP608" s="363"/>
      <c r="AQ608" s="362">
        <f>IF(AO608=0,0,(AP608-AO608)/AO608*100)</f>
        <v>0</v>
      </c>
      <c r="AR608" s="363"/>
      <c r="AS608" s="363"/>
      <c r="AT608" s="362">
        <f>IF(AR608=0,0,(AS608-AR608)/AR608*100)</f>
        <v>0</v>
      </c>
      <c r="AU608" s="363"/>
      <c r="AV608" s="363"/>
      <c r="AW608" s="362">
        <f>IF(AU608=0,0,(AV608-AU608)/AU608*100)</f>
        <v>0</v>
      </c>
      <c r="AX608" s="363"/>
      <c r="AY608" s="363"/>
      <c r="AZ608" s="362">
        <f>IF(AX608=0,0,(AY608-AX608)/AX608*100)</f>
        <v>0</v>
      </c>
      <c r="BA608" s="363"/>
      <c r="BB608" s="363"/>
      <c r="BC608" s="362">
        <f>IF(BA608=0,0,(BB608-BA608)/BA608*100)</f>
        <v>0</v>
      </c>
      <c r="BD608" s="363"/>
      <c r="BE608" s="363"/>
      <c r="BF608" s="362">
        <f>IF(BD608=0,0,(BE608-BD608)/BD608*100)</f>
        <v>0</v>
      </c>
      <c r="BG608" s="363"/>
      <c r="BH608" s="363"/>
      <c r="BI608" s="362">
        <f>IF(BG608=0,0,(BH608-BG608)/BG608*100)</f>
        <v>0</v>
      </c>
      <c r="BJ608" s="363"/>
      <c r="BK608" s="363"/>
      <c r="BL608" s="362">
        <f>IF(BJ608=0,0,(BK608-BJ608)/BJ608*100)</f>
        <v>0</v>
      </c>
      <c r="BM608" s="363"/>
      <c r="BN608" s="363"/>
      <c r="BO608" s="362">
        <f>IF(BM608=0,0,(BN608-BM608)/BM608*100)</f>
        <v>0</v>
      </c>
      <c r="BP608" s="363"/>
      <c r="BQ608" s="363"/>
      <c r="BR608" s="362">
        <f>IF(BP608=0,0,(BQ608-BP608)/BP608*100)</f>
        <v>0</v>
      </c>
      <c r="BS608" s="363"/>
      <c r="BT608" s="363"/>
      <c r="BU608" s="362">
        <f>IF(BS608=0,0,(BT608-BS608)/BS608*100)</f>
        <v>0</v>
      </c>
      <c r="BV608" s="363"/>
      <c r="BW608" s="363"/>
      <c r="BX608" s="362">
        <f>IF(BV608=0,0,(BW608-BV608)/BV608*100)</f>
        <v>0</v>
      </c>
      <c r="BY608" s="363"/>
      <c r="BZ608" s="363"/>
      <c r="CA608" s="362">
        <f>IF(BY608=0,0,(BZ608-BY608)/BY608*100)</f>
        <v>0</v>
      </c>
      <c r="CB608" s="363"/>
      <c r="CC608" s="363"/>
      <c r="CD608" s="362">
        <f>IF(CB608=0,0,(CC608-CB608)/CB608*100)</f>
        <v>0</v>
      </c>
      <c r="CE608" s="363"/>
      <c r="CF608" s="363"/>
      <c r="CG608" s="362">
        <f>IF(CE608=0,0,(CF608-CE608)/CE608*100)</f>
        <v>0</v>
      </c>
      <c r="CH608" s="363"/>
      <c r="CI608" s="363"/>
      <c r="CJ608" s="362">
        <f>IF(CH608=0,0,(CI608-CH608)/CH608*100)</f>
        <v>0</v>
      </c>
      <c r="CK608" s="363"/>
      <c r="CL608" s="363"/>
      <c r="CM608" s="362">
        <f>IF(CK608=0,0,(CL608-CK608)/CK608*100)</f>
        <v>0</v>
      </c>
      <c r="CN608" s="363"/>
      <c r="CO608" s="363"/>
      <c r="CP608" s="362">
        <f>IF(CN608=0,0,(CO608-CN608)/CN608*100)</f>
        <v>0</v>
      </c>
      <c r="CQ608" s="363"/>
      <c r="CR608" s="363"/>
      <c r="CS608" s="362">
        <f>IF(CQ608=0,0,(CR608-CQ608)/CQ608*100)</f>
        <v>0</v>
      </c>
      <c r="CT608" s="363"/>
      <c r="CU608" s="363"/>
      <c r="CV608" s="362">
        <f>IF(CT608=0,0,(CU608-CT608)/CT608*100)</f>
        <v>0</v>
      </c>
      <c r="CW608" s="363"/>
      <c r="CX608" s="363"/>
      <c r="CY608" s="362">
        <f>IF(CW608=0,0,(CX608-CW608)/CW608*100)</f>
        <v>0</v>
      </c>
      <c r="CZ608" s="363"/>
      <c r="DA608" s="363"/>
      <c r="DB608" s="362">
        <f>IF(CZ608=0,0,(DA608-CZ608)/CZ608*100)</f>
        <v>0</v>
      </c>
      <c r="DC608" s="363"/>
      <c r="DD608" s="363"/>
      <c r="DE608" s="362">
        <f>IF(DC608=0,0,(DD608-DC608)/DC608*100)</f>
        <v>0</v>
      </c>
      <c r="DF608" s="363"/>
      <c r="DG608" s="363"/>
      <c r="DH608" s="362">
        <f>IF(DF608=0,0,(DG608-DF608)/DF608*100)</f>
        <v>0</v>
      </c>
      <c r="DI608" s="363"/>
      <c r="DJ608" s="363"/>
      <c r="DK608" s="362">
        <f>IF(DI608=0,0,(DJ608-DI608)/DI608*100)</f>
        <v>0</v>
      </c>
      <c r="DL608" s="363"/>
      <c r="DM608" s="363"/>
      <c r="DN608" s="362">
        <f>IF(DL608=0,0,(DM608-DL608)/DL608*100)</f>
        <v>0</v>
      </c>
      <c r="DO608" s="363"/>
      <c r="DP608" s="363"/>
      <c r="DQ608" s="362">
        <f>IF(DO608=0,0,(DP608-DO608)/DO608*100)</f>
        <v>0</v>
      </c>
      <c r="DR608" s="363"/>
      <c r="DS608" s="363"/>
      <c r="DT608" s="362">
        <f>IF(DR608=0,0,(DS608-DR608)/DR608*100)</f>
        <v>0</v>
      </c>
      <c r="DU608" s="363"/>
      <c r="DV608" s="363"/>
      <c r="DW608" s="362">
        <f>IF(DU608=0,0,(DV608-DU608)/DU608*100)</f>
        <v>0</v>
      </c>
      <c r="DX608" s="363"/>
      <c r="DY608" s="363"/>
      <c r="DZ608" s="362">
        <f>IF(DX608=0,0,(DY608-DX608)/DX608*100)</f>
        <v>0</v>
      </c>
      <c r="EA608" s="363"/>
      <c r="EB608" s="363"/>
      <c r="EC608" s="362">
        <f>IF(EA608=0,0,(EB608-EA608)/EA608*100)</f>
        <v>0</v>
      </c>
      <c r="ED608" s="363"/>
      <c r="EE608" s="363"/>
      <c r="EF608" s="362">
        <f>IF(ED608=0,0,(EE608-ED608)/ED608*100)</f>
        <v>0</v>
      </c>
      <c r="EG608" s="363"/>
      <c r="EH608" s="363"/>
      <c r="EI608" s="362">
        <f>IF(EG608=0,0,(EH608-EG608)/EG608*100)</f>
        <v>0</v>
      </c>
      <c r="EJ608" s="363"/>
      <c r="EK608" s="363"/>
      <c r="EL608" s="362">
        <f>IF(EJ608=0,0,(EK608-EJ608)/EJ608*100)</f>
        <v>0</v>
      </c>
      <c r="EM608" s="363"/>
      <c r="EN608" s="363"/>
      <c r="EO608" s="362">
        <f>IF(EM608=0,0,(EN608-EM608)/EM608*100)</f>
        <v>0</v>
      </c>
      <c r="EP608" s="363"/>
      <c r="EQ608" s="363"/>
      <c r="ER608" s="362">
        <f>IF(EP608=0,0,(EQ608-EP608)/EP608*100)</f>
        <v>0</v>
      </c>
      <c r="ES608" s="363"/>
      <c r="ET608" s="363"/>
      <c r="EU608" s="362">
        <f>IF(ES608=0,0,(ET608-ES608)/ES608*100)</f>
        <v>0</v>
      </c>
      <c r="EV608" s="363"/>
      <c r="EW608" s="363"/>
      <c r="EX608" s="362">
        <f>IF(EV608=0,0,(EW608-EV608)/EV608*100)</f>
        <v>0</v>
      </c>
      <c r="EY608" s="363"/>
      <c r="EZ608" s="363"/>
      <c r="FA608" s="362">
        <f>IF(EY608=0,0,(EZ608-EY608)/EY608*100)</f>
        <v>0</v>
      </c>
      <c r="FB608" s="363"/>
      <c r="FC608" s="363"/>
      <c r="FD608" s="362">
        <f>IF(FB608=0,0,(FC608-FB608)/FB608*100)</f>
        <v>0</v>
      </c>
      <c r="FE608" s="363"/>
      <c r="FF608" s="363"/>
      <c r="FG608" s="362">
        <f>IF(FE608=0,0,(FF608-FE608)/FE608*100)</f>
        <v>0</v>
      </c>
    </row>
    <row r="609" spans="1:163" s="295" customFormat="1" ht="15" customHeight="1" outlineLevel="1">
      <c r="A609" s="295" t="str">
        <f t="shared" si="126"/>
        <v>1</v>
      </c>
      <c r="C609" s="598"/>
      <c r="D609" s="598"/>
      <c r="G609" s="295" t="b">
        <f>F582="двухставочный"</f>
        <v>0</v>
      </c>
      <c r="L609" s="355" t="s">
        <v>1180</v>
      </c>
      <c r="M609" s="366"/>
      <c r="N609" s="367"/>
      <c r="O609" s="367"/>
      <c r="P609" s="367"/>
      <c r="Q609" s="367"/>
      <c r="R609" s="367"/>
      <c r="S609" s="367"/>
      <c r="T609" s="367"/>
      <c r="U609" s="367"/>
      <c r="V609" s="367"/>
      <c r="W609" s="367"/>
      <c r="X609" s="367"/>
      <c r="Y609" s="367"/>
      <c r="Z609" s="367"/>
      <c r="AA609" s="367"/>
      <c r="AB609" s="367"/>
      <c r="AC609" s="367"/>
      <c r="AD609" s="367"/>
      <c r="AE609" s="367"/>
      <c r="AF609" s="367"/>
      <c r="AG609" s="367"/>
      <c r="AH609" s="367"/>
      <c r="AI609" s="367"/>
      <c r="AJ609" s="367"/>
      <c r="AK609" s="367"/>
      <c r="AL609" s="367"/>
      <c r="AM609" s="367"/>
      <c r="AN609" s="367"/>
      <c r="AO609" s="367"/>
      <c r="AP609" s="367"/>
      <c r="AQ609" s="367"/>
      <c r="AR609" s="367"/>
      <c r="AS609" s="367"/>
      <c r="AT609" s="367"/>
      <c r="AU609" s="367"/>
      <c r="AV609" s="367"/>
      <c r="AW609" s="367"/>
      <c r="AX609" s="367"/>
      <c r="AY609" s="367"/>
      <c r="AZ609" s="367"/>
      <c r="BA609" s="367"/>
      <c r="BB609" s="367"/>
      <c r="BC609" s="367"/>
      <c r="BD609" s="367"/>
      <c r="BE609" s="367"/>
      <c r="BF609" s="367"/>
      <c r="BG609" s="367"/>
      <c r="BH609" s="367"/>
      <c r="BI609" s="367"/>
      <c r="BJ609" s="367"/>
      <c r="BK609" s="367"/>
      <c r="BL609" s="367"/>
      <c r="BM609" s="367"/>
      <c r="BN609" s="367"/>
      <c r="BO609" s="367"/>
      <c r="BP609" s="367"/>
      <c r="BQ609" s="367"/>
      <c r="BR609" s="367"/>
      <c r="BS609" s="367"/>
      <c r="BT609" s="367"/>
      <c r="BU609" s="367"/>
      <c r="BV609" s="367"/>
      <c r="BW609" s="367"/>
      <c r="BX609" s="367"/>
      <c r="BY609" s="367"/>
      <c r="BZ609" s="367"/>
      <c r="CA609" s="367"/>
      <c r="CB609" s="367"/>
      <c r="CC609" s="367"/>
      <c r="CD609" s="367"/>
      <c r="CE609" s="367"/>
      <c r="CF609" s="367"/>
      <c r="CG609" s="367"/>
      <c r="CH609" s="367"/>
      <c r="CI609" s="367"/>
      <c r="CJ609" s="367"/>
      <c r="CK609" s="367"/>
      <c r="CL609" s="367"/>
      <c r="CM609" s="367"/>
      <c r="CN609" s="367"/>
      <c r="CO609" s="367"/>
      <c r="CP609" s="367"/>
      <c r="CQ609" s="367"/>
      <c r="CR609" s="367"/>
      <c r="CS609" s="367"/>
      <c r="CT609" s="367"/>
      <c r="CU609" s="367"/>
      <c r="CV609" s="367"/>
      <c r="CW609" s="367"/>
      <c r="CX609" s="367"/>
      <c r="CY609" s="367"/>
      <c r="CZ609" s="367"/>
      <c r="DA609" s="367"/>
      <c r="DB609" s="367"/>
      <c r="DC609" s="367"/>
      <c r="DD609" s="367"/>
      <c r="DE609" s="367"/>
      <c r="DF609" s="367"/>
      <c r="DG609" s="367"/>
      <c r="DH609" s="367"/>
      <c r="DI609" s="367"/>
      <c r="DJ609" s="367"/>
      <c r="DK609" s="367"/>
      <c r="DL609" s="367"/>
      <c r="DM609" s="367"/>
      <c r="DN609" s="367"/>
      <c r="DO609" s="367"/>
      <c r="DP609" s="367"/>
      <c r="DQ609" s="367"/>
      <c r="DR609" s="367"/>
      <c r="DS609" s="367"/>
      <c r="DT609" s="367"/>
      <c r="DU609" s="367"/>
      <c r="DV609" s="367"/>
      <c r="DW609" s="367"/>
      <c r="DX609" s="367"/>
      <c r="DY609" s="367"/>
      <c r="DZ609" s="367"/>
      <c r="EA609" s="367"/>
      <c r="EB609" s="367"/>
      <c r="EC609" s="367"/>
      <c r="ED609" s="367"/>
      <c r="EE609" s="367"/>
      <c r="EF609" s="367"/>
      <c r="EG609" s="367"/>
      <c r="EH609" s="367"/>
      <c r="EI609" s="367"/>
      <c r="EJ609" s="367"/>
      <c r="EK609" s="367"/>
      <c r="EL609" s="367"/>
      <c r="EM609" s="367"/>
      <c r="EN609" s="367"/>
      <c r="EO609" s="367"/>
      <c r="EP609" s="367"/>
      <c r="EQ609" s="367"/>
      <c r="ER609" s="367"/>
      <c r="ES609" s="367"/>
      <c r="ET609" s="367"/>
      <c r="EU609" s="367"/>
      <c r="EV609" s="367"/>
      <c r="EW609" s="367"/>
      <c r="EX609" s="367"/>
      <c r="EY609" s="367"/>
      <c r="EZ609" s="367"/>
      <c r="FA609" s="367"/>
      <c r="FB609" s="367"/>
      <c r="FC609" s="367"/>
      <c r="FD609" s="367"/>
      <c r="FE609" s="367"/>
      <c r="FF609" s="367"/>
      <c r="FG609" s="368"/>
    </row>
    <row r="610" spans="1:163" s="295" customFormat="1" ht="15" customHeight="1" outlineLevel="1">
      <c r="A610" s="295" t="str">
        <f t="shared" si="126"/>
        <v>1</v>
      </c>
      <c r="C610" s="598" t="s">
        <v>1604</v>
      </c>
      <c r="D610" s="598" t="s">
        <v>1721</v>
      </c>
      <c r="G610" s="295" t="b">
        <f>F582="двухставочный"</f>
        <v>0</v>
      </c>
      <c r="L610" s="369" t="s">
        <v>664</v>
      </c>
      <c r="M610" s="360" t="s">
        <v>652</v>
      </c>
      <c r="N610" s="363" t="e">
        <f>IF(N612=0,0,(N611*N612+N613*N614*6)/N612)</f>
        <v>#N/A</v>
      </c>
      <c r="O610" s="363" t="e">
        <f>IF(O612=0,0,(O611*O612+O613*O614*6)/O612)</f>
        <v>#N/A</v>
      </c>
      <c r="P610" s="362" t="e">
        <f>IF(N610=0,0,(O610-N610)/N610*100)</f>
        <v>#N/A</v>
      </c>
      <c r="Q610" s="363" t="e">
        <f>IF(Q612=0,0,(Q611*Q612+Q613*Q614*6)/Q612)</f>
        <v>#N/A</v>
      </c>
      <c r="R610" s="363" t="e">
        <f>IF(R612=0,0,(R611*R612+R613*R614*6)/R612)</f>
        <v>#N/A</v>
      </c>
      <c r="S610" s="362" t="e">
        <f>IF(Q610=0,0,(R610-Q610)/Q610*100)</f>
        <v>#N/A</v>
      </c>
      <c r="T610" s="363" t="e">
        <f>IF(T612=0,0,(T611*T612+T613*T614*6)/T612)</f>
        <v>#N/A</v>
      </c>
      <c r="U610" s="363" t="e">
        <f>IF(U612=0,0,(U611*U612+U613*U614*6)/U612)</f>
        <v>#N/A</v>
      </c>
      <c r="V610" s="362" t="e">
        <f>IF(T610=0,0,(U610-T610)/T610*100)</f>
        <v>#N/A</v>
      </c>
      <c r="W610" s="363" t="e">
        <f>IF(W612=0,0,(W611*W612+W613*W614*6)/W612)</f>
        <v>#N/A</v>
      </c>
      <c r="X610" s="363" t="e">
        <f>IF(X612=0,0,(X611*X612+X613*X614*6)/X612)</f>
        <v>#N/A</v>
      </c>
      <c r="Y610" s="362" t="e">
        <f>IF(W610=0,0,(X610-W610)/W610*100)</f>
        <v>#N/A</v>
      </c>
      <c r="Z610" s="363" t="e">
        <f>IF(Z612=0,0,(Z611*Z612+Z613*Z614*6)/Z612)</f>
        <v>#N/A</v>
      </c>
      <c r="AA610" s="363" t="e">
        <f>IF(AA612=0,0,(AA611*AA612+AA613*AA614*6)/AA612)</f>
        <v>#N/A</v>
      </c>
      <c r="AB610" s="362" t="e">
        <f>IF(Z610=0,0,(AA610-Z610)/Z610*100)</f>
        <v>#N/A</v>
      </c>
      <c r="AC610" s="363" t="e">
        <f>IF(AC612=0,0,(AC611*AC612+AC613*AC614*6)/AC612)</f>
        <v>#N/A</v>
      </c>
      <c r="AD610" s="363" t="e">
        <f>IF(AD612=0,0,(AD611*AD612+AD613*AD614*6)/AD612)</f>
        <v>#N/A</v>
      </c>
      <c r="AE610" s="362" t="e">
        <f>IF(AC610=0,0,(AD610-AC610)/AC610*100)</f>
        <v>#N/A</v>
      </c>
      <c r="AF610" s="363" t="e">
        <f>IF(AF612=0,0,(AF611*AF612+AF613*AF614*6)/AF612)</f>
        <v>#N/A</v>
      </c>
      <c r="AG610" s="363" t="e">
        <f>IF(AG612=0,0,(AG611*AG612+AG613*AG614*6)/AG612)</f>
        <v>#N/A</v>
      </c>
      <c r="AH610" s="362" t="e">
        <f>IF(AF610=0,0,(AG610-AF610)/AF610*100)</f>
        <v>#N/A</v>
      </c>
      <c r="AI610" s="363" t="e">
        <f>IF(AI612=0,0,(AI611*AI612+AI613*AI614*6)/AI612)</f>
        <v>#N/A</v>
      </c>
      <c r="AJ610" s="363" t="e">
        <f>IF(AJ612=0,0,(AJ611*AJ612+AJ613*AJ614*6)/AJ612)</f>
        <v>#N/A</v>
      </c>
      <c r="AK610" s="362" t="e">
        <f>IF(AI610=0,0,(AJ610-AI610)/AI610*100)</f>
        <v>#N/A</v>
      </c>
      <c r="AL610" s="363" t="e">
        <f>IF(AL612=0,0,(AL611*AL612+AL613*AL614*6)/AL612)</f>
        <v>#N/A</v>
      </c>
      <c r="AM610" s="363" t="e">
        <f>IF(AM612=0,0,(AM611*AM612+AM613*AM614*6)/AM612)</f>
        <v>#N/A</v>
      </c>
      <c r="AN610" s="362" t="e">
        <f>IF(AL610=0,0,(AM610-AL610)/AL610*100)</f>
        <v>#N/A</v>
      </c>
      <c r="AO610" s="363" t="e">
        <f>IF(AO612=0,0,(AO611*AO612+AO613*AO614*6)/AO612)</f>
        <v>#N/A</v>
      </c>
      <c r="AP610" s="363" t="e">
        <f>IF(AP612=0,0,(AP611*AP612+AP613*AP614*6)/AP612)</f>
        <v>#N/A</v>
      </c>
      <c r="AQ610" s="362" t="e">
        <f>IF(AO610=0,0,(AP610-AO610)/AO610*100)</f>
        <v>#N/A</v>
      </c>
      <c r="AR610" s="363">
        <f>IF(AR612=0,0,(AR611*AR612+AR613*AR614*6)/AR612)</f>
        <v>0</v>
      </c>
      <c r="AS610" s="363">
        <f>IF(AS612=0,0,(AS611*AS612+AS613*AS614*6)/AS612)</f>
        <v>0</v>
      </c>
      <c r="AT610" s="362">
        <f>IF(AR610=0,0,(AS610-AR610)/AR610*100)</f>
        <v>0</v>
      </c>
      <c r="AU610" s="363">
        <f>IF(AU612=0,0,(AU611*AU612+AU613*AU614*6)/AU612)</f>
        <v>0</v>
      </c>
      <c r="AV610" s="363">
        <f>IF(AV612=0,0,(AV611*AV612+AV613*AV614*6)/AV612)</f>
        <v>0</v>
      </c>
      <c r="AW610" s="362">
        <f>IF(AU610=0,0,(AV610-AU610)/AU610*100)</f>
        <v>0</v>
      </c>
      <c r="AX610" s="363">
        <f>IF(AX612=0,0,(AX611*AX612+AX613*AX614*6)/AX612)</f>
        <v>0</v>
      </c>
      <c r="AY610" s="363">
        <f>IF(AY612=0,0,(AY611*AY612+AY613*AY614*6)/AY612)</f>
        <v>0</v>
      </c>
      <c r="AZ610" s="362">
        <f>IF(AX610=0,0,(AY610-AX610)/AX610*100)</f>
        <v>0</v>
      </c>
      <c r="BA610" s="363">
        <f>IF(BA612=0,0,(BA611*BA612+BA613*BA614*6)/BA612)</f>
        <v>0</v>
      </c>
      <c r="BB610" s="363">
        <f>IF(BB612=0,0,(BB611*BB612+BB613*BB614*6)/BB612)</f>
        <v>0</v>
      </c>
      <c r="BC610" s="362">
        <f>IF(BA610=0,0,(BB610-BA610)/BA610*100)</f>
        <v>0</v>
      </c>
      <c r="BD610" s="363">
        <f>IF(BD612=0,0,(BD611*BD612+BD613*BD614*6)/BD612)</f>
        <v>0</v>
      </c>
      <c r="BE610" s="363">
        <f>IF(BE612=0,0,(BE611*BE612+BE613*BE614*6)/BE612)</f>
        <v>0</v>
      </c>
      <c r="BF610" s="362">
        <f>IF(BD610=0,0,(BE610-BD610)/BD610*100)</f>
        <v>0</v>
      </c>
      <c r="BG610" s="363">
        <f>IF(BG612=0,0,(BG611*BG612+BG613*BG614*6)/BG612)</f>
        <v>0</v>
      </c>
      <c r="BH610" s="363">
        <f>IF(BH612=0,0,(BH611*BH612+BH613*BH614*6)/BH612)</f>
        <v>0</v>
      </c>
      <c r="BI610" s="362">
        <f>IF(BG610=0,0,(BH610-BG610)/BG610*100)</f>
        <v>0</v>
      </c>
      <c r="BJ610" s="363">
        <f>IF(BJ612=0,0,(BJ611*BJ612+BJ613*BJ614*6)/BJ612)</f>
        <v>0</v>
      </c>
      <c r="BK610" s="363">
        <f>IF(BK612=0,0,(BK611*BK612+BK613*BK614*6)/BK612)</f>
        <v>0</v>
      </c>
      <c r="BL610" s="362">
        <f>IF(BJ610=0,0,(BK610-BJ610)/BJ610*100)</f>
        <v>0</v>
      </c>
      <c r="BM610" s="363">
        <f>IF(BM612=0,0,(BM611*BM612+BM613*BM614*6)/BM612)</f>
        <v>0</v>
      </c>
      <c r="BN610" s="363">
        <f>IF(BN612=0,0,(BN611*BN612+BN613*BN614*6)/BN612)</f>
        <v>0</v>
      </c>
      <c r="BO610" s="362">
        <f>IF(BM610=0,0,(BN610-BM610)/BM610*100)</f>
        <v>0</v>
      </c>
      <c r="BP610" s="363">
        <f>IF(BP612=0,0,(BP611*BP612+BP613*BP614*6)/BP612)</f>
        <v>0</v>
      </c>
      <c r="BQ610" s="363">
        <f>IF(BQ612=0,0,(BQ611*BQ612+BQ613*BQ614*6)/BQ612)</f>
        <v>0</v>
      </c>
      <c r="BR610" s="362">
        <f>IF(BP610=0,0,(BQ610-BP610)/BP610*100)</f>
        <v>0</v>
      </c>
      <c r="BS610" s="363">
        <f>IF(BS612=0,0,(BS611*BS612+BS613*BS614*6)/BS612)</f>
        <v>0</v>
      </c>
      <c r="BT610" s="363">
        <f>IF(BT612=0,0,(BT611*BT612+BT613*BT614*6)/BT612)</f>
        <v>0</v>
      </c>
      <c r="BU610" s="362">
        <f>IF(BS610=0,0,(BT610-BS610)/BS610*100)</f>
        <v>0</v>
      </c>
      <c r="BV610" s="363">
        <f>IF(BV612=0,0,(BV611*BV612+BV613*BV614*6)/BV612)</f>
        <v>0</v>
      </c>
      <c r="BW610" s="363">
        <f>IF(BW612=0,0,(BW611*BW612+BW613*BW614*6)/BW612)</f>
        <v>0</v>
      </c>
      <c r="BX610" s="362">
        <f>IF(BV610=0,0,(BW610-BV610)/BV610*100)</f>
        <v>0</v>
      </c>
      <c r="BY610" s="363">
        <f>IF(BY612=0,0,(BY611*BY612+BY613*BY614*6)/BY612)</f>
        <v>0</v>
      </c>
      <c r="BZ610" s="363">
        <f>IF(BZ612=0,0,(BZ611*BZ612+BZ613*BZ614*6)/BZ612)</f>
        <v>0</v>
      </c>
      <c r="CA610" s="362">
        <f>IF(BY610=0,0,(BZ610-BY610)/BY610*100)</f>
        <v>0</v>
      </c>
      <c r="CB610" s="363">
        <f>IF(CB612=0,0,(CB611*CB612+CB613*CB614*6)/CB612)</f>
        <v>0</v>
      </c>
      <c r="CC610" s="363">
        <f>IF(CC612=0,0,(CC611*CC612+CC613*CC614*6)/CC612)</f>
        <v>0</v>
      </c>
      <c r="CD610" s="362">
        <f>IF(CB610=0,0,(CC610-CB610)/CB610*100)</f>
        <v>0</v>
      </c>
      <c r="CE610" s="363">
        <f>IF(CE612=0,0,(CE611*CE612+CE613*CE614*6)/CE612)</f>
        <v>0</v>
      </c>
      <c r="CF610" s="363">
        <f>IF(CF612=0,0,(CF611*CF612+CF613*CF614*6)/CF612)</f>
        <v>0</v>
      </c>
      <c r="CG610" s="362">
        <f>IF(CE610=0,0,(CF610-CE610)/CE610*100)</f>
        <v>0</v>
      </c>
      <c r="CH610" s="363">
        <f>IF(CH612=0,0,(CH611*CH612+CH613*CH614*6)/CH612)</f>
        <v>0</v>
      </c>
      <c r="CI610" s="363">
        <f>IF(CI612=0,0,(CI611*CI612+CI613*CI614*6)/CI612)</f>
        <v>0</v>
      </c>
      <c r="CJ610" s="362">
        <f>IF(CH610=0,0,(CI610-CH610)/CH610*100)</f>
        <v>0</v>
      </c>
      <c r="CK610" s="363">
        <f>IF(CK612=0,0,(CK611*CK612+CK613*CK614*6)/CK612)</f>
        <v>0</v>
      </c>
      <c r="CL610" s="363">
        <f>IF(CL612=0,0,(CL611*CL612+CL613*CL614*6)/CL612)</f>
        <v>0</v>
      </c>
      <c r="CM610" s="362">
        <f>IF(CK610=0,0,(CL610-CK610)/CK610*100)</f>
        <v>0</v>
      </c>
      <c r="CN610" s="363">
        <f>IF(CN612=0,0,(CN611*CN612+CN613*CN614*6)/CN612)</f>
        <v>0</v>
      </c>
      <c r="CO610" s="363">
        <f>IF(CO612=0,0,(CO611*CO612+CO613*CO614*6)/CO612)</f>
        <v>0</v>
      </c>
      <c r="CP610" s="362">
        <f>IF(CN610=0,0,(CO610-CN610)/CN610*100)</f>
        <v>0</v>
      </c>
      <c r="CQ610" s="363">
        <f>IF(CQ612=0,0,(CQ611*CQ612+CQ613*CQ614*6)/CQ612)</f>
        <v>0</v>
      </c>
      <c r="CR610" s="363">
        <f>IF(CR612=0,0,(CR611*CR612+CR613*CR614*6)/CR612)</f>
        <v>0</v>
      </c>
      <c r="CS610" s="362">
        <f>IF(CQ610=0,0,(CR610-CQ610)/CQ610*100)</f>
        <v>0</v>
      </c>
      <c r="CT610" s="363">
        <f>IF(CT612=0,0,(CT611*CT612+CT613*CT614*6)/CT612)</f>
        <v>0</v>
      </c>
      <c r="CU610" s="363">
        <f>IF(CU612=0,0,(CU611*CU612+CU613*CU614*6)/CU612)</f>
        <v>0</v>
      </c>
      <c r="CV610" s="362">
        <f>IF(CT610=0,0,(CU610-CT610)/CT610*100)</f>
        <v>0</v>
      </c>
      <c r="CW610" s="363">
        <f>IF(CW612=0,0,(CW611*CW612+CW613*CW614*6)/CW612)</f>
        <v>0</v>
      </c>
      <c r="CX610" s="363">
        <f>IF(CX612=0,0,(CX611*CX612+CX613*CX614*6)/CX612)</f>
        <v>0</v>
      </c>
      <c r="CY610" s="362">
        <f>IF(CW610=0,0,(CX610-CW610)/CW610*100)</f>
        <v>0</v>
      </c>
      <c r="CZ610" s="363">
        <f>IF(CZ612=0,0,(CZ611*CZ612+CZ613*CZ614*6)/CZ612)</f>
        <v>0</v>
      </c>
      <c r="DA610" s="363">
        <f>IF(DA612=0,0,(DA611*DA612+DA613*DA614*6)/DA612)</f>
        <v>0</v>
      </c>
      <c r="DB610" s="362">
        <f>IF(CZ610=0,0,(DA610-CZ610)/CZ610*100)</f>
        <v>0</v>
      </c>
      <c r="DC610" s="363">
        <f>IF(DC612=0,0,(DC611*DC612+DC613*DC614*6)/DC612)</f>
        <v>0</v>
      </c>
      <c r="DD610" s="363">
        <f>IF(DD612=0,0,(DD611*DD612+DD613*DD614*6)/DD612)</f>
        <v>0</v>
      </c>
      <c r="DE610" s="362">
        <f>IF(DC610=0,0,(DD610-DC610)/DC610*100)</f>
        <v>0</v>
      </c>
      <c r="DF610" s="363">
        <f>IF(DF612=0,0,(DF611*DF612+DF613*DF614*6)/DF612)</f>
        <v>0</v>
      </c>
      <c r="DG610" s="363">
        <f>IF(DG612=0,0,(DG611*DG612+DG613*DG614*6)/DG612)</f>
        <v>0</v>
      </c>
      <c r="DH610" s="362">
        <f>IF(DF610=0,0,(DG610-DF610)/DF610*100)</f>
        <v>0</v>
      </c>
      <c r="DI610" s="363">
        <f>IF(DI612=0,0,(DI611*DI612+DI613*DI614*6)/DI612)</f>
        <v>0</v>
      </c>
      <c r="DJ610" s="363">
        <f>IF(DJ612=0,0,(DJ611*DJ612+DJ613*DJ614*6)/DJ612)</f>
        <v>0</v>
      </c>
      <c r="DK610" s="362">
        <f>IF(DI610=0,0,(DJ610-DI610)/DI610*100)</f>
        <v>0</v>
      </c>
      <c r="DL610" s="363">
        <f>IF(DL612=0,0,(DL611*DL612+DL613*DL614*6)/DL612)</f>
        <v>0</v>
      </c>
      <c r="DM610" s="363">
        <f>IF(DM612=0,0,(DM611*DM612+DM613*DM614*6)/DM612)</f>
        <v>0</v>
      </c>
      <c r="DN610" s="362">
        <f>IF(DL610=0,0,(DM610-DL610)/DL610*100)</f>
        <v>0</v>
      </c>
      <c r="DO610" s="363">
        <f>IF(DO612=0,0,(DO611*DO612+DO613*DO614*6)/DO612)</f>
        <v>0</v>
      </c>
      <c r="DP610" s="363">
        <f>IF(DP612=0,0,(DP611*DP612+DP613*DP614*6)/DP612)</f>
        <v>0</v>
      </c>
      <c r="DQ610" s="362">
        <f>IF(DO610=0,0,(DP610-DO610)/DO610*100)</f>
        <v>0</v>
      </c>
      <c r="DR610" s="363">
        <f>IF(DR612=0,0,(DR611*DR612+DR613*DR614*6)/DR612)</f>
        <v>0</v>
      </c>
      <c r="DS610" s="363">
        <f>IF(DS612=0,0,(DS611*DS612+DS613*DS614*6)/DS612)</f>
        <v>0</v>
      </c>
      <c r="DT610" s="362">
        <f>IF(DR610=0,0,(DS610-DR610)/DR610*100)</f>
        <v>0</v>
      </c>
      <c r="DU610" s="363">
        <f>IF(DU612=0,0,(DU611*DU612+DU613*DU614*6)/DU612)</f>
        <v>0</v>
      </c>
      <c r="DV610" s="363">
        <f>IF(DV612=0,0,(DV611*DV612+DV613*DV614*6)/DV612)</f>
        <v>0</v>
      </c>
      <c r="DW610" s="362">
        <f>IF(DU610=0,0,(DV610-DU610)/DU610*100)</f>
        <v>0</v>
      </c>
      <c r="DX610" s="363">
        <f>IF(DX612=0,0,(DX611*DX612+DX613*DX614*6)/DX612)</f>
        <v>0</v>
      </c>
      <c r="DY610" s="363">
        <f>IF(DY612=0,0,(DY611*DY612+DY613*DY614*6)/DY612)</f>
        <v>0</v>
      </c>
      <c r="DZ610" s="362">
        <f>IF(DX610=0,0,(DY610-DX610)/DX610*100)</f>
        <v>0</v>
      </c>
      <c r="EA610" s="363">
        <f>IF(EA612=0,0,(EA611*EA612+EA613*EA614*6)/EA612)</f>
        <v>0</v>
      </c>
      <c r="EB610" s="363">
        <f>IF(EB612=0,0,(EB611*EB612+EB613*EB614*6)/EB612)</f>
        <v>0</v>
      </c>
      <c r="EC610" s="362">
        <f>IF(EA610=0,0,(EB610-EA610)/EA610*100)</f>
        <v>0</v>
      </c>
      <c r="ED610" s="363">
        <f>IF(ED612=0,0,(ED611*ED612+ED613*ED614*6)/ED612)</f>
        <v>0</v>
      </c>
      <c r="EE610" s="363">
        <f>IF(EE612=0,0,(EE611*EE612+EE613*EE614*6)/EE612)</f>
        <v>0</v>
      </c>
      <c r="EF610" s="362">
        <f>IF(ED610=0,0,(EE610-ED610)/ED610*100)</f>
        <v>0</v>
      </c>
      <c r="EG610" s="363">
        <f>IF(EG612=0,0,(EG611*EG612+EG613*EG614*6)/EG612)</f>
        <v>0</v>
      </c>
      <c r="EH610" s="363">
        <f>IF(EH612=0,0,(EH611*EH612+EH613*EH614*6)/EH612)</f>
        <v>0</v>
      </c>
      <c r="EI610" s="362">
        <f>IF(EG610=0,0,(EH610-EG610)/EG610*100)</f>
        <v>0</v>
      </c>
      <c r="EJ610" s="363">
        <f>IF(EJ612=0,0,(EJ611*EJ612+EJ613*EJ614*6)/EJ612)</f>
        <v>0</v>
      </c>
      <c r="EK610" s="363">
        <f>IF(EK612=0,0,(EK611*EK612+EK613*EK614*6)/EK612)</f>
        <v>0</v>
      </c>
      <c r="EL610" s="362">
        <f>IF(EJ610=0,0,(EK610-EJ610)/EJ610*100)</f>
        <v>0</v>
      </c>
      <c r="EM610" s="363">
        <f>IF(EM612=0,0,(EM611*EM612+EM613*EM614*6)/EM612)</f>
        <v>0</v>
      </c>
      <c r="EN610" s="363">
        <f>IF(EN612=0,0,(EN611*EN612+EN613*EN614*6)/EN612)</f>
        <v>0</v>
      </c>
      <c r="EO610" s="362">
        <f>IF(EM610=0,0,(EN610-EM610)/EM610*100)</f>
        <v>0</v>
      </c>
      <c r="EP610" s="363">
        <f>IF(EP612=0,0,(EP611*EP612+EP613*EP614*6)/EP612)</f>
        <v>0</v>
      </c>
      <c r="EQ610" s="363">
        <f>IF(EQ612=0,0,(EQ611*EQ612+EQ613*EQ614*6)/EQ612)</f>
        <v>0</v>
      </c>
      <c r="ER610" s="362">
        <f>IF(EP610=0,0,(EQ610-EP610)/EP610*100)</f>
        <v>0</v>
      </c>
      <c r="ES610" s="363">
        <f>IF(ES612=0,0,(ES611*ES612+ES613*ES614*6)/ES612)</f>
        <v>0</v>
      </c>
      <c r="ET610" s="363">
        <f>IF(ET612=0,0,(ET611*ET612+ET613*ET614*6)/ET612)</f>
        <v>0</v>
      </c>
      <c r="EU610" s="362">
        <f>IF(ES610=0,0,(ET610-ES610)/ES610*100)</f>
        <v>0</v>
      </c>
      <c r="EV610" s="363">
        <f>IF(EV612=0,0,(EV611*EV612+EV613*EV614*6)/EV612)</f>
        <v>0</v>
      </c>
      <c r="EW610" s="363">
        <f>IF(EW612=0,0,(EW611*EW612+EW613*EW614*6)/EW612)</f>
        <v>0</v>
      </c>
      <c r="EX610" s="362">
        <f>IF(EV610=0,0,(EW610-EV610)/EV610*100)</f>
        <v>0</v>
      </c>
      <c r="EY610" s="363">
        <f>IF(EY612=0,0,(EY611*EY612+EY613*EY614*6)/EY612)</f>
        <v>0</v>
      </c>
      <c r="EZ610" s="363">
        <f>IF(EZ612=0,0,(EZ611*EZ612+EZ613*EZ614*6)/EZ612)</f>
        <v>0</v>
      </c>
      <c r="FA610" s="362">
        <f>IF(EY610=0,0,(EZ610-EY610)/EY610*100)</f>
        <v>0</v>
      </c>
      <c r="FB610" s="363">
        <f>IF(FB612=0,0,(FB611*FB612+FB613*FB614*6)/FB612)</f>
        <v>0</v>
      </c>
      <c r="FC610" s="363">
        <f>IF(FC612=0,0,(FC611*FC612+FC613*FC614*6)/FC612)</f>
        <v>0</v>
      </c>
      <c r="FD610" s="362">
        <f>IF(FB610=0,0,(FC610-FB610)/FB610*100)</f>
        <v>0</v>
      </c>
      <c r="FE610" s="363">
        <f>IF(FE612=0,0,(FE611*FE612+FE613*FE614*6)/FE612)</f>
        <v>0</v>
      </c>
      <c r="FF610" s="363">
        <f>IF(FF612=0,0,(FF611*FF612+FF613*FF614*6)/FF612)</f>
        <v>0</v>
      </c>
      <c r="FG610" s="362">
        <f>IF(FE610=0,0,(FF610-FE610)/FE610*100)</f>
        <v>0</v>
      </c>
    </row>
    <row r="611" spans="1:163" s="295" customFormat="1" ht="15" customHeight="1" outlineLevel="1">
      <c r="A611" s="295" t="str">
        <f t="shared" si="126"/>
        <v>1</v>
      </c>
      <c r="C611" s="598" t="s">
        <v>1605</v>
      </c>
      <c r="D611" s="598" t="s">
        <v>1721</v>
      </c>
      <c r="G611" s="295" t="b">
        <f>F582="двухставочный"</f>
        <v>0</v>
      </c>
      <c r="L611" s="369" t="s">
        <v>665</v>
      </c>
      <c r="M611" s="360" t="s">
        <v>652</v>
      </c>
      <c r="N611" s="363"/>
      <c r="O611" s="363"/>
      <c r="P611" s="362">
        <f>IF(N611=0,0,(O611-N611)/N611*100)</f>
        <v>0</v>
      </c>
      <c r="Q611" s="363"/>
      <c r="R611" s="363"/>
      <c r="S611" s="362">
        <f>IF(Q611=0,0,(R611-Q611)/Q611*100)</f>
        <v>0</v>
      </c>
      <c r="T611" s="363"/>
      <c r="U611" s="363"/>
      <c r="V611" s="362">
        <f>IF(T611=0,0,(U611-T611)/T611*100)</f>
        <v>0</v>
      </c>
      <c r="W611" s="363"/>
      <c r="X611" s="363"/>
      <c r="Y611" s="362">
        <f>IF(W611=0,0,(X611-W611)/W611*100)</f>
        <v>0</v>
      </c>
      <c r="Z611" s="363"/>
      <c r="AA611" s="363"/>
      <c r="AB611" s="362">
        <f>IF(Z611=0,0,(AA611-Z611)/Z611*100)</f>
        <v>0</v>
      </c>
      <c r="AC611" s="363"/>
      <c r="AD611" s="363"/>
      <c r="AE611" s="362">
        <f>IF(AC611=0,0,(AD611-AC611)/AC611*100)</f>
        <v>0</v>
      </c>
      <c r="AF611" s="363"/>
      <c r="AG611" s="363"/>
      <c r="AH611" s="362">
        <f>IF(AF611=0,0,(AG611-AF611)/AF611*100)</f>
        <v>0</v>
      </c>
      <c r="AI611" s="363"/>
      <c r="AJ611" s="363"/>
      <c r="AK611" s="362">
        <f>IF(AI611=0,0,(AJ611-AI611)/AI611*100)</f>
        <v>0</v>
      </c>
      <c r="AL611" s="363"/>
      <c r="AM611" s="363"/>
      <c r="AN611" s="362">
        <f>IF(AL611=0,0,(AM611-AL611)/AL611*100)</f>
        <v>0</v>
      </c>
      <c r="AO611" s="363"/>
      <c r="AP611" s="363"/>
      <c r="AQ611" s="362">
        <f>IF(AO611=0,0,(AP611-AO611)/AO611*100)</f>
        <v>0</v>
      </c>
      <c r="AR611" s="363"/>
      <c r="AS611" s="363"/>
      <c r="AT611" s="362">
        <f>IF(AR611=0,0,(AS611-AR611)/AR611*100)</f>
        <v>0</v>
      </c>
      <c r="AU611" s="363"/>
      <c r="AV611" s="363"/>
      <c r="AW611" s="362">
        <f>IF(AU611=0,0,(AV611-AU611)/AU611*100)</f>
        <v>0</v>
      </c>
      <c r="AX611" s="363"/>
      <c r="AY611" s="363"/>
      <c r="AZ611" s="362">
        <f>IF(AX611=0,0,(AY611-AX611)/AX611*100)</f>
        <v>0</v>
      </c>
      <c r="BA611" s="363"/>
      <c r="BB611" s="363"/>
      <c r="BC611" s="362">
        <f>IF(BA611=0,0,(BB611-BA611)/BA611*100)</f>
        <v>0</v>
      </c>
      <c r="BD611" s="363"/>
      <c r="BE611" s="363"/>
      <c r="BF611" s="362">
        <f>IF(BD611=0,0,(BE611-BD611)/BD611*100)</f>
        <v>0</v>
      </c>
      <c r="BG611" s="363"/>
      <c r="BH611" s="363"/>
      <c r="BI611" s="362">
        <f>IF(BG611=0,0,(BH611-BG611)/BG611*100)</f>
        <v>0</v>
      </c>
      <c r="BJ611" s="363"/>
      <c r="BK611" s="363"/>
      <c r="BL611" s="362">
        <f>IF(BJ611=0,0,(BK611-BJ611)/BJ611*100)</f>
        <v>0</v>
      </c>
      <c r="BM611" s="363"/>
      <c r="BN611" s="363"/>
      <c r="BO611" s="362">
        <f>IF(BM611=0,0,(BN611-BM611)/BM611*100)</f>
        <v>0</v>
      </c>
      <c r="BP611" s="363"/>
      <c r="BQ611" s="363"/>
      <c r="BR611" s="362">
        <f>IF(BP611=0,0,(BQ611-BP611)/BP611*100)</f>
        <v>0</v>
      </c>
      <c r="BS611" s="363"/>
      <c r="BT611" s="363"/>
      <c r="BU611" s="362">
        <f>IF(BS611=0,0,(BT611-BS611)/BS611*100)</f>
        <v>0</v>
      </c>
      <c r="BV611" s="363"/>
      <c r="BW611" s="363"/>
      <c r="BX611" s="362">
        <f>IF(BV611=0,0,(BW611-BV611)/BV611*100)</f>
        <v>0</v>
      </c>
      <c r="BY611" s="363"/>
      <c r="BZ611" s="363"/>
      <c r="CA611" s="362">
        <f>IF(BY611=0,0,(BZ611-BY611)/BY611*100)</f>
        <v>0</v>
      </c>
      <c r="CB611" s="363"/>
      <c r="CC611" s="363"/>
      <c r="CD611" s="362">
        <f>IF(CB611=0,0,(CC611-CB611)/CB611*100)</f>
        <v>0</v>
      </c>
      <c r="CE611" s="363"/>
      <c r="CF611" s="363"/>
      <c r="CG611" s="362">
        <f>IF(CE611=0,0,(CF611-CE611)/CE611*100)</f>
        <v>0</v>
      </c>
      <c r="CH611" s="363"/>
      <c r="CI611" s="363"/>
      <c r="CJ611" s="362">
        <f>IF(CH611=0,0,(CI611-CH611)/CH611*100)</f>
        <v>0</v>
      </c>
      <c r="CK611" s="363"/>
      <c r="CL611" s="363"/>
      <c r="CM611" s="362">
        <f>IF(CK611=0,0,(CL611-CK611)/CK611*100)</f>
        <v>0</v>
      </c>
      <c r="CN611" s="363"/>
      <c r="CO611" s="363"/>
      <c r="CP611" s="362">
        <f>IF(CN611=0,0,(CO611-CN611)/CN611*100)</f>
        <v>0</v>
      </c>
      <c r="CQ611" s="363"/>
      <c r="CR611" s="363"/>
      <c r="CS611" s="362">
        <f>IF(CQ611=0,0,(CR611-CQ611)/CQ611*100)</f>
        <v>0</v>
      </c>
      <c r="CT611" s="363"/>
      <c r="CU611" s="363"/>
      <c r="CV611" s="362">
        <f>IF(CT611=0,0,(CU611-CT611)/CT611*100)</f>
        <v>0</v>
      </c>
      <c r="CW611" s="363"/>
      <c r="CX611" s="363"/>
      <c r="CY611" s="362">
        <f>IF(CW611=0,0,(CX611-CW611)/CW611*100)</f>
        <v>0</v>
      </c>
      <c r="CZ611" s="363"/>
      <c r="DA611" s="363"/>
      <c r="DB611" s="362">
        <f>IF(CZ611=0,0,(DA611-CZ611)/CZ611*100)</f>
        <v>0</v>
      </c>
      <c r="DC611" s="363"/>
      <c r="DD611" s="363"/>
      <c r="DE611" s="362">
        <f>IF(DC611=0,0,(DD611-DC611)/DC611*100)</f>
        <v>0</v>
      </c>
      <c r="DF611" s="363"/>
      <c r="DG611" s="363"/>
      <c r="DH611" s="362">
        <f>IF(DF611=0,0,(DG611-DF611)/DF611*100)</f>
        <v>0</v>
      </c>
      <c r="DI611" s="363"/>
      <c r="DJ611" s="363"/>
      <c r="DK611" s="362">
        <f>IF(DI611=0,0,(DJ611-DI611)/DI611*100)</f>
        <v>0</v>
      </c>
      <c r="DL611" s="363"/>
      <c r="DM611" s="363"/>
      <c r="DN611" s="362">
        <f>IF(DL611=0,0,(DM611-DL611)/DL611*100)</f>
        <v>0</v>
      </c>
      <c r="DO611" s="363"/>
      <c r="DP611" s="363"/>
      <c r="DQ611" s="362">
        <f>IF(DO611=0,0,(DP611-DO611)/DO611*100)</f>
        <v>0</v>
      </c>
      <c r="DR611" s="363"/>
      <c r="DS611" s="363"/>
      <c r="DT611" s="362">
        <f>IF(DR611=0,0,(DS611-DR611)/DR611*100)</f>
        <v>0</v>
      </c>
      <c r="DU611" s="363"/>
      <c r="DV611" s="363"/>
      <c r="DW611" s="362">
        <f>IF(DU611=0,0,(DV611-DU611)/DU611*100)</f>
        <v>0</v>
      </c>
      <c r="DX611" s="363"/>
      <c r="DY611" s="363"/>
      <c r="DZ611" s="362">
        <f>IF(DX611=0,0,(DY611-DX611)/DX611*100)</f>
        <v>0</v>
      </c>
      <c r="EA611" s="363"/>
      <c r="EB611" s="363"/>
      <c r="EC611" s="362">
        <f>IF(EA611=0,0,(EB611-EA611)/EA611*100)</f>
        <v>0</v>
      </c>
      <c r="ED611" s="363"/>
      <c r="EE611" s="363"/>
      <c r="EF611" s="362">
        <f>IF(ED611=0,0,(EE611-ED611)/ED611*100)</f>
        <v>0</v>
      </c>
      <c r="EG611" s="363"/>
      <c r="EH611" s="363"/>
      <c r="EI611" s="362">
        <f>IF(EG611=0,0,(EH611-EG611)/EG611*100)</f>
        <v>0</v>
      </c>
      <c r="EJ611" s="363"/>
      <c r="EK611" s="363"/>
      <c r="EL611" s="362">
        <f>IF(EJ611=0,0,(EK611-EJ611)/EJ611*100)</f>
        <v>0</v>
      </c>
      <c r="EM611" s="363"/>
      <c r="EN611" s="363"/>
      <c r="EO611" s="362">
        <f>IF(EM611=0,0,(EN611-EM611)/EM611*100)</f>
        <v>0</v>
      </c>
      <c r="EP611" s="363"/>
      <c r="EQ611" s="363"/>
      <c r="ER611" s="362">
        <f>IF(EP611=0,0,(EQ611-EP611)/EP611*100)</f>
        <v>0</v>
      </c>
      <c r="ES611" s="363"/>
      <c r="ET611" s="363"/>
      <c r="EU611" s="362">
        <f>IF(ES611=0,0,(ET611-ES611)/ES611*100)</f>
        <v>0</v>
      </c>
      <c r="EV611" s="363"/>
      <c r="EW611" s="363"/>
      <c r="EX611" s="362">
        <f>IF(EV611=0,0,(EW611-EV611)/EV611*100)</f>
        <v>0</v>
      </c>
      <c r="EY611" s="363"/>
      <c r="EZ611" s="363"/>
      <c r="FA611" s="362">
        <f>IF(EY611=0,0,(EZ611-EY611)/EY611*100)</f>
        <v>0</v>
      </c>
      <c r="FB611" s="363"/>
      <c r="FC611" s="363"/>
      <c r="FD611" s="362">
        <f>IF(FB611=0,0,(FC611-FB611)/FB611*100)</f>
        <v>0</v>
      </c>
      <c r="FE611" s="363"/>
      <c r="FF611" s="363"/>
      <c r="FG611" s="362">
        <f>IF(FE611=0,0,(FF611-FE611)/FE611*100)</f>
        <v>0</v>
      </c>
    </row>
    <row r="612" spans="1:163" s="295" customFormat="1" ht="15" customHeight="1" outlineLevel="1">
      <c r="A612" s="295" t="str">
        <f t="shared" si="126"/>
        <v>1</v>
      </c>
      <c r="B612" s="104" t="s">
        <v>1174</v>
      </c>
      <c r="C612" s="598" t="s">
        <v>1660</v>
      </c>
      <c r="D612" s="598" t="s">
        <v>1721</v>
      </c>
      <c r="G612" s="295" t="b">
        <f>F582="двухставочный"</f>
        <v>0</v>
      </c>
      <c r="L612" s="369" t="s">
        <v>666</v>
      </c>
      <c r="M612" s="360" t="s">
        <v>310</v>
      </c>
      <c r="N612" s="565" t="e">
        <f>SUMIFS(INDEX(Калькуляция!$T$15:$AM$141,,MATCH(N$3,Калькуляция!$T$3:$AM$3,0)),Калькуляция!$A$15:$A$141,$A612,Калькуляция!$B$15:$B$141,$B612)</f>
        <v>#N/A</v>
      </c>
      <c r="O612" s="565" t="e">
        <f>SUMIFS(INDEX(Калькуляция!$T$15:$AM$141,,MATCH(O$3,Калькуляция!$T$3:$AM$3,0)),Калькуляция!$A$15:$A$141,$A612,Калькуляция!$B$15:$B$141,$B612)</f>
        <v>#N/A</v>
      </c>
      <c r="P612" s="478" t="e">
        <f>IF(N612=0,0,(O612-N612)/N612*100)</f>
        <v>#N/A</v>
      </c>
      <c r="Q612" s="565" t="e">
        <f>SUMIFS(INDEX(Калькуляция!$T$15:$AM$141,,MATCH(Q$3,Калькуляция!$T$3:$AM$3,0)),Калькуляция!$A$15:$A$141,$A612,Калькуляция!$B$15:$B$141,$B612)</f>
        <v>#N/A</v>
      </c>
      <c r="R612" s="565" t="e">
        <f>SUMIFS(INDEX(Калькуляция!$T$15:$AM$141,,MATCH(R$3,Калькуляция!$T$3:$AM$3,0)),Калькуляция!$A$15:$A$141,$A612,Калькуляция!$B$15:$B$141,$B612)</f>
        <v>#N/A</v>
      </c>
      <c r="S612" s="478" t="e">
        <f>IF(Q612=0,0,(R612-Q612)/Q612*100)</f>
        <v>#N/A</v>
      </c>
      <c r="T612" s="565" t="e">
        <f>SUMIFS(INDEX(Калькуляция!$T$15:$AM$141,,MATCH(T$3,Калькуляция!$T$3:$AM$3,0)),Калькуляция!$A$15:$A$141,$A612,Калькуляция!$B$15:$B$141,$B612)</f>
        <v>#N/A</v>
      </c>
      <c r="U612" s="565" t="e">
        <f>SUMIFS(INDEX(Калькуляция!$T$15:$AM$141,,MATCH(U$3,Калькуляция!$T$3:$AM$3,0)),Калькуляция!$A$15:$A$141,$A612,Калькуляция!$B$15:$B$141,$B612)</f>
        <v>#N/A</v>
      </c>
      <c r="V612" s="478" t="e">
        <f>IF(T612=0,0,(U612-T612)/T612*100)</f>
        <v>#N/A</v>
      </c>
      <c r="W612" s="565" t="e">
        <f>SUMIFS(INDEX(Калькуляция!$T$15:$AM$141,,MATCH(W$3,Калькуляция!$T$3:$AM$3,0)),Калькуляция!$A$15:$A$141,$A612,Калькуляция!$B$15:$B$141,$B612)</f>
        <v>#N/A</v>
      </c>
      <c r="X612" s="565" t="e">
        <f>SUMIFS(INDEX(Калькуляция!$T$15:$AM$141,,MATCH(X$3,Калькуляция!$T$3:$AM$3,0)),Калькуляция!$A$15:$A$141,$A612,Калькуляция!$B$15:$B$141,$B612)</f>
        <v>#N/A</v>
      </c>
      <c r="Y612" s="478" t="e">
        <f>IF(W612=0,0,(X612-W612)/W612*100)</f>
        <v>#N/A</v>
      </c>
      <c r="Z612" s="565" t="e">
        <f>SUMIFS(INDEX(Калькуляция!$T$15:$AM$141,,MATCH(Z$3,Калькуляция!$T$3:$AM$3,0)),Калькуляция!$A$15:$A$141,$A612,Калькуляция!$B$15:$B$141,$B612)</f>
        <v>#N/A</v>
      </c>
      <c r="AA612" s="565" t="e">
        <f>SUMIFS(INDEX(Калькуляция!$T$15:$AM$141,,MATCH(AA$3,Калькуляция!$T$3:$AM$3,0)),Калькуляция!$A$15:$A$141,$A612,Калькуляция!$B$15:$B$141,$B612)</f>
        <v>#N/A</v>
      </c>
      <c r="AB612" s="478" t="e">
        <f>IF(Z612=0,0,(AA612-Z612)/Z612*100)</f>
        <v>#N/A</v>
      </c>
      <c r="AC612" s="565" t="e">
        <f>SUMIFS(INDEX(Калькуляция!$T$15:$AM$141,,MATCH(AC$3,Калькуляция!$T$3:$AM$3,0)),Калькуляция!$A$15:$A$141,$A612,Калькуляция!$B$15:$B$141,$B612)</f>
        <v>#N/A</v>
      </c>
      <c r="AD612" s="565" t="e">
        <f>SUMIFS(INDEX(Калькуляция!$T$15:$AM$141,,MATCH(AD$3,Калькуляция!$T$3:$AM$3,0)),Калькуляция!$A$15:$A$141,$A612,Калькуляция!$B$15:$B$141,$B612)</f>
        <v>#N/A</v>
      </c>
      <c r="AE612" s="478" t="e">
        <f>IF(AC612=0,0,(AD612-AC612)/AC612*100)</f>
        <v>#N/A</v>
      </c>
      <c r="AF612" s="565" t="e">
        <f>SUMIFS(INDEX(Калькуляция!$T$15:$AM$141,,MATCH(AF$3,Калькуляция!$T$3:$AM$3,0)),Калькуляция!$A$15:$A$141,$A612,Калькуляция!$B$15:$B$141,$B612)</f>
        <v>#N/A</v>
      </c>
      <c r="AG612" s="565" t="e">
        <f>SUMIFS(INDEX(Калькуляция!$T$15:$AM$141,,MATCH(AG$3,Калькуляция!$T$3:$AM$3,0)),Калькуляция!$A$15:$A$141,$A612,Калькуляция!$B$15:$B$141,$B612)</f>
        <v>#N/A</v>
      </c>
      <c r="AH612" s="478" t="e">
        <f>IF(AF612=0,0,(AG612-AF612)/AF612*100)</f>
        <v>#N/A</v>
      </c>
      <c r="AI612" s="565" t="e">
        <f>SUMIFS(INDEX(Калькуляция!$T$15:$AM$141,,MATCH(AI$3,Калькуляция!$T$3:$AM$3,0)),Калькуляция!$A$15:$A$141,$A612,Калькуляция!$B$15:$B$141,$B612)</f>
        <v>#N/A</v>
      </c>
      <c r="AJ612" s="565" t="e">
        <f>SUMIFS(INDEX(Калькуляция!$T$15:$AM$141,,MATCH(AJ$3,Калькуляция!$T$3:$AM$3,0)),Калькуляция!$A$15:$A$141,$A612,Калькуляция!$B$15:$B$141,$B612)</f>
        <v>#N/A</v>
      </c>
      <c r="AK612" s="478" t="e">
        <f>IF(AI612=0,0,(AJ612-AI612)/AI612*100)</f>
        <v>#N/A</v>
      </c>
      <c r="AL612" s="565" t="e">
        <f>SUMIFS(INDEX(Калькуляция!$T$15:$AM$141,,MATCH(AL$3,Калькуляция!$T$3:$AM$3,0)),Калькуляция!$A$15:$A$141,$A612,Калькуляция!$B$15:$B$141,$B612)</f>
        <v>#N/A</v>
      </c>
      <c r="AM612" s="565" t="e">
        <f>SUMIFS(INDEX(Калькуляция!$T$15:$AM$141,,MATCH(AM$3,Калькуляция!$T$3:$AM$3,0)),Калькуляция!$A$15:$A$141,$A612,Калькуляция!$B$15:$B$141,$B612)</f>
        <v>#N/A</v>
      </c>
      <c r="AN612" s="478" t="e">
        <f>IF(AL612=0,0,(AM612-AL612)/AL612*100)</f>
        <v>#N/A</v>
      </c>
      <c r="AO612" s="565" t="e">
        <f>SUMIFS(INDEX(Калькуляция!$T$15:$AM$141,,MATCH(AO$3,Калькуляция!$T$3:$AM$3,0)),Калькуляция!$A$15:$A$141,$A612,Калькуляция!$B$15:$B$141,$B612)</f>
        <v>#N/A</v>
      </c>
      <c r="AP612" s="565" t="e">
        <f>SUMIFS(INDEX(Калькуляция!$T$15:$AM$141,,MATCH(AP$3,Калькуляция!$T$3:$AM$3,0)),Калькуляция!$A$15:$A$141,$A612,Калькуляция!$B$15:$B$141,$B612)</f>
        <v>#N/A</v>
      </c>
      <c r="AQ612" s="478" t="e">
        <f>IF(AO612=0,0,(AP612-AO612)/AO612*100)</f>
        <v>#N/A</v>
      </c>
      <c r="AR612" s="565"/>
      <c r="AS612" s="565"/>
      <c r="AT612" s="478">
        <f>IF(AR612=0,0,(AS612-AR612)/AR612*100)</f>
        <v>0</v>
      </c>
      <c r="AU612" s="565"/>
      <c r="AV612" s="565"/>
      <c r="AW612" s="478">
        <f>IF(AU612=0,0,(AV612-AU612)/AU612*100)</f>
        <v>0</v>
      </c>
      <c r="AX612" s="565"/>
      <c r="AY612" s="565"/>
      <c r="AZ612" s="478">
        <f>IF(AX612=0,0,(AY612-AX612)/AX612*100)</f>
        <v>0</v>
      </c>
      <c r="BA612" s="565"/>
      <c r="BB612" s="565"/>
      <c r="BC612" s="478">
        <f>IF(BA612=0,0,(BB612-BA612)/BA612*100)</f>
        <v>0</v>
      </c>
      <c r="BD612" s="565"/>
      <c r="BE612" s="565"/>
      <c r="BF612" s="478">
        <f>IF(BD612=0,0,(BE612-BD612)/BD612*100)</f>
        <v>0</v>
      </c>
      <c r="BG612" s="565"/>
      <c r="BH612" s="565"/>
      <c r="BI612" s="478">
        <f>IF(BG612=0,0,(BH612-BG612)/BG612*100)</f>
        <v>0</v>
      </c>
      <c r="BJ612" s="565"/>
      <c r="BK612" s="565"/>
      <c r="BL612" s="478">
        <f>IF(BJ612=0,0,(BK612-BJ612)/BJ612*100)</f>
        <v>0</v>
      </c>
      <c r="BM612" s="565"/>
      <c r="BN612" s="565"/>
      <c r="BO612" s="478">
        <f>IF(BM612=0,0,(BN612-BM612)/BM612*100)</f>
        <v>0</v>
      </c>
      <c r="BP612" s="565"/>
      <c r="BQ612" s="565"/>
      <c r="BR612" s="478">
        <f>IF(BP612=0,0,(BQ612-BP612)/BP612*100)</f>
        <v>0</v>
      </c>
      <c r="BS612" s="565"/>
      <c r="BT612" s="565"/>
      <c r="BU612" s="478">
        <f>IF(BS612=0,0,(BT612-BS612)/BS612*100)</f>
        <v>0</v>
      </c>
      <c r="BV612" s="565"/>
      <c r="BW612" s="565"/>
      <c r="BX612" s="478">
        <f>IF(BV612=0,0,(BW612-BV612)/BV612*100)</f>
        <v>0</v>
      </c>
      <c r="BY612" s="565"/>
      <c r="BZ612" s="565"/>
      <c r="CA612" s="478">
        <f>IF(BY612=0,0,(BZ612-BY612)/BY612*100)</f>
        <v>0</v>
      </c>
      <c r="CB612" s="565"/>
      <c r="CC612" s="565"/>
      <c r="CD612" s="478">
        <f>IF(CB612=0,0,(CC612-CB612)/CB612*100)</f>
        <v>0</v>
      </c>
      <c r="CE612" s="565"/>
      <c r="CF612" s="565"/>
      <c r="CG612" s="478">
        <f>IF(CE612=0,0,(CF612-CE612)/CE612*100)</f>
        <v>0</v>
      </c>
      <c r="CH612" s="565"/>
      <c r="CI612" s="565"/>
      <c r="CJ612" s="478">
        <f>IF(CH612=0,0,(CI612-CH612)/CH612*100)</f>
        <v>0</v>
      </c>
      <c r="CK612" s="565"/>
      <c r="CL612" s="565"/>
      <c r="CM612" s="478">
        <f>IF(CK612=0,0,(CL612-CK612)/CK612*100)</f>
        <v>0</v>
      </c>
      <c r="CN612" s="565"/>
      <c r="CO612" s="565"/>
      <c r="CP612" s="478">
        <f>IF(CN612=0,0,(CO612-CN612)/CN612*100)</f>
        <v>0</v>
      </c>
      <c r="CQ612" s="565"/>
      <c r="CR612" s="565"/>
      <c r="CS612" s="478">
        <f>IF(CQ612=0,0,(CR612-CQ612)/CQ612*100)</f>
        <v>0</v>
      </c>
      <c r="CT612" s="565"/>
      <c r="CU612" s="565"/>
      <c r="CV612" s="478">
        <f>IF(CT612=0,0,(CU612-CT612)/CT612*100)</f>
        <v>0</v>
      </c>
      <c r="CW612" s="565"/>
      <c r="CX612" s="565"/>
      <c r="CY612" s="478">
        <f>IF(CW612=0,0,(CX612-CW612)/CW612*100)</f>
        <v>0</v>
      </c>
      <c r="CZ612" s="565"/>
      <c r="DA612" s="565"/>
      <c r="DB612" s="478">
        <f>IF(CZ612=0,0,(DA612-CZ612)/CZ612*100)</f>
        <v>0</v>
      </c>
      <c r="DC612" s="565"/>
      <c r="DD612" s="565"/>
      <c r="DE612" s="478">
        <f>IF(DC612=0,0,(DD612-DC612)/DC612*100)</f>
        <v>0</v>
      </c>
      <c r="DF612" s="565"/>
      <c r="DG612" s="565"/>
      <c r="DH612" s="478">
        <f>IF(DF612=0,0,(DG612-DF612)/DF612*100)</f>
        <v>0</v>
      </c>
      <c r="DI612" s="565"/>
      <c r="DJ612" s="565"/>
      <c r="DK612" s="478">
        <f>IF(DI612=0,0,(DJ612-DI612)/DI612*100)</f>
        <v>0</v>
      </c>
      <c r="DL612" s="565"/>
      <c r="DM612" s="565"/>
      <c r="DN612" s="478">
        <f>IF(DL612=0,0,(DM612-DL612)/DL612*100)</f>
        <v>0</v>
      </c>
      <c r="DO612" s="565"/>
      <c r="DP612" s="565"/>
      <c r="DQ612" s="478">
        <f>IF(DO612=0,0,(DP612-DO612)/DO612*100)</f>
        <v>0</v>
      </c>
      <c r="DR612" s="565"/>
      <c r="DS612" s="565"/>
      <c r="DT612" s="478">
        <f>IF(DR612=0,0,(DS612-DR612)/DR612*100)</f>
        <v>0</v>
      </c>
      <c r="DU612" s="565"/>
      <c r="DV612" s="565"/>
      <c r="DW612" s="478">
        <f>IF(DU612=0,0,(DV612-DU612)/DU612*100)</f>
        <v>0</v>
      </c>
      <c r="DX612" s="565"/>
      <c r="DY612" s="565"/>
      <c r="DZ612" s="478">
        <f>IF(DX612=0,0,(DY612-DX612)/DX612*100)</f>
        <v>0</v>
      </c>
      <c r="EA612" s="565"/>
      <c r="EB612" s="565"/>
      <c r="EC612" s="478">
        <f>IF(EA612=0,0,(EB612-EA612)/EA612*100)</f>
        <v>0</v>
      </c>
      <c r="ED612" s="565"/>
      <c r="EE612" s="565"/>
      <c r="EF612" s="478">
        <f>IF(ED612=0,0,(EE612-ED612)/ED612*100)</f>
        <v>0</v>
      </c>
      <c r="EG612" s="565"/>
      <c r="EH612" s="565"/>
      <c r="EI612" s="478">
        <f>IF(EG612=0,0,(EH612-EG612)/EG612*100)</f>
        <v>0</v>
      </c>
      <c r="EJ612" s="565"/>
      <c r="EK612" s="565"/>
      <c r="EL612" s="478">
        <f>IF(EJ612=0,0,(EK612-EJ612)/EJ612*100)</f>
        <v>0</v>
      </c>
      <c r="EM612" s="565"/>
      <c r="EN612" s="565"/>
      <c r="EO612" s="478">
        <f>IF(EM612=0,0,(EN612-EM612)/EM612*100)</f>
        <v>0</v>
      </c>
      <c r="EP612" s="565"/>
      <c r="EQ612" s="565"/>
      <c r="ER612" s="478">
        <f>IF(EP612=0,0,(EQ612-EP612)/EP612*100)</f>
        <v>0</v>
      </c>
      <c r="ES612" s="565"/>
      <c r="ET612" s="565"/>
      <c r="EU612" s="478">
        <f>IF(ES612=0,0,(ET612-ES612)/ES612*100)</f>
        <v>0</v>
      </c>
      <c r="EV612" s="565"/>
      <c r="EW612" s="565"/>
      <c r="EX612" s="478">
        <f>IF(EV612=0,0,(EW612-EV612)/EV612*100)</f>
        <v>0</v>
      </c>
      <c r="EY612" s="565"/>
      <c r="EZ612" s="565"/>
      <c r="FA612" s="478">
        <f>IF(EY612=0,0,(EZ612-EY612)/EY612*100)</f>
        <v>0</v>
      </c>
      <c r="FB612" s="565"/>
      <c r="FC612" s="565"/>
      <c r="FD612" s="478">
        <f>IF(FB612=0,0,(FC612-FB612)/FB612*100)</f>
        <v>0</v>
      </c>
      <c r="FE612" s="565"/>
      <c r="FF612" s="565"/>
      <c r="FG612" s="478">
        <f>IF(FE612=0,0,(FF612-FE612)/FE612*100)</f>
        <v>0</v>
      </c>
    </row>
    <row r="613" spans="1:163" s="295" customFormat="1" ht="24.75" customHeight="1" outlineLevel="1">
      <c r="A613" s="295" t="str">
        <f t="shared" si="126"/>
        <v>1</v>
      </c>
      <c r="C613" s="598" t="s">
        <v>1661</v>
      </c>
      <c r="D613" s="598" t="s">
        <v>1721</v>
      </c>
      <c r="G613" s="295" t="b">
        <f>F582="двухставочный"</f>
        <v>0</v>
      </c>
      <c r="L613" s="369" t="s">
        <v>667</v>
      </c>
      <c r="M613" s="360" t="s">
        <v>668</v>
      </c>
      <c r="N613" s="363"/>
      <c r="O613" s="363"/>
      <c r="P613" s="362">
        <f>IF(N613=0,0,(O613-N613)/N613*100)</f>
        <v>0</v>
      </c>
      <c r="Q613" s="363"/>
      <c r="R613" s="363"/>
      <c r="S613" s="362">
        <f>IF(Q613=0,0,(R613-Q613)/Q613*100)</f>
        <v>0</v>
      </c>
      <c r="T613" s="363"/>
      <c r="U613" s="363"/>
      <c r="V613" s="362">
        <f>IF(T613=0,0,(U613-T613)/T613*100)</f>
        <v>0</v>
      </c>
      <c r="W613" s="363"/>
      <c r="X613" s="363"/>
      <c r="Y613" s="362">
        <f>IF(W613=0,0,(X613-W613)/W613*100)</f>
        <v>0</v>
      </c>
      <c r="Z613" s="363"/>
      <c r="AA613" s="363"/>
      <c r="AB613" s="362">
        <f>IF(Z613=0,0,(AA613-Z613)/Z613*100)</f>
        <v>0</v>
      </c>
      <c r="AC613" s="363"/>
      <c r="AD613" s="363"/>
      <c r="AE613" s="362">
        <f>IF(AC613=0,0,(AD613-AC613)/AC613*100)</f>
        <v>0</v>
      </c>
      <c r="AF613" s="363"/>
      <c r="AG613" s="363"/>
      <c r="AH613" s="362">
        <f>IF(AF613=0,0,(AG613-AF613)/AF613*100)</f>
        <v>0</v>
      </c>
      <c r="AI613" s="363"/>
      <c r="AJ613" s="363"/>
      <c r="AK613" s="362">
        <f>IF(AI613=0,0,(AJ613-AI613)/AI613*100)</f>
        <v>0</v>
      </c>
      <c r="AL613" s="363"/>
      <c r="AM613" s="363"/>
      <c r="AN613" s="362">
        <f>IF(AL613=0,0,(AM613-AL613)/AL613*100)</f>
        <v>0</v>
      </c>
      <c r="AO613" s="363"/>
      <c r="AP613" s="363"/>
      <c r="AQ613" s="362">
        <f>IF(AO613=0,0,(AP613-AO613)/AO613*100)</f>
        <v>0</v>
      </c>
      <c r="AR613" s="363"/>
      <c r="AS613" s="363"/>
      <c r="AT613" s="362">
        <f>IF(AR613=0,0,(AS613-AR613)/AR613*100)</f>
        <v>0</v>
      </c>
      <c r="AU613" s="363"/>
      <c r="AV613" s="363"/>
      <c r="AW613" s="362">
        <f>IF(AU613=0,0,(AV613-AU613)/AU613*100)</f>
        <v>0</v>
      </c>
      <c r="AX613" s="363"/>
      <c r="AY613" s="363"/>
      <c r="AZ613" s="362">
        <f>IF(AX613=0,0,(AY613-AX613)/AX613*100)</f>
        <v>0</v>
      </c>
      <c r="BA613" s="363"/>
      <c r="BB613" s="363"/>
      <c r="BC613" s="362">
        <f>IF(BA613=0,0,(BB613-BA613)/BA613*100)</f>
        <v>0</v>
      </c>
      <c r="BD613" s="363"/>
      <c r="BE613" s="363"/>
      <c r="BF613" s="362">
        <f>IF(BD613=0,0,(BE613-BD613)/BD613*100)</f>
        <v>0</v>
      </c>
      <c r="BG613" s="363"/>
      <c r="BH613" s="363"/>
      <c r="BI613" s="362">
        <f>IF(BG613=0,0,(BH613-BG613)/BG613*100)</f>
        <v>0</v>
      </c>
      <c r="BJ613" s="363"/>
      <c r="BK613" s="363"/>
      <c r="BL613" s="362">
        <f>IF(BJ613=0,0,(BK613-BJ613)/BJ613*100)</f>
        <v>0</v>
      </c>
      <c r="BM613" s="363"/>
      <c r="BN613" s="363"/>
      <c r="BO613" s="362">
        <f>IF(BM613=0,0,(BN613-BM613)/BM613*100)</f>
        <v>0</v>
      </c>
      <c r="BP613" s="363"/>
      <c r="BQ613" s="363"/>
      <c r="BR613" s="362">
        <f>IF(BP613=0,0,(BQ613-BP613)/BP613*100)</f>
        <v>0</v>
      </c>
      <c r="BS613" s="363"/>
      <c r="BT613" s="363"/>
      <c r="BU613" s="362">
        <f>IF(BS613=0,0,(BT613-BS613)/BS613*100)</f>
        <v>0</v>
      </c>
      <c r="BV613" s="363"/>
      <c r="BW613" s="363"/>
      <c r="BX613" s="362">
        <f>IF(BV613=0,0,(BW613-BV613)/BV613*100)</f>
        <v>0</v>
      </c>
      <c r="BY613" s="363"/>
      <c r="BZ613" s="363"/>
      <c r="CA613" s="362">
        <f>IF(BY613=0,0,(BZ613-BY613)/BY613*100)</f>
        <v>0</v>
      </c>
      <c r="CB613" s="363"/>
      <c r="CC613" s="363"/>
      <c r="CD613" s="362">
        <f>IF(CB613=0,0,(CC613-CB613)/CB613*100)</f>
        <v>0</v>
      </c>
      <c r="CE613" s="363"/>
      <c r="CF613" s="363"/>
      <c r="CG613" s="362">
        <f>IF(CE613=0,0,(CF613-CE613)/CE613*100)</f>
        <v>0</v>
      </c>
      <c r="CH613" s="363"/>
      <c r="CI613" s="363"/>
      <c r="CJ613" s="362">
        <f>IF(CH613=0,0,(CI613-CH613)/CH613*100)</f>
        <v>0</v>
      </c>
      <c r="CK613" s="363"/>
      <c r="CL613" s="363"/>
      <c r="CM613" s="362">
        <f>IF(CK613=0,0,(CL613-CK613)/CK613*100)</f>
        <v>0</v>
      </c>
      <c r="CN613" s="363"/>
      <c r="CO613" s="363"/>
      <c r="CP613" s="362">
        <f>IF(CN613=0,0,(CO613-CN613)/CN613*100)</f>
        <v>0</v>
      </c>
      <c r="CQ613" s="363"/>
      <c r="CR613" s="363"/>
      <c r="CS613" s="362">
        <f>IF(CQ613=0,0,(CR613-CQ613)/CQ613*100)</f>
        <v>0</v>
      </c>
      <c r="CT613" s="363"/>
      <c r="CU613" s="363"/>
      <c r="CV613" s="362">
        <f>IF(CT613=0,0,(CU613-CT613)/CT613*100)</f>
        <v>0</v>
      </c>
      <c r="CW613" s="363"/>
      <c r="CX613" s="363"/>
      <c r="CY613" s="362">
        <f>IF(CW613=0,0,(CX613-CW613)/CW613*100)</f>
        <v>0</v>
      </c>
      <c r="CZ613" s="363"/>
      <c r="DA613" s="363"/>
      <c r="DB613" s="362">
        <f>IF(CZ613=0,0,(DA613-CZ613)/CZ613*100)</f>
        <v>0</v>
      </c>
      <c r="DC613" s="363"/>
      <c r="DD613" s="363"/>
      <c r="DE613" s="362">
        <f>IF(DC613=0,0,(DD613-DC613)/DC613*100)</f>
        <v>0</v>
      </c>
      <c r="DF613" s="363"/>
      <c r="DG613" s="363"/>
      <c r="DH613" s="362">
        <f>IF(DF613=0,0,(DG613-DF613)/DF613*100)</f>
        <v>0</v>
      </c>
      <c r="DI613" s="363"/>
      <c r="DJ613" s="363"/>
      <c r="DK613" s="362">
        <f>IF(DI613=0,0,(DJ613-DI613)/DI613*100)</f>
        <v>0</v>
      </c>
      <c r="DL613" s="363"/>
      <c r="DM613" s="363"/>
      <c r="DN613" s="362">
        <f>IF(DL613=0,0,(DM613-DL613)/DL613*100)</f>
        <v>0</v>
      </c>
      <c r="DO613" s="363"/>
      <c r="DP613" s="363"/>
      <c r="DQ613" s="362">
        <f>IF(DO613=0,0,(DP613-DO613)/DO613*100)</f>
        <v>0</v>
      </c>
      <c r="DR613" s="363"/>
      <c r="DS613" s="363"/>
      <c r="DT613" s="362">
        <f>IF(DR613=0,0,(DS613-DR613)/DR613*100)</f>
        <v>0</v>
      </c>
      <c r="DU613" s="363"/>
      <c r="DV613" s="363"/>
      <c r="DW613" s="362">
        <f>IF(DU613=0,0,(DV613-DU613)/DU613*100)</f>
        <v>0</v>
      </c>
      <c r="DX613" s="363"/>
      <c r="DY613" s="363"/>
      <c r="DZ613" s="362">
        <f>IF(DX613=0,0,(DY613-DX613)/DX613*100)</f>
        <v>0</v>
      </c>
      <c r="EA613" s="363"/>
      <c r="EB613" s="363"/>
      <c r="EC613" s="362">
        <f>IF(EA613=0,0,(EB613-EA613)/EA613*100)</f>
        <v>0</v>
      </c>
      <c r="ED613" s="363"/>
      <c r="EE613" s="363"/>
      <c r="EF613" s="362">
        <f>IF(ED613=0,0,(EE613-ED613)/ED613*100)</f>
        <v>0</v>
      </c>
      <c r="EG613" s="363"/>
      <c r="EH613" s="363"/>
      <c r="EI613" s="362">
        <f>IF(EG613=0,0,(EH613-EG613)/EG613*100)</f>
        <v>0</v>
      </c>
      <c r="EJ613" s="363"/>
      <c r="EK613" s="363"/>
      <c r="EL613" s="362">
        <f>IF(EJ613=0,0,(EK613-EJ613)/EJ613*100)</f>
        <v>0</v>
      </c>
      <c r="EM613" s="363"/>
      <c r="EN613" s="363"/>
      <c r="EO613" s="362">
        <f>IF(EM613=0,0,(EN613-EM613)/EM613*100)</f>
        <v>0</v>
      </c>
      <c r="EP613" s="363"/>
      <c r="EQ613" s="363"/>
      <c r="ER613" s="362">
        <f>IF(EP613=0,0,(EQ613-EP613)/EP613*100)</f>
        <v>0</v>
      </c>
      <c r="ES613" s="363"/>
      <c r="ET613" s="363"/>
      <c r="EU613" s="362">
        <f>IF(ES613=0,0,(ET613-ES613)/ES613*100)</f>
        <v>0</v>
      </c>
      <c r="EV613" s="363"/>
      <c r="EW613" s="363"/>
      <c r="EX613" s="362">
        <f>IF(EV613=0,0,(EW613-EV613)/EV613*100)</f>
        <v>0</v>
      </c>
      <c r="EY613" s="363"/>
      <c r="EZ613" s="363"/>
      <c r="FA613" s="362">
        <f>IF(EY613=0,0,(EZ613-EY613)/EY613*100)</f>
        <v>0</v>
      </c>
      <c r="FB613" s="363"/>
      <c r="FC613" s="363"/>
      <c r="FD613" s="362">
        <f>IF(FB613=0,0,(FC613-FB613)/FB613*100)</f>
        <v>0</v>
      </c>
      <c r="FE613" s="363"/>
      <c r="FF613" s="363"/>
      <c r="FG613" s="362">
        <f>IF(FE613=0,0,(FF613-FE613)/FE613*100)</f>
        <v>0</v>
      </c>
    </row>
    <row r="614" spans="1:163" s="295" customFormat="1" ht="15" customHeight="1" outlineLevel="1">
      <c r="A614" s="295" t="str">
        <f t="shared" si="126"/>
        <v>1</v>
      </c>
      <c r="C614" s="598" t="s">
        <v>1662</v>
      </c>
      <c r="D614" s="598" t="s">
        <v>1721</v>
      </c>
      <c r="G614" s="295" t="b">
        <f>F582="двухставочный"</f>
        <v>0</v>
      </c>
      <c r="L614" s="369" t="s">
        <v>669</v>
      </c>
      <c r="M614" s="360" t="s">
        <v>670</v>
      </c>
      <c r="N614" s="363"/>
      <c r="O614" s="363"/>
      <c r="P614" s="362">
        <f>IF(N614=0,0,(O614-N614)/N614*100)</f>
        <v>0</v>
      </c>
      <c r="Q614" s="363"/>
      <c r="R614" s="363"/>
      <c r="S614" s="362">
        <f>IF(Q614=0,0,(R614-Q614)/Q614*100)</f>
        <v>0</v>
      </c>
      <c r="T614" s="363"/>
      <c r="U614" s="363"/>
      <c r="V614" s="362">
        <f>IF(T614=0,0,(U614-T614)/T614*100)</f>
        <v>0</v>
      </c>
      <c r="W614" s="363"/>
      <c r="X614" s="363"/>
      <c r="Y614" s="362">
        <f>IF(W614=0,0,(X614-W614)/W614*100)</f>
        <v>0</v>
      </c>
      <c r="Z614" s="363"/>
      <c r="AA614" s="363"/>
      <c r="AB614" s="362">
        <f>IF(Z614=0,0,(AA614-Z614)/Z614*100)</f>
        <v>0</v>
      </c>
      <c r="AC614" s="363"/>
      <c r="AD614" s="363"/>
      <c r="AE614" s="362">
        <f>IF(AC614=0,0,(AD614-AC614)/AC614*100)</f>
        <v>0</v>
      </c>
      <c r="AF614" s="363"/>
      <c r="AG614" s="363"/>
      <c r="AH614" s="362">
        <f>IF(AF614=0,0,(AG614-AF614)/AF614*100)</f>
        <v>0</v>
      </c>
      <c r="AI614" s="363"/>
      <c r="AJ614" s="363"/>
      <c r="AK614" s="362">
        <f>IF(AI614=0,0,(AJ614-AI614)/AI614*100)</f>
        <v>0</v>
      </c>
      <c r="AL614" s="363"/>
      <c r="AM614" s="363"/>
      <c r="AN614" s="362">
        <f>IF(AL614=0,0,(AM614-AL614)/AL614*100)</f>
        <v>0</v>
      </c>
      <c r="AO614" s="363"/>
      <c r="AP614" s="363"/>
      <c r="AQ614" s="362">
        <f>IF(AO614=0,0,(AP614-AO614)/AO614*100)</f>
        <v>0</v>
      </c>
      <c r="AR614" s="363"/>
      <c r="AS614" s="363"/>
      <c r="AT614" s="362">
        <f>IF(AR614=0,0,(AS614-AR614)/AR614*100)</f>
        <v>0</v>
      </c>
      <c r="AU614" s="363"/>
      <c r="AV614" s="363"/>
      <c r="AW614" s="362">
        <f>IF(AU614=0,0,(AV614-AU614)/AU614*100)</f>
        <v>0</v>
      </c>
      <c r="AX614" s="363"/>
      <c r="AY614" s="363"/>
      <c r="AZ614" s="362">
        <f>IF(AX614=0,0,(AY614-AX614)/AX614*100)</f>
        <v>0</v>
      </c>
      <c r="BA614" s="363"/>
      <c r="BB614" s="363"/>
      <c r="BC614" s="362">
        <f>IF(BA614=0,0,(BB614-BA614)/BA614*100)</f>
        <v>0</v>
      </c>
      <c r="BD614" s="363"/>
      <c r="BE614" s="363"/>
      <c r="BF614" s="362">
        <f>IF(BD614=0,0,(BE614-BD614)/BD614*100)</f>
        <v>0</v>
      </c>
      <c r="BG614" s="363"/>
      <c r="BH614" s="363"/>
      <c r="BI614" s="362">
        <f>IF(BG614=0,0,(BH614-BG614)/BG614*100)</f>
        <v>0</v>
      </c>
      <c r="BJ614" s="363"/>
      <c r="BK614" s="363"/>
      <c r="BL614" s="362">
        <f>IF(BJ614=0,0,(BK614-BJ614)/BJ614*100)</f>
        <v>0</v>
      </c>
      <c r="BM614" s="363"/>
      <c r="BN614" s="363"/>
      <c r="BO614" s="362">
        <f>IF(BM614=0,0,(BN614-BM614)/BM614*100)</f>
        <v>0</v>
      </c>
      <c r="BP614" s="363"/>
      <c r="BQ614" s="363"/>
      <c r="BR614" s="362">
        <f>IF(BP614=0,0,(BQ614-BP614)/BP614*100)</f>
        <v>0</v>
      </c>
      <c r="BS614" s="363"/>
      <c r="BT614" s="363"/>
      <c r="BU614" s="362">
        <f>IF(BS614=0,0,(BT614-BS614)/BS614*100)</f>
        <v>0</v>
      </c>
      <c r="BV614" s="363"/>
      <c r="BW614" s="363"/>
      <c r="BX614" s="362">
        <f>IF(BV614=0,0,(BW614-BV614)/BV614*100)</f>
        <v>0</v>
      </c>
      <c r="BY614" s="363"/>
      <c r="BZ614" s="363"/>
      <c r="CA614" s="362">
        <f>IF(BY614=0,0,(BZ614-BY614)/BY614*100)</f>
        <v>0</v>
      </c>
      <c r="CB614" s="363"/>
      <c r="CC614" s="363"/>
      <c r="CD614" s="362">
        <f>IF(CB614=0,0,(CC614-CB614)/CB614*100)</f>
        <v>0</v>
      </c>
      <c r="CE614" s="363"/>
      <c r="CF614" s="363"/>
      <c r="CG614" s="362">
        <f>IF(CE614=0,0,(CF614-CE614)/CE614*100)</f>
        <v>0</v>
      </c>
      <c r="CH614" s="363"/>
      <c r="CI614" s="363"/>
      <c r="CJ614" s="362">
        <f>IF(CH614=0,0,(CI614-CH614)/CH614*100)</f>
        <v>0</v>
      </c>
      <c r="CK614" s="363"/>
      <c r="CL614" s="363"/>
      <c r="CM614" s="362">
        <f>IF(CK614=0,0,(CL614-CK614)/CK614*100)</f>
        <v>0</v>
      </c>
      <c r="CN614" s="363"/>
      <c r="CO614" s="363"/>
      <c r="CP614" s="362">
        <f>IF(CN614=0,0,(CO614-CN614)/CN614*100)</f>
        <v>0</v>
      </c>
      <c r="CQ614" s="363"/>
      <c r="CR614" s="363"/>
      <c r="CS614" s="362">
        <f>IF(CQ614=0,0,(CR614-CQ614)/CQ614*100)</f>
        <v>0</v>
      </c>
      <c r="CT614" s="363"/>
      <c r="CU614" s="363"/>
      <c r="CV614" s="362">
        <f>IF(CT614=0,0,(CU614-CT614)/CT614*100)</f>
        <v>0</v>
      </c>
      <c r="CW614" s="363"/>
      <c r="CX614" s="363"/>
      <c r="CY614" s="362">
        <f>IF(CW614=0,0,(CX614-CW614)/CW614*100)</f>
        <v>0</v>
      </c>
      <c r="CZ614" s="363"/>
      <c r="DA614" s="363"/>
      <c r="DB614" s="362">
        <f>IF(CZ614=0,0,(DA614-CZ614)/CZ614*100)</f>
        <v>0</v>
      </c>
      <c r="DC614" s="363"/>
      <c r="DD614" s="363"/>
      <c r="DE614" s="362">
        <f>IF(DC614=0,0,(DD614-DC614)/DC614*100)</f>
        <v>0</v>
      </c>
      <c r="DF614" s="363"/>
      <c r="DG614" s="363"/>
      <c r="DH614" s="362">
        <f>IF(DF614=0,0,(DG614-DF614)/DF614*100)</f>
        <v>0</v>
      </c>
      <c r="DI614" s="363"/>
      <c r="DJ614" s="363"/>
      <c r="DK614" s="362">
        <f>IF(DI614=0,0,(DJ614-DI614)/DI614*100)</f>
        <v>0</v>
      </c>
      <c r="DL614" s="363"/>
      <c r="DM614" s="363"/>
      <c r="DN614" s="362">
        <f>IF(DL614=0,0,(DM614-DL614)/DL614*100)</f>
        <v>0</v>
      </c>
      <c r="DO614" s="363"/>
      <c r="DP614" s="363"/>
      <c r="DQ614" s="362">
        <f>IF(DO614=0,0,(DP614-DO614)/DO614*100)</f>
        <v>0</v>
      </c>
      <c r="DR614" s="363"/>
      <c r="DS614" s="363"/>
      <c r="DT614" s="362">
        <f>IF(DR614=0,0,(DS614-DR614)/DR614*100)</f>
        <v>0</v>
      </c>
      <c r="DU614" s="363"/>
      <c r="DV614" s="363"/>
      <c r="DW614" s="362">
        <f>IF(DU614=0,0,(DV614-DU614)/DU614*100)</f>
        <v>0</v>
      </c>
      <c r="DX614" s="363"/>
      <c r="DY614" s="363"/>
      <c r="DZ614" s="362">
        <f>IF(DX614=0,0,(DY614-DX614)/DX614*100)</f>
        <v>0</v>
      </c>
      <c r="EA614" s="363"/>
      <c r="EB614" s="363"/>
      <c r="EC614" s="362">
        <f>IF(EA614=0,0,(EB614-EA614)/EA614*100)</f>
        <v>0</v>
      </c>
      <c r="ED614" s="363"/>
      <c r="EE614" s="363"/>
      <c r="EF614" s="362">
        <f>IF(ED614=0,0,(EE614-ED614)/ED614*100)</f>
        <v>0</v>
      </c>
      <c r="EG614" s="363"/>
      <c r="EH614" s="363"/>
      <c r="EI614" s="362">
        <f>IF(EG614=0,0,(EH614-EG614)/EG614*100)</f>
        <v>0</v>
      </c>
      <c r="EJ614" s="363"/>
      <c r="EK614" s="363"/>
      <c r="EL614" s="362">
        <f>IF(EJ614=0,0,(EK614-EJ614)/EJ614*100)</f>
        <v>0</v>
      </c>
      <c r="EM614" s="363"/>
      <c r="EN614" s="363"/>
      <c r="EO614" s="362">
        <f>IF(EM614=0,0,(EN614-EM614)/EM614*100)</f>
        <v>0</v>
      </c>
      <c r="EP614" s="363"/>
      <c r="EQ614" s="363"/>
      <c r="ER614" s="362">
        <f>IF(EP614=0,0,(EQ614-EP614)/EP614*100)</f>
        <v>0</v>
      </c>
      <c r="ES614" s="363"/>
      <c r="ET614" s="363"/>
      <c r="EU614" s="362">
        <f>IF(ES614=0,0,(ET614-ES614)/ES614*100)</f>
        <v>0</v>
      </c>
      <c r="EV614" s="363"/>
      <c r="EW614" s="363"/>
      <c r="EX614" s="362">
        <f>IF(EV614=0,0,(EW614-EV614)/EV614*100)</f>
        <v>0</v>
      </c>
      <c r="EY614" s="363"/>
      <c r="EZ614" s="363"/>
      <c r="FA614" s="362">
        <f>IF(EY614=0,0,(EZ614-EY614)/EY614*100)</f>
        <v>0</v>
      </c>
      <c r="FB614" s="363"/>
      <c r="FC614" s="363"/>
      <c r="FD614" s="362">
        <f>IF(FB614=0,0,(FC614-FB614)/FB614*100)</f>
        <v>0</v>
      </c>
      <c r="FE614" s="363"/>
      <c r="FF614" s="363"/>
      <c r="FG614" s="362">
        <f>IF(FE614=0,0,(FF614-FE614)/FE614*100)</f>
        <v>0</v>
      </c>
    </row>
    <row r="615" spans="1:163" s="295" customFormat="1" ht="15" customHeight="1" outlineLevel="1">
      <c r="A615" s="295" t="str">
        <f t="shared" si="126"/>
        <v>1</v>
      </c>
      <c r="C615" s="598"/>
      <c r="D615" s="598"/>
      <c r="G615" s="295" t="b">
        <f>F582="двухставочный"</f>
        <v>0</v>
      </c>
      <c r="L615" s="355" t="s">
        <v>1180</v>
      </c>
      <c r="M615" s="366"/>
      <c r="N615" s="367"/>
      <c r="O615" s="367"/>
      <c r="P615" s="367"/>
      <c r="Q615" s="367"/>
      <c r="R615" s="367"/>
      <c r="S615" s="367"/>
      <c r="T615" s="367"/>
      <c r="U615" s="367"/>
      <c r="V615" s="367"/>
      <c r="W615" s="367"/>
      <c r="X615" s="367"/>
      <c r="Y615" s="367"/>
      <c r="Z615" s="367"/>
      <c r="AA615" s="367"/>
      <c r="AB615" s="367"/>
      <c r="AC615" s="367"/>
      <c r="AD615" s="367"/>
      <c r="AE615" s="367"/>
      <c r="AF615" s="367"/>
      <c r="AG615" s="367"/>
      <c r="AH615" s="367"/>
      <c r="AI615" s="367"/>
      <c r="AJ615" s="367"/>
      <c r="AK615" s="367"/>
      <c r="AL615" s="367"/>
      <c r="AM615" s="367"/>
      <c r="AN615" s="367"/>
      <c r="AO615" s="367"/>
      <c r="AP615" s="367"/>
      <c r="AQ615" s="367"/>
      <c r="AR615" s="367"/>
      <c r="AS615" s="367"/>
      <c r="AT615" s="367"/>
      <c r="AU615" s="367"/>
      <c r="AV615" s="367"/>
      <c r="AW615" s="367"/>
      <c r="AX615" s="367"/>
      <c r="AY615" s="367"/>
      <c r="AZ615" s="367"/>
      <c r="BA615" s="367"/>
      <c r="BB615" s="367"/>
      <c r="BC615" s="367"/>
      <c r="BD615" s="367"/>
      <c r="BE615" s="367"/>
      <c r="BF615" s="367"/>
      <c r="BG615" s="367"/>
      <c r="BH615" s="367"/>
      <c r="BI615" s="367"/>
      <c r="BJ615" s="367"/>
      <c r="BK615" s="367"/>
      <c r="BL615" s="367"/>
      <c r="BM615" s="367"/>
      <c r="BN615" s="367"/>
      <c r="BO615" s="367"/>
      <c r="BP615" s="367"/>
      <c r="BQ615" s="367"/>
      <c r="BR615" s="367"/>
      <c r="BS615" s="367"/>
      <c r="BT615" s="367"/>
      <c r="BU615" s="367"/>
      <c r="BV615" s="367"/>
      <c r="BW615" s="367"/>
      <c r="BX615" s="367"/>
      <c r="BY615" s="367"/>
      <c r="BZ615" s="367"/>
      <c r="CA615" s="367"/>
      <c r="CB615" s="367"/>
      <c r="CC615" s="367"/>
      <c r="CD615" s="367"/>
      <c r="CE615" s="367"/>
      <c r="CF615" s="367"/>
      <c r="CG615" s="367"/>
      <c r="CH615" s="367"/>
      <c r="CI615" s="367"/>
      <c r="CJ615" s="367"/>
      <c r="CK615" s="367"/>
      <c r="CL615" s="367"/>
      <c r="CM615" s="367"/>
      <c r="CN615" s="367"/>
      <c r="CO615" s="367"/>
      <c r="CP615" s="367"/>
      <c r="CQ615" s="367"/>
      <c r="CR615" s="367"/>
      <c r="CS615" s="367"/>
      <c r="CT615" s="367"/>
      <c r="CU615" s="367"/>
      <c r="CV615" s="367"/>
      <c r="CW615" s="367"/>
      <c r="CX615" s="367"/>
      <c r="CY615" s="367"/>
      <c r="CZ615" s="367"/>
      <c r="DA615" s="367"/>
      <c r="DB615" s="367"/>
      <c r="DC615" s="367"/>
      <c r="DD615" s="367"/>
      <c r="DE615" s="367"/>
      <c r="DF615" s="367"/>
      <c r="DG615" s="367"/>
      <c r="DH615" s="367"/>
      <c r="DI615" s="367"/>
      <c r="DJ615" s="367"/>
      <c r="DK615" s="367"/>
      <c r="DL615" s="367"/>
      <c r="DM615" s="367"/>
      <c r="DN615" s="367"/>
      <c r="DO615" s="367"/>
      <c r="DP615" s="367"/>
      <c r="DQ615" s="367"/>
      <c r="DR615" s="367"/>
      <c r="DS615" s="367"/>
      <c r="DT615" s="367"/>
      <c r="DU615" s="367"/>
      <c r="DV615" s="367"/>
      <c r="DW615" s="367"/>
      <c r="DX615" s="367"/>
      <c r="DY615" s="367"/>
      <c r="DZ615" s="367"/>
      <c r="EA615" s="367"/>
      <c r="EB615" s="367"/>
      <c r="EC615" s="367"/>
      <c r="ED615" s="367"/>
      <c r="EE615" s="367"/>
      <c r="EF615" s="367"/>
      <c r="EG615" s="367"/>
      <c r="EH615" s="367"/>
      <c r="EI615" s="367"/>
      <c r="EJ615" s="367"/>
      <c r="EK615" s="367"/>
      <c r="EL615" s="367"/>
      <c r="EM615" s="367"/>
      <c r="EN615" s="367"/>
      <c r="EO615" s="367"/>
      <c r="EP615" s="367"/>
      <c r="EQ615" s="367"/>
      <c r="ER615" s="367"/>
      <c r="ES615" s="367"/>
      <c r="ET615" s="367"/>
      <c r="EU615" s="367"/>
      <c r="EV615" s="367"/>
      <c r="EW615" s="367"/>
      <c r="EX615" s="367"/>
      <c r="EY615" s="367"/>
      <c r="EZ615" s="367"/>
      <c r="FA615" s="367"/>
      <c r="FB615" s="367"/>
      <c r="FC615" s="367"/>
      <c r="FD615" s="367"/>
      <c r="FE615" s="367"/>
      <c r="FF615" s="367"/>
      <c r="FG615" s="368"/>
    </row>
    <row r="616" spans="1:163" s="295" customFormat="1" ht="15" customHeight="1" outlineLevel="1">
      <c r="A616" s="295" t="str">
        <f t="shared" si="126"/>
        <v>1</v>
      </c>
      <c r="C616" s="598" t="s">
        <v>1604</v>
      </c>
      <c r="D616" s="598" t="s">
        <v>1722</v>
      </c>
      <c r="G616" s="295" t="b">
        <f>F582="двухставочный"</f>
        <v>0</v>
      </c>
      <c r="L616" s="369" t="s">
        <v>664</v>
      </c>
      <c r="M616" s="360" t="s">
        <v>652</v>
      </c>
      <c r="N616" s="363" t="e">
        <f>IF(N618=0,0,(N617*N618+N619*N620*6)/N618)</f>
        <v>#N/A</v>
      </c>
      <c r="O616" s="363" t="e">
        <f>IF(O618=0,0,(O617*O618+O619*O620*6)/O618)</f>
        <v>#N/A</v>
      </c>
      <c r="P616" s="362" t="e">
        <f>IF(N616=0,0,(O616-N616)/N616*100)</f>
        <v>#N/A</v>
      </c>
      <c r="Q616" s="363" t="e">
        <f>IF(Q618=0,0,(Q617*Q618+Q619*Q620*6)/Q618)</f>
        <v>#N/A</v>
      </c>
      <c r="R616" s="363" t="e">
        <f>IF(R618=0,0,(R617*R618+R619*R620*6)/R618)</f>
        <v>#N/A</v>
      </c>
      <c r="S616" s="362" t="e">
        <f>IF(Q616=0,0,(R616-Q616)/Q616*100)</f>
        <v>#N/A</v>
      </c>
      <c r="T616" s="363" t="e">
        <f>IF(T618=0,0,(T617*T618+T619*T620*6)/T618)</f>
        <v>#N/A</v>
      </c>
      <c r="U616" s="363" t="e">
        <f>IF(U618=0,0,(U617*U618+U619*U620*6)/U618)</f>
        <v>#N/A</v>
      </c>
      <c r="V616" s="362" t="e">
        <f>IF(T616=0,0,(U616-T616)/T616*100)</f>
        <v>#N/A</v>
      </c>
      <c r="W616" s="363" t="e">
        <f>IF(W618=0,0,(W617*W618+W619*W620*6)/W618)</f>
        <v>#N/A</v>
      </c>
      <c r="X616" s="363" t="e">
        <f>IF(X618=0,0,(X617*X618+X619*X620*6)/X618)</f>
        <v>#N/A</v>
      </c>
      <c r="Y616" s="362" t="e">
        <f>IF(W616=0,0,(X616-W616)/W616*100)</f>
        <v>#N/A</v>
      </c>
      <c r="Z616" s="363" t="e">
        <f>IF(Z618=0,0,(Z617*Z618+Z619*Z620*6)/Z618)</f>
        <v>#N/A</v>
      </c>
      <c r="AA616" s="363" t="e">
        <f>IF(AA618=0,0,(AA617*AA618+AA619*AA620*6)/AA618)</f>
        <v>#N/A</v>
      </c>
      <c r="AB616" s="362" t="e">
        <f>IF(Z616=0,0,(AA616-Z616)/Z616*100)</f>
        <v>#N/A</v>
      </c>
      <c r="AC616" s="363" t="e">
        <f>IF(AC618=0,0,(AC617*AC618+AC619*AC620*6)/AC618)</f>
        <v>#N/A</v>
      </c>
      <c r="AD616" s="363" t="e">
        <f>IF(AD618=0,0,(AD617*AD618+AD619*AD620*6)/AD618)</f>
        <v>#N/A</v>
      </c>
      <c r="AE616" s="362" t="e">
        <f>IF(AC616=0,0,(AD616-AC616)/AC616*100)</f>
        <v>#N/A</v>
      </c>
      <c r="AF616" s="363" t="e">
        <f>IF(AF618=0,0,(AF617*AF618+AF619*AF620*6)/AF618)</f>
        <v>#N/A</v>
      </c>
      <c r="AG616" s="363" t="e">
        <f>IF(AG618=0,0,(AG617*AG618+AG619*AG620*6)/AG618)</f>
        <v>#N/A</v>
      </c>
      <c r="AH616" s="362" t="e">
        <f>IF(AF616=0,0,(AG616-AF616)/AF616*100)</f>
        <v>#N/A</v>
      </c>
      <c r="AI616" s="363" t="e">
        <f>IF(AI618=0,0,(AI617*AI618+AI619*AI620*6)/AI618)</f>
        <v>#N/A</v>
      </c>
      <c r="AJ616" s="363" t="e">
        <f>IF(AJ618=0,0,(AJ617*AJ618+AJ619*AJ620*6)/AJ618)</f>
        <v>#N/A</v>
      </c>
      <c r="AK616" s="362" t="e">
        <f>IF(AI616=0,0,(AJ616-AI616)/AI616*100)</f>
        <v>#N/A</v>
      </c>
      <c r="AL616" s="363" t="e">
        <f>IF(AL618=0,0,(AL617*AL618+AL619*AL620*6)/AL618)</f>
        <v>#N/A</v>
      </c>
      <c r="AM616" s="363" t="e">
        <f>IF(AM618=0,0,(AM617*AM618+AM619*AM620*6)/AM618)</f>
        <v>#N/A</v>
      </c>
      <c r="AN616" s="362" t="e">
        <f>IF(AL616=0,0,(AM616-AL616)/AL616*100)</f>
        <v>#N/A</v>
      </c>
      <c r="AO616" s="363" t="e">
        <f>IF(AO618=0,0,(AO617*AO618+AO619*AO620*6)/AO618)</f>
        <v>#N/A</v>
      </c>
      <c r="AP616" s="363" t="e">
        <f>IF(AP618=0,0,(AP617*AP618+AP619*AP620*6)/AP618)</f>
        <v>#N/A</v>
      </c>
      <c r="AQ616" s="362" t="e">
        <f>IF(AO616=0,0,(AP616-AO616)/AO616*100)</f>
        <v>#N/A</v>
      </c>
      <c r="AR616" s="363">
        <f>IF(AR618=0,0,(AR617*AR618+AR619*AR620*6)/AR618)</f>
        <v>0</v>
      </c>
      <c r="AS616" s="363">
        <f>IF(AS618=0,0,(AS617*AS618+AS619*AS620*6)/AS618)</f>
        <v>0</v>
      </c>
      <c r="AT616" s="362">
        <f>IF(AR616=0,0,(AS616-AR616)/AR616*100)</f>
        <v>0</v>
      </c>
      <c r="AU616" s="363">
        <f>IF(AU618=0,0,(AU617*AU618+AU619*AU620*6)/AU618)</f>
        <v>0</v>
      </c>
      <c r="AV616" s="363">
        <f>IF(AV618=0,0,(AV617*AV618+AV619*AV620*6)/AV618)</f>
        <v>0</v>
      </c>
      <c r="AW616" s="362">
        <f>IF(AU616=0,0,(AV616-AU616)/AU616*100)</f>
        <v>0</v>
      </c>
      <c r="AX616" s="363">
        <f>IF(AX618=0,0,(AX617*AX618+AX619*AX620*6)/AX618)</f>
        <v>0</v>
      </c>
      <c r="AY616" s="363">
        <f>IF(AY618=0,0,(AY617*AY618+AY619*AY620*6)/AY618)</f>
        <v>0</v>
      </c>
      <c r="AZ616" s="362">
        <f>IF(AX616=0,0,(AY616-AX616)/AX616*100)</f>
        <v>0</v>
      </c>
      <c r="BA616" s="363">
        <f>IF(BA618=0,0,(BA617*BA618+BA619*BA620*6)/BA618)</f>
        <v>0</v>
      </c>
      <c r="BB616" s="363">
        <f>IF(BB618=0,0,(BB617*BB618+BB619*BB620*6)/BB618)</f>
        <v>0</v>
      </c>
      <c r="BC616" s="362">
        <f>IF(BA616=0,0,(BB616-BA616)/BA616*100)</f>
        <v>0</v>
      </c>
      <c r="BD616" s="363">
        <f>IF(BD618=0,0,(BD617*BD618+BD619*BD620*6)/BD618)</f>
        <v>0</v>
      </c>
      <c r="BE616" s="363">
        <f>IF(BE618=0,0,(BE617*BE618+BE619*BE620*6)/BE618)</f>
        <v>0</v>
      </c>
      <c r="BF616" s="362">
        <f>IF(BD616=0,0,(BE616-BD616)/BD616*100)</f>
        <v>0</v>
      </c>
      <c r="BG616" s="363">
        <f>IF(BG618=0,0,(BG617*BG618+BG619*BG620*6)/BG618)</f>
        <v>0</v>
      </c>
      <c r="BH616" s="363">
        <f>IF(BH618=0,0,(BH617*BH618+BH619*BH620*6)/BH618)</f>
        <v>0</v>
      </c>
      <c r="BI616" s="362">
        <f>IF(BG616=0,0,(BH616-BG616)/BG616*100)</f>
        <v>0</v>
      </c>
      <c r="BJ616" s="363">
        <f>IF(BJ618=0,0,(BJ617*BJ618+BJ619*BJ620*6)/BJ618)</f>
        <v>0</v>
      </c>
      <c r="BK616" s="363">
        <f>IF(BK618=0,0,(BK617*BK618+BK619*BK620*6)/BK618)</f>
        <v>0</v>
      </c>
      <c r="BL616" s="362">
        <f>IF(BJ616=0,0,(BK616-BJ616)/BJ616*100)</f>
        <v>0</v>
      </c>
      <c r="BM616" s="363">
        <f>IF(BM618=0,0,(BM617*BM618+BM619*BM620*6)/BM618)</f>
        <v>0</v>
      </c>
      <c r="BN616" s="363">
        <f>IF(BN618=0,0,(BN617*BN618+BN619*BN620*6)/BN618)</f>
        <v>0</v>
      </c>
      <c r="BO616" s="362">
        <f>IF(BM616=0,0,(BN616-BM616)/BM616*100)</f>
        <v>0</v>
      </c>
      <c r="BP616" s="363">
        <f>IF(BP618=0,0,(BP617*BP618+BP619*BP620*6)/BP618)</f>
        <v>0</v>
      </c>
      <c r="BQ616" s="363">
        <f>IF(BQ618=0,0,(BQ617*BQ618+BQ619*BQ620*6)/BQ618)</f>
        <v>0</v>
      </c>
      <c r="BR616" s="362">
        <f>IF(BP616=0,0,(BQ616-BP616)/BP616*100)</f>
        <v>0</v>
      </c>
      <c r="BS616" s="363">
        <f>IF(BS618=0,0,(BS617*BS618+BS619*BS620*6)/BS618)</f>
        <v>0</v>
      </c>
      <c r="BT616" s="363">
        <f>IF(BT618=0,0,(BT617*BT618+BT619*BT620*6)/BT618)</f>
        <v>0</v>
      </c>
      <c r="BU616" s="362">
        <f>IF(BS616=0,0,(BT616-BS616)/BS616*100)</f>
        <v>0</v>
      </c>
      <c r="BV616" s="363">
        <f>IF(BV618=0,0,(BV617*BV618+BV619*BV620*6)/BV618)</f>
        <v>0</v>
      </c>
      <c r="BW616" s="363">
        <f>IF(BW618=0,0,(BW617*BW618+BW619*BW620*6)/BW618)</f>
        <v>0</v>
      </c>
      <c r="BX616" s="362">
        <f>IF(BV616=0,0,(BW616-BV616)/BV616*100)</f>
        <v>0</v>
      </c>
      <c r="BY616" s="363">
        <f>IF(BY618=0,0,(BY617*BY618+BY619*BY620*6)/BY618)</f>
        <v>0</v>
      </c>
      <c r="BZ616" s="363">
        <f>IF(BZ618=0,0,(BZ617*BZ618+BZ619*BZ620*6)/BZ618)</f>
        <v>0</v>
      </c>
      <c r="CA616" s="362">
        <f>IF(BY616=0,0,(BZ616-BY616)/BY616*100)</f>
        <v>0</v>
      </c>
      <c r="CB616" s="363">
        <f>IF(CB618=0,0,(CB617*CB618+CB619*CB620*6)/CB618)</f>
        <v>0</v>
      </c>
      <c r="CC616" s="363">
        <f>IF(CC618=0,0,(CC617*CC618+CC619*CC620*6)/CC618)</f>
        <v>0</v>
      </c>
      <c r="CD616" s="362">
        <f>IF(CB616=0,0,(CC616-CB616)/CB616*100)</f>
        <v>0</v>
      </c>
      <c r="CE616" s="363">
        <f>IF(CE618=0,0,(CE617*CE618+CE619*CE620*6)/CE618)</f>
        <v>0</v>
      </c>
      <c r="CF616" s="363">
        <f>IF(CF618=0,0,(CF617*CF618+CF619*CF620*6)/CF618)</f>
        <v>0</v>
      </c>
      <c r="CG616" s="362">
        <f>IF(CE616=0,0,(CF616-CE616)/CE616*100)</f>
        <v>0</v>
      </c>
      <c r="CH616" s="363">
        <f>IF(CH618=0,0,(CH617*CH618+CH619*CH620*6)/CH618)</f>
        <v>0</v>
      </c>
      <c r="CI616" s="363">
        <f>IF(CI618=0,0,(CI617*CI618+CI619*CI620*6)/CI618)</f>
        <v>0</v>
      </c>
      <c r="CJ616" s="362">
        <f>IF(CH616=0,0,(CI616-CH616)/CH616*100)</f>
        <v>0</v>
      </c>
      <c r="CK616" s="363">
        <f>IF(CK618=0,0,(CK617*CK618+CK619*CK620*6)/CK618)</f>
        <v>0</v>
      </c>
      <c r="CL616" s="363">
        <f>IF(CL618=0,0,(CL617*CL618+CL619*CL620*6)/CL618)</f>
        <v>0</v>
      </c>
      <c r="CM616" s="362">
        <f>IF(CK616=0,0,(CL616-CK616)/CK616*100)</f>
        <v>0</v>
      </c>
      <c r="CN616" s="363">
        <f>IF(CN618=0,0,(CN617*CN618+CN619*CN620*6)/CN618)</f>
        <v>0</v>
      </c>
      <c r="CO616" s="363">
        <f>IF(CO618=0,0,(CO617*CO618+CO619*CO620*6)/CO618)</f>
        <v>0</v>
      </c>
      <c r="CP616" s="362">
        <f>IF(CN616=0,0,(CO616-CN616)/CN616*100)</f>
        <v>0</v>
      </c>
      <c r="CQ616" s="363">
        <f>IF(CQ618=0,0,(CQ617*CQ618+CQ619*CQ620*6)/CQ618)</f>
        <v>0</v>
      </c>
      <c r="CR616" s="363">
        <f>IF(CR618=0,0,(CR617*CR618+CR619*CR620*6)/CR618)</f>
        <v>0</v>
      </c>
      <c r="CS616" s="362">
        <f>IF(CQ616=0,0,(CR616-CQ616)/CQ616*100)</f>
        <v>0</v>
      </c>
      <c r="CT616" s="363">
        <f>IF(CT618=0,0,(CT617*CT618+CT619*CT620*6)/CT618)</f>
        <v>0</v>
      </c>
      <c r="CU616" s="363">
        <f>IF(CU618=0,0,(CU617*CU618+CU619*CU620*6)/CU618)</f>
        <v>0</v>
      </c>
      <c r="CV616" s="362">
        <f>IF(CT616=0,0,(CU616-CT616)/CT616*100)</f>
        <v>0</v>
      </c>
      <c r="CW616" s="363">
        <f>IF(CW618=0,0,(CW617*CW618+CW619*CW620*6)/CW618)</f>
        <v>0</v>
      </c>
      <c r="CX616" s="363">
        <f>IF(CX618=0,0,(CX617*CX618+CX619*CX620*6)/CX618)</f>
        <v>0</v>
      </c>
      <c r="CY616" s="362">
        <f>IF(CW616=0,0,(CX616-CW616)/CW616*100)</f>
        <v>0</v>
      </c>
      <c r="CZ616" s="363">
        <f>IF(CZ618=0,0,(CZ617*CZ618+CZ619*CZ620*6)/CZ618)</f>
        <v>0</v>
      </c>
      <c r="DA616" s="363">
        <f>IF(DA618=0,0,(DA617*DA618+DA619*DA620*6)/DA618)</f>
        <v>0</v>
      </c>
      <c r="DB616" s="362">
        <f>IF(CZ616=0,0,(DA616-CZ616)/CZ616*100)</f>
        <v>0</v>
      </c>
      <c r="DC616" s="363">
        <f>IF(DC618=0,0,(DC617*DC618+DC619*DC620*6)/DC618)</f>
        <v>0</v>
      </c>
      <c r="DD616" s="363">
        <f>IF(DD618=0,0,(DD617*DD618+DD619*DD620*6)/DD618)</f>
        <v>0</v>
      </c>
      <c r="DE616" s="362">
        <f>IF(DC616=0,0,(DD616-DC616)/DC616*100)</f>
        <v>0</v>
      </c>
      <c r="DF616" s="363">
        <f>IF(DF618=0,0,(DF617*DF618+DF619*DF620*6)/DF618)</f>
        <v>0</v>
      </c>
      <c r="DG616" s="363">
        <f>IF(DG618=0,0,(DG617*DG618+DG619*DG620*6)/DG618)</f>
        <v>0</v>
      </c>
      <c r="DH616" s="362">
        <f>IF(DF616=0,0,(DG616-DF616)/DF616*100)</f>
        <v>0</v>
      </c>
      <c r="DI616" s="363">
        <f>IF(DI618=0,0,(DI617*DI618+DI619*DI620*6)/DI618)</f>
        <v>0</v>
      </c>
      <c r="DJ616" s="363">
        <f>IF(DJ618=0,0,(DJ617*DJ618+DJ619*DJ620*6)/DJ618)</f>
        <v>0</v>
      </c>
      <c r="DK616" s="362">
        <f>IF(DI616=0,0,(DJ616-DI616)/DI616*100)</f>
        <v>0</v>
      </c>
      <c r="DL616" s="363">
        <f>IF(DL618=0,0,(DL617*DL618+DL619*DL620*6)/DL618)</f>
        <v>0</v>
      </c>
      <c r="DM616" s="363">
        <f>IF(DM618=0,0,(DM617*DM618+DM619*DM620*6)/DM618)</f>
        <v>0</v>
      </c>
      <c r="DN616" s="362">
        <f>IF(DL616=0,0,(DM616-DL616)/DL616*100)</f>
        <v>0</v>
      </c>
      <c r="DO616" s="363">
        <f>IF(DO618=0,0,(DO617*DO618+DO619*DO620*6)/DO618)</f>
        <v>0</v>
      </c>
      <c r="DP616" s="363">
        <f>IF(DP618=0,0,(DP617*DP618+DP619*DP620*6)/DP618)</f>
        <v>0</v>
      </c>
      <c r="DQ616" s="362">
        <f>IF(DO616=0,0,(DP616-DO616)/DO616*100)</f>
        <v>0</v>
      </c>
      <c r="DR616" s="363">
        <f>IF(DR618=0,0,(DR617*DR618+DR619*DR620*6)/DR618)</f>
        <v>0</v>
      </c>
      <c r="DS616" s="363">
        <f>IF(DS618=0,0,(DS617*DS618+DS619*DS620*6)/DS618)</f>
        <v>0</v>
      </c>
      <c r="DT616" s="362">
        <f>IF(DR616=0,0,(DS616-DR616)/DR616*100)</f>
        <v>0</v>
      </c>
      <c r="DU616" s="363">
        <f>IF(DU618=0,0,(DU617*DU618+DU619*DU620*6)/DU618)</f>
        <v>0</v>
      </c>
      <c r="DV616" s="363">
        <f>IF(DV618=0,0,(DV617*DV618+DV619*DV620*6)/DV618)</f>
        <v>0</v>
      </c>
      <c r="DW616" s="362">
        <f>IF(DU616=0,0,(DV616-DU616)/DU616*100)</f>
        <v>0</v>
      </c>
      <c r="DX616" s="363">
        <f>IF(DX618=0,0,(DX617*DX618+DX619*DX620*6)/DX618)</f>
        <v>0</v>
      </c>
      <c r="DY616" s="363">
        <f>IF(DY618=0,0,(DY617*DY618+DY619*DY620*6)/DY618)</f>
        <v>0</v>
      </c>
      <c r="DZ616" s="362">
        <f>IF(DX616=0,0,(DY616-DX616)/DX616*100)</f>
        <v>0</v>
      </c>
      <c r="EA616" s="363">
        <f>IF(EA618=0,0,(EA617*EA618+EA619*EA620*6)/EA618)</f>
        <v>0</v>
      </c>
      <c r="EB616" s="363">
        <f>IF(EB618=0,0,(EB617*EB618+EB619*EB620*6)/EB618)</f>
        <v>0</v>
      </c>
      <c r="EC616" s="362">
        <f>IF(EA616=0,0,(EB616-EA616)/EA616*100)</f>
        <v>0</v>
      </c>
      <c r="ED616" s="363">
        <f>IF(ED618=0,0,(ED617*ED618+ED619*ED620*6)/ED618)</f>
        <v>0</v>
      </c>
      <c r="EE616" s="363">
        <f>IF(EE618=0,0,(EE617*EE618+EE619*EE620*6)/EE618)</f>
        <v>0</v>
      </c>
      <c r="EF616" s="362">
        <f>IF(ED616=0,0,(EE616-ED616)/ED616*100)</f>
        <v>0</v>
      </c>
      <c r="EG616" s="363">
        <f>IF(EG618=0,0,(EG617*EG618+EG619*EG620*6)/EG618)</f>
        <v>0</v>
      </c>
      <c r="EH616" s="363">
        <f>IF(EH618=0,0,(EH617*EH618+EH619*EH620*6)/EH618)</f>
        <v>0</v>
      </c>
      <c r="EI616" s="362">
        <f>IF(EG616=0,0,(EH616-EG616)/EG616*100)</f>
        <v>0</v>
      </c>
      <c r="EJ616" s="363">
        <f>IF(EJ618=0,0,(EJ617*EJ618+EJ619*EJ620*6)/EJ618)</f>
        <v>0</v>
      </c>
      <c r="EK616" s="363">
        <f>IF(EK618=0,0,(EK617*EK618+EK619*EK620*6)/EK618)</f>
        <v>0</v>
      </c>
      <c r="EL616" s="362">
        <f>IF(EJ616=0,0,(EK616-EJ616)/EJ616*100)</f>
        <v>0</v>
      </c>
      <c r="EM616" s="363">
        <f>IF(EM618=0,0,(EM617*EM618+EM619*EM620*6)/EM618)</f>
        <v>0</v>
      </c>
      <c r="EN616" s="363">
        <f>IF(EN618=0,0,(EN617*EN618+EN619*EN620*6)/EN618)</f>
        <v>0</v>
      </c>
      <c r="EO616" s="362">
        <f>IF(EM616=0,0,(EN616-EM616)/EM616*100)</f>
        <v>0</v>
      </c>
      <c r="EP616" s="363">
        <f>IF(EP618=0,0,(EP617*EP618+EP619*EP620*6)/EP618)</f>
        <v>0</v>
      </c>
      <c r="EQ616" s="363">
        <f>IF(EQ618=0,0,(EQ617*EQ618+EQ619*EQ620*6)/EQ618)</f>
        <v>0</v>
      </c>
      <c r="ER616" s="362">
        <f>IF(EP616=0,0,(EQ616-EP616)/EP616*100)</f>
        <v>0</v>
      </c>
      <c r="ES616" s="363">
        <f>IF(ES618=0,0,(ES617*ES618+ES619*ES620*6)/ES618)</f>
        <v>0</v>
      </c>
      <c r="ET616" s="363">
        <f>IF(ET618=0,0,(ET617*ET618+ET619*ET620*6)/ET618)</f>
        <v>0</v>
      </c>
      <c r="EU616" s="362">
        <f>IF(ES616=0,0,(ET616-ES616)/ES616*100)</f>
        <v>0</v>
      </c>
      <c r="EV616" s="363">
        <f>IF(EV618=0,0,(EV617*EV618+EV619*EV620*6)/EV618)</f>
        <v>0</v>
      </c>
      <c r="EW616" s="363">
        <f>IF(EW618=0,0,(EW617*EW618+EW619*EW620*6)/EW618)</f>
        <v>0</v>
      </c>
      <c r="EX616" s="362">
        <f>IF(EV616=0,0,(EW616-EV616)/EV616*100)</f>
        <v>0</v>
      </c>
      <c r="EY616" s="363">
        <f>IF(EY618=0,0,(EY617*EY618+EY619*EY620*6)/EY618)</f>
        <v>0</v>
      </c>
      <c r="EZ616" s="363">
        <f>IF(EZ618=0,0,(EZ617*EZ618+EZ619*EZ620*6)/EZ618)</f>
        <v>0</v>
      </c>
      <c r="FA616" s="362">
        <f>IF(EY616=0,0,(EZ616-EY616)/EY616*100)</f>
        <v>0</v>
      </c>
      <c r="FB616" s="363">
        <f>IF(FB618=0,0,(FB617*FB618+FB619*FB620*6)/FB618)</f>
        <v>0</v>
      </c>
      <c r="FC616" s="363">
        <f>IF(FC618=0,0,(FC617*FC618+FC619*FC620*6)/FC618)</f>
        <v>0</v>
      </c>
      <c r="FD616" s="362">
        <f>IF(FB616=0,0,(FC616-FB616)/FB616*100)</f>
        <v>0</v>
      </c>
      <c r="FE616" s="363">
        <f>IF(FE618=0,0,(FE617*FE618+FE619*FE620*6)/FE618)</f>
        <v>0</v>
      </c>
      <c r="FF616" s="363">
        <f>IF(FF618=0,0,(FF617*FF618+FF619*FF620*6)/FF618)</f>
        <v>0</v>
      </c>
      <c r="FG616" s="362">
        <f>IF(FE616=0,0,(FF616-FE616)/FE616*100)</f>
        <v>0</v>
      </c>
    </row>
    <row r="617" spans="1:163" s="295" customFormat="1" ht="15" customHeight="1" outlineLevel="1">
      <c r="A617" s="295" t="str">
        <f t="shared" si="126"/>
        <v>1</v>
      </c>
      <c r="C617" s="598" t="s">
        <v>1605</v>
      </c>
      <c r="D617" s="598" t="s">
        <v>1722</v>
      </c>
      <c r="G617" s="295" t="b">
        <f>F582="двухставочный"</f>
        <v>0</v>
      </c>
      <c r="L617" s="369" t="s">
        <v>665</v>
      </c>
      <c r="M617" s="360" t="s">
        <v>652</v>
      </c>
      <c r="N617" s="363"/>
      <c r="O617" s="363"/>
      <c r="P617" s="362">
        <f>IF(N617=0,0,(O617-N617)/N617*100)</f>
        <v>0</v>
      </c>
      <c r="Q617" s="363"/>
      <c r="R617" s="363"/>
      <c r="S617" s="362">
        <f>IF(Q617=0,0,(R617-Q617)/Q617*100)</f>
        <v>0</v>
      </c>
      <c r="T617" s="363"/>
      <c r="U617" s="363"/>
      <c r="V617" s="362">
        <f>IF(T617=0,0,(U617-T617)/T617*100)</f>
        <v>0</v>
      </c>
      <c r="W617" s="363"/>
      <c r="X617" s="363"/>
      <c r="Y617" s="362">
        <f>IF(W617=0,0,(X617-W617)/W617*100)</f>
        <v>0</v>
      </c>
      <c r="Z617" s="363"/>
      <c r="AA617" s="363"/>
      <c r="AB617" s="362">
        <f>IF(Z617=0,0,(AA617-Z617)/Z617*100)</f>
        <v>0</v>
      </c>
      <c r="AC617" s="363"/>
      <c r="AD617" s="363"/>
      <c r="AE617" s="362">
        <f>IF(AC617=0,0,(AD617-AC617)/AC617*100)</f>
        <v>0</v>
      </c>
      <c r="AF617" s="363"/>
      <c r="AG617" s="363"/>
      <c r="AH617" s="362">
        <f>IF(AF617=0,0,(AG617-AF617)/AF617*100)</f>
        <v>0</v>
      </c>
      <c r="AI617" s="363"/>
      <c r="AJ617" s="363"/>
      <c r="AK617" s="362">
        <f>IF(AI617=0,0,(AJ617-AI617)/AI617*100)</f>
        <v>0</v>
      </c>
      <c r="AL617" s="363"/>
      <c r="AM617" s="363"/>
      <c r="AN617" s="362">
        <f>IF(AL617=0,0,(AM617-AL617)/AL617*100)</f>
        <v>0</v>
      </c>
      <c r="AO617" s="363"/>
      <c r="AP617" s="363"/>
      <c r="AQ617" s="362">
        <f>IF(AO617=0,0,(AP617-AO617)/AO617*100)</f>
        <v>0</v>
      </c>
      <c r="AR617" s="363"/>
      <c r="AS617" s="363"/>
      <c r="AT617" s="362">
        <f>IF(AR617=0,0,(AS617-AR617)/AR617*100)</f>
        <v>0</v>
      </c>
      <c r="AU617" s="363"/>
      <c r="AV617" s="363"/>
      <c r="AW617" s="362">
        <f>IF(AU617=0,0,(AV617-AU617)/AU617*100)</f>
        <v>0</v>
      </c>
      <c r="AX617" s="363"/>
      <c r="AY617" s="363"/>
      <c r="AZ617" s="362">
        <f>IF(AX617=0,0,(AY617-AX617)/AX617*100)</f>
        <v>0</v>
      </c>
      <c r="BA617" s="363"/>
      <c r="BB617" s="363"/>
      <c r="BC617" s="362">
        <f>IF(BA617=0,0,(BB617-BA617)/BA617*100)</f>
        <v>0</v>
      </c>
      <c r="BD617" s="363"/>
      <c r="BE617" s="363"/>
      <c r="BF617" s="362">
        <f>IF(BD617=0,0,(BE617-BD617)/BD617*100)</f>
        <v>0</v>
      </c>
      <c r="BG617" s="363"/>
      <c r="BH617" s="363"/>
      <c r="BI617" s="362">
        <f>IF(BG617=0,0,(BH617-BG617)/BG617*100)</f>
        <v>0</v>
      </c>
      <c r="BJ617" s="363"/>
      <c r="BK617" s="363"/>
      <c r="BL617" s="362">
        <f>IF(BJ617=0,0,(BK617-BJ617)/BJ617*100)</f>
        <v>0</v>
      </c>
      <c r="BM617" s="363"/>
      <c r="BN617" s="363"/>
      <c r="BO617" s="362">
        <f>IF(BM617=0,0,(BN617-BM617)/BM617*100)</f>
        <v>0</v>
      </c>
      <c r="BP617" s="363"/>
      <c r="BQ617" s="363"/>
      <c r="BR617" s="362">
        <f>IF(BP617=0,0,(BQ617-BP617)/BP617*100)</f>
        <v>0</v>
      </c>
      <c r="BS617" s="363"/>
      <c r="BT617" s="363"/>
      <c r="BU617" s="362">
        <f>IF(BS617=0,0,(BT617-BS617)/BS617*100)</f>
        <v>0</v>
      </c>
      <c r="BV617" s="363"/>
      <c r="BW617" s="363"/>
      <c r="BX617" s="362">
        <f>IF(BV617=0,0,(BW617-BV617)/BV617*100)</f>
        <v>0</v>
      </c>
      <c r="BY617" s="363"/>
      <c r="BZ617" s="363"/>
      <c r="CA617" s="362">
        <f>IF(BY617=0,0,(BZ617-BY617)/BY617*100)</f>
        <v>0</v>
      </c>
      <c r="CB617" s="363"/>
      <c r="CC617" s="363"/>
      <c r="CD617" s="362">
        <f>IF(CB617=0,0,(CC617-CB617)/CB617*100)</f>
        <v>0</v>
      </c>
      <c r="CE617" s="363"/>
      <c r="CF617" s="363"/>
      <c r="CG617" s="362">
        <f>IF(CE617=0,0,(CF617-CE617)/CE617*100)</f>
        <v>0</v>
      </c>
      <c r="CH617" s="363"/>
      <c r="CI617" s="363"/>
      <c r="CJ617" s="362">
        <f>IF(CH617=0,0,(CI617-CH617)/CH617*100)</f>
        <v>0</v>
      </c>
      <c r="CK617" s="363"/>
      <c r="CL617" s="363"/>
      <c r="CM617" s="362">
        <f>IF(CK617=0,0,(CL617-CK617)/CK617*100)</f>
        <v>0</v>
      </c>
      <c r="CN617" s="363"/>
      <c r="CO617" s="363"/>
      <c r="CP617" s="362">
        <f>IF(CN617=0,0,(CO617-CN617)/CN617*100)</f>
        <v>0</v>
      </c>
      <c r="CQ617" s="363"/>
      <c r="CR617" s="363"/>
      <c r="CS617" s="362">
        <f>IF(CQ617=0,0,(CR617-CQ617)/CQ617*100)</f>
        <v>0</v>
      </c>
      <c r="CT617" s="363"/>
      <c r="CU617" s="363"/>
      <c r="CV617" s="362">
        <f>IF(CT617=0,0,(CU617-CT617)/CT617*100)</f>
        <v>0</v>
      </c>
      <c r="CW617" s="363"/>
      <c r="CX617" s="363"/>
      <c r="CY617" s="362">
        <f>IF(CW617=0,0,(CX617-CW617)/CW617*100)</f>
        <v>0</v>
      </c>
      <c r="CZ617" s="363"/>
      <c r="DA617" s="363"/>
      <c r="DB617" s="362">
        <f>IF(CZ617=0,0,(DA617-CZ617)/CZ617*100)</f>
        <v>0</v>
      </c>
      <c r="DC617" s="363"/>
      <c r="DD617" s="363"/>
      <c r="DE617" s="362">
        <f>IF(DC617=0,0,(DD617-DC617)/DC617*100)</f>
        <v>0</v>
      </c>
      <c r="DF617" s="363"/>
      <c r="DG617" s="363"/>
      <c r="DH617" s="362">
        <f>IF(DF617=0,0,(DG617-DF617)/DF617*100)</f>
        <v>0</v>
      </c>
      <c r="DI617" s="363"/>
      <c r="DJ617" s="363"/>
      <c r="DK617" s="362">
        <f>IF(DI617=0,0,(DJ617-DI617)/DI617*100)</f>
        <v>0</v>
      </c>
      <c r="DL617" s="363"/>
      <c r="DM617" s="363"/>
      <c r="DN617" s="362">
        <f>IF(DL617=0,0,(DM617-DL617)/DL617*100)</f>
        <v>0</v>
      </c>
      <c r="DO617" s="363"/>
      <c r="DP617" s="363"/>
      <c r="DQ617" s="362">
        <f>IF(DO617=0,0,(DP617-DO617)/DO617*100)</f>
        <v>0</v>
      </c>
      <c r="DR617" s="363"/>
      <c r="DS617" s="363"/>
      <c r="DT617" s="362">
        <f>IF(DR617=0,0,(DS617-DR617)/DR617*100)</f>
        <v>0</v>
      </c>
      <c r="DU617" s="363"/>
      <c r="DV617" s="363"/>
      <c r="DW617" s="362">
        <f>IF(DU617=0,0,(DV617-DU617)/DU617*100)</f>
        <v>0</v>
      </c>
      <c r="DX617" s="363"/>
      <c r="DY617" s="363"/>
      <c r="DZ617" s="362">
        <f>IF(DX617=0,0,(DY617-DX617)/DX617*100)</f>
        <v>0</v>
      </c>
      <c r="EA617" s="363"/>
      <c r="EB617" s="363"/>
      <c r="EC617" s="362">
        <f>IF(EA617=0,0,(EB617-EA617)/EA617*100)</f>
        <v>0</v>
      </c>
      <c r="ED617" s="363"/>
      <c r="EE617" s="363"/>
      <c r="EF617" s="362">
        <f>IF(ED617=0,0,(EE617-ED617)/ED617*100)</f>
        <v>0</v>
      </c>
      <c r="EG617" s="363"/>
      <c r="EH617" s="363"/>
      <c r="EI617" s="362">
        <f>IF(EG617=0,0,(EH617-EG617)/EG617*100)</f>
        <v>0</v>
      </c>
      <c r="EJ617" s="363"/>
      <c r="EK617" s="363"/>
      <c r="EL617" s="362">
        <f>IF(EJ617=0,0,(EK617-EJ617)/EJ617*100)</f>
        <v>0</v>
      </c>
      <c r="EM617" s="363"/>
      <c r="EN617" s="363"/>
      <c r="EO617" s="362">
        <f>IF(EM617=0,0,(EN617-EM617)/EM617*100)</f>
        <v>0</v>
      </c>
      <c r="EP617" s="363"/>
      <c r="EQ617" s="363"/>
      <c r="ER617" s="362">
        <f>IF(EP617=0,0,(EQ617-EP617)/EP617*100)</f>
        <v>0</v>
      </c>
      <c r="ES617" s="363"/>
      <c r="ET617" s="363"/>
      <c r="EU617" s="362">
        <f>IF(ES617=0,0,(ET617-ES617)/ES617*100)</f>
        <v>0</v>
      </c>
      <c r="EV617" s="363"/>
      <c r="EW617" s="363"/>
      <c r="EX617" s="362">
        <f>IF(EV617=0,0,(EW617-EV617)/EV617*100)</f>
        <v>0</v>
      </c>
      <c r="EY617" s="363"/>
      <c r="EZ617" s="363"/>
      <c r="FA617" s="362">
        <f>IF(EY617=0,0,(EZ617-EY617)/EY617*100)</f>
        <v>0</v>
      </c>
      <c r="FB617" s="363"/>
      <c r="FC617" s="363"/>
      <c r="FD617" s="362">
        <f>IF(FB617=0,0,(FC617-FB617)/FB617*100)</f>
        <v>0</v>
      </c>
      <c r="FE617" s="363"/>
      <c r="FF617" s="363"/>
      <c r="FG617" s="362">
        <f>IF(FE617=0,0,(FF617-FE617)/FE617*100)</f>
        <v>0</v>
      </c>
    </row>
    <row r="618" spans="1:163" s="295" customFormat="1" ht="15" customHeight="1" outlineLevel="1">
      <c r="A618" s="295" t="str">
        <f t="shared" si="126"/>
        <v>1</v>
      </c>
      <c r="B618" s="104" t="s">
        <v>1175</v>
      </c>
      <c r="C618" s="598" t="s">
        <v>1660</v>
      </c>
      <c r="D618" s="598" t="s">
        <v>1722</v>
      </c>
      <c r="G618" s="295" t="b">
        <f>F582="двухставочный"</f>
        <v>0</v>
      </c>
      <c r="L618" s="369" t="s">
        <v>666</v>
      </c>
      <c r="M618" s="360" t="s">
        <v>310</v>
      </c>
      <c r="N618" s="565" t="e">
        <f>SUMIFS(INDEX(Калькуляция!$T$15:$AM$141,,MATCH(N$3,Калькуляция!$T$3:$AM$3,0)),Калькуляция!$A$15:$A$141,$A618,Калькуляция!$B$15:$B$141,$B618)</f>
        <v>#N/A</v>
      </c>
      <c r="O618" s="565" t="e">
        <f>SUMIFS(INDEX(Калькуляция!$T$15:$AM$141,,MATCH(O$3,Калькуляция!$T$3:$AM$3,0)),Калькуляция!$A$15:$A$141,$A618,Калькуляция!$B$15:$B$141,$B618)</f>
        <v>#N/A</v>
      </c>
      <c r="P618" s="478" t="e">
        <f>IF(N618=0,0,(O618-N618)/N618*100)</f>
        <v>#N/A</v>
      </c>
      <c r="Q618" s="565" t="e">
        <f>SUMIFS(INDEX(Калькуляция!$T$15:$AM$141,,MATCH(Q$3,Калькуляция!$T$3:$AM$3,0)),Калькуляция!$A$15:$A$141,$A618,Калькуляция!$B$15:$B$141,$B618)</f>
        <v>#N/A</v>
      </c>
      <c r="R618" s="565" t="e">
        <f>SUMIFS(INDEX(Калькуляция!$T$15:$AM$141,,MATCH(R$3,Калькуляция!$T$3:$AM$3,0)),Калькуляция!$A$15:$A$141,$A618,Калькуляция!$B$15:$B$141,$B618)</f>
        <v>#N/A</v>
      </c>
      <c r="S618" s="478" t="e">
        <f>IF(Q618=0,0,(R618-Q618)/Q618*100)</f>
        <v>#N/A</v>
      </c>
      <c r="T618" s="565" t="e">
        <f>SUMIFS(INDEX(Калькуляция!$T$15:$AM$141,,MATCH(T$3,Калькуляция!$T$3:$AM$3,0)),Калькуляция!$A$15:$A$141,$A618,Калькуляция!$B$15:$B$141,$B618)</f>
        <v>#N/A</v>
      </c>
      <c r="U618" s="565" t="e">
        <f>SUMIFS(INDEX(Калькуляция!$T$15:$AM$141,,MATCH(U$3,Калькуляция!$T$3:$AM$3,0)),Калькуляция!$A$15:$A$141,$A618,Калькуляция!$B$15:$B$141,$B618)</f>
        <v>#N/A</v>
      </c>
      <c r="V618" s="478" t="e">
        <f>IF(T618=0,0,(U618-T618)/T618*100)</f>
        <v>#N/A</v>
      </c>
      <c r="W618" s="565" t="e">
        <f>SUMIFS(INDEX(Калькуляция!$T$15:$AM$141,,MATCH(W$3,Калькуляция!$T$3:$AM$3,0)),Калькуляция!$A$15:$A$141,$A618,Калькуляция!$B$15:$B$141,$B618)</f>
        <v>#N/A</v>
      </c>
      <c r="X618" s="565" t="e">
        <f>SUMIFS(INDEX(Калькуляция!$T$15:$AM$141,,MATCH(X$3,Калькуляция!$T$3:$AM$3,0)),Калькуляция!$A$15:$A$141,$A618,Калькуляция!$B$15:$B$141,$B618)</f>
        <v>#N/A</v>
      </c>
      <c r="Y618" s="478" t="e">
        <f>IF(W618=0,0,(X618-W618)/W618*100)</f>
        <v>#N/A</v>
      </c>
      <c r="Z618" s="565" t="e">
        <f>SUMIFS(INDEX(Калькуляция!$T$15:$AM$141,,MATCH(Z$3,Калькуляция!$T$3:$AM$3,0)),Калькуляция!$A$15:$A$141,$A618,Калькуляция!$B$15:$B$141,$B618)</f>
        <v>#N/A</v>
      </c>
      <c r="AA618" s="565" t="e">
        <f>SUMIFS(INDEX(Калькуляция!$T$15:$AM$141,,MATCH(AA$3,Калькуляция!$T$3:$AM$3,0)),Калькуляция!$A$15:$A$141,$A618,Калькуляция!$B$15:$B$141,$B618)</f>
        <v>#N/A</v>
      </c>
      <c r="AB618" s="478" t="e">
        <f>IF(Z618=0,0,(AA618-Z618)/Z618*100)</f>
        <v>#N/A</v>
      </c>
      <c r="AC618" s="565" t="e">
        <f>SUMIFS(INDEX(Калькуляция!$T$15:$AM$141,,MATCH(AC$3,Калькуляция!$T$3:$AM$3,0)),Калькуляция!$A$15:$A$141,$A618,Калькуляция!$B$15:$B$141,$B618)</f>
        <v>#N/A</v>
      </c>
      <c r="AD618" s="565" t="e">
        <f>SUMIFS(INDEX(Калькуляция!$T$15:$AM$141,,MATCH(AD$3,Калькуляция!$T$3:$AM$3,0)),Калькуляция!$A$15:$A$141,$A618,Калькуляция!$B$15:$B$141,$B618)</f>
        <v>#N/A</v>
      </c>
      <c r="AE618" s="478" t="e">
        <f>IF(AC618=0,0,(AD618-AC618)/AC618*100)</f>
        <v>#N/A</v>
      </c>
      <c r="AF618" s="565" t="e">
        <f>SUMIFS(INDEX(Калькуляция!$T$15:$AM$141,,MATCH(AF$3,Калькуляция!$T$3:$AM$3,0)),Калькуляция!$A$15:$A$141,$A618,Калькуляция!$B$15:$B$141,$B618)</f>
        <v>#N/A</v>
      </c>
      <c r="AG618" s="565" t="e">
        <f>SUMIFS(INDEX(Калькуляция!$T$15:$AM$141,,MATCH(AG$3,Калькуляция!$T$3:$AM$3,0)),Калькуляция!$A$15:$A$141,$A618,Калькуляция!$B$15:$B$141,$B618)</f>
        <v>#N/A</v>
      </c>
      <c r="AH618" s="478" t="e">
        <f>IF(AF618=0,0,(AG618-AF618)/AF618*100)</f>
        <v>#N/A</v>
      </c>
      <c r="AI618" s="565" t="e">
        <f>SUMIFS(INDEX(Калькуляция!$T$15:$AM$141,,MATCH(AI$3,Калькуляция!$T$3:$AM$3,0)),Калькуляция!$A$15:$A$141,$A618,Калькуляция!$B$15:$B$141,$B618)</f>
        <v>#N/A</v>
      </c>
      <c r="AJ618" s="565" t="e">
        <f>SUMIFS(INDEX(Калькуляция!$T$15:$AM$141,,MATCH(AJ$3,Калькуляция!$T$3:$AM$3,0)),Калькуляция!$A$15:$A$141,$A618,Калькуляция!$B$15:$B$141,$B618)</f>
        <v>#N/A</v>
      </c>
      <c r="AK618" s="478" t="e">
        <f>IF(AI618=0,0,(AJ618-AI618)/AI618*100)</f>
        <v>#N/A</v>
      </c>
      <c r="AL618" s="565" t="e">
        <f>SUMIFS(INDEX(Калькуляция!$T$15:$AM$141,,MATCH(AL$3,Калькуляция!$T$3:$AM$3,0)),Калькуляция!$A$15:$A$141,$A618,Калькуляция!$B$15:$B$141,$B618)</f>
        <v>#N/A</v>
      </c>
      <c r="AM618" s="565" t="e">
        <f>SUMIFS(INDEX(Калькуляция!$T$15:$AM$141,,MATCH(AM$3,Калькуляция!$T$3:$AM$3,0)),Калькуляция!$A$15:$A$141,$A618,Калькуляция!$B$15:$B$141,$B618)</f>
        <v>#N/A</v>
      </c>
      <c r="AN618" s="478" t="e">
        <f>IF(AL618=0,0,(AM618-AL618)/AL618*100)</f>
        <v>#N/A</v>
      </c>
      <c r="AO618" s="565" t="e">
        <f>SUMIFS(INDEX(Калькуляция!$T$15:$AM$141,,MATCH(AO$3,Калькуляция!$T$3:$AM$3,0)),Калькуляция!$A$15:$A$141,$A618,Калькуляция!$B$15:$B$141,$B618)</f>
        <v>#N/A</v>
      </c>
      <c r="AP618" s="565" t="e">
        <f>SUMIFS(INDEX(Калькуляция!$T$15:$AM$141,,MATCH(AP$3,Калькуляция!$T$3:$AM$3,0)),Калькуляция!$A$15:$A$141,$A618,Калькуляция!$B$15:$B$141,$B618)</f>
        <v>#N/A</v>
      </c>
      <c r="AQ618" s="478" t="e">
        <f>IF(AO618=0,0,(AP618-AO618)/AO618*100)</f>
        <v>#N/A</v>
      </c>
      <c r="AR618" s="565"/>
      <c r="AS618" s="565"/>
      <c r="AT618" s="478">
        <f>IF(AR618=0,0,(AS618-AR618)/AR618*100)</f>
        <v>0</v>
      </c>
      <c r="AU618" s="565"/>
      <c r="AV618" s="565"/>
      <c r="AW618" s="478">
        <f>IF(AU618=0,0,(AV618-AU618)/AU618*100)</f>
        <v>0</v>
      </c>
      <c r="AX618" s="565"/>
      <c r="AY618" s="565"/>
      <c r="AZ618" s="478">
        <f>IF(AX618=0,0,(AY618-AX618)/AX618*100)</f>
        <v>0</v>
      </c>
      <c r="BA618" s="565"/>
      <c r="BB618" s="565"/>
      <c r="BC618" s="478">
        <f>IF(BA618=0,0,(BB618-BA618)/BA618*100)</f>
        <v>0</v>
      </c>
      <c r="BD618" s="565"/>
      <c r="BE618" s="565"/>
      <c r="BF618" s="478">
        <f>IF(BD618=0,0,(BE618-BD618)/BD618*100)</f>
        <v>0</v>
      </c>
      <c r="BG618" s="565"/>
      <c r="BH618" s="565"/>
      <c r="BI618" s="478">
        <f>IF(BG618=0,0,(BH618-BG618)/BG618*100)</f>
        <v>0</v>
      </c>
      <c r="BJ618" s="565"/>
      <c r="BK618" s="565"/>
      <c r="BL618" s="478">
        <f>IF(BJ618=0,0,(BK618-BJ618)/BJ618*100)</f>
        <v>0</v>
      </c>
      <c r="BM618" s="565"/>
      <c r="BN618" s="565"/>
      <c r="BO618" s="478">
        <f>IF(BM618=0,0,(BN618-BM618)/BM618*100)</f>
        <v>0</v>
      </c>
      <c r="BP618" s="565"/>
      <c r="BQ618" s="565"/>
      <c r="BR618" s="478">
        <f>IF(BP618=0,0,(BQ618-BP618)/BP618*100)</f>
        <v>0</v>
      </c>
      <c r="BS618" s="565"/>
      <c r="BT618" s="565"/>
      <c r="BU618" s="478">
        <f>IF(BS618=0,0,(BT618-BS618)/BS618*100)</f>
        <v>0</v>
      </c>
      <c r="BV618" s="565"/>
      <c r="BW618" s="565"/>
      <c r="BX618" s="478">
        <f>IF(BV618=0,0,(BW618-BV618)/BV618*100)</f>
        <v>0</v>
      </c>
      <c r="BY618" s="565"/>
      <c r="BZ618" s="565"/>
      <c r="CA618" s="478">
        <f>IF(BY618=0,0,(BZ618-BY618)/BY618*100)</f>
        <v>0</v>
      </c>
      <c r="CB618" s="565"/>
      <c r="CC618" s="565"/>
      <c r="CD618" s="478">
        <f>IF(CB618=0,0,(CC618-CB618)/CB618*100)</f>
        <v>0</v>
      </c>
      <c r="CE618" s="565"/>
      <c r="CF618" s="565"/>
      <c r="CG618" s="478">
        <f>IF(CE618=0,0,(CF618-CE618)/CE618*100)</f>
        <v>0</v>
      </c>
      <c r="CH618" s="565"/>
      <c r="CI618" s="565"/>
      <c r="CJ618" s="478">
        <f>IF(CH618=0,0,(CI618-CH618)/CH618*100)</f>
        <v>0</v>
      </c>
      <c r="CK618" s="565"/>
      <c r="CL618" s="565"/>
      <c r="CM618" s="478">
        <f>IF(CK618=0,0,(CL618-CK618)/CK618*100)</f>
        <v>0</v>
      </c>
      <c r="CN618" s="565"/>
      <c r="CO618" s="565"/>
      <c r="CP618" s="478">
        <f>IF(CN618=0,0,(CO618-CN618)/CN618*100)</f>
        <v>0</v>
      </c>
      <c r="CQ618" s="565"/>
      <c r="CR618" s="565"/>
      <c r="CS618" s="478">
        <f>IF(CQ618=0,0,(CR618-CQ618)/CQ618*100)</f>
        <v>0</v>
      </c>
      <c r="CT618" s="565"/>
      <c r="CU618" s="565"/>
      <c r="CV618" s="478">
        <f>IF(CT618=0,0,(CU618-CT618)/CT618*100)</f>
        <v>0</v>
      </c>
      <c r="CW618" s="565"/>
      <c r="CX618" s="565"/>
      <c r="CY618" s="478">
        <f>IF(CW618=0,0,(CX618-CW618)/CW618*100)</f>
        <v>0</v>
      </c>
      <c r="CZ618" s="565"/>
      <c r="DA618" s="565"/>
      <c r="DB618" s="478">
        <f>IF(CZ618=0,0,(DA618-CZ618)/CZ618*100)</f>
        <v>0</v>
      </c>
      <c r="DC618" s="565"/>
      <c r="DD618" s="565"/>
      <c r="DE618" s="478">
        <f>IF(DC618=0,0,(DD618-DC618)/DC618*100)</f>
        <v>0</v>
      </c>
      <c r="DF618" s="565"/>
      <c r="DG618" s="565"/>
      <c r="DH618" s="478">
        <f>IF(DF618=0,0,(DG618-DF618)/DF618*100)</f>
        <v>0</v>
      </c>
      <c r="DI618" s="565"/>
      <c r="DJ618" s="565"/>
      <c r="DK618" s="478">
        <f>IF(DI618=0,0,(DJ618-DI618)/DI618*100)</f>
        <v>0</v>
      </c>
      <c r="DL618" s="565"/>
      <c r="DM618" s="565"/>
      <c r="DN618" s="478">
        <f>IF(DL618=0,0,(DM618-DL618)/DL618*100)</f>
        <v>0</v>
      </c>
      <c r="DO618" s="565"/>
      <c r="DP618" s="565"/>
      <c r="DQ618" s="478">
        <f>IF(DO618=0,0,(DP618-DO618)/DO618*100)</f>
        <v>0</v>
      </c>
      <c r="DR618" s="565"/>
      <c r="DS618" s="565"/>
      <c r="DT618" s="478">
        <f>IF(DR618=0,0,(DS618-DR618)/DR618*100)</f>
        <v>0</v>
      </c>
      <c r="DU618" s="565"/>
      <c r="DV618" s="565"/>
      <c r="DW618" s="478">
        <f>IF(DU618=0,0,(DV618-DU618)/DU618*100)</f>
        <v>0</v>
      </c>
      <c r="DX618" s="565"/>
      <c r="DY618" s="565"/>
      <c r="DZ618" s="478">
        <f>IF(DX618=0,0,(DY618-DX618)/DX618*100)</f>
        <v>0</v>
      </c>
      <c r="EA618" s="565"/>
      <c r="EB618" s="565"/>
      <c r="EC618" s="478">
        <f>IF(EA618=0,0,(EB618-EA618)/EA618*100)</f>
        <v>0</v>
      </c>
      <c r="ED618" s="565"/>
      <c r="EE618" s="565"/>
      <c r="EF618" s="478">
        <f>IF(ED618=0,0,(EE618-ED618)/ED618*100)</f>
        <v>0</v>
      </c>
      <c r="EG618" s="565"/>
      <c r="EH618" s="565"/>
      <c r="EI618" s="478">
        <f>IF(EG618=0,0,(EH618-EG618)/EG618*100)</f>
        <v>0</v>
      </c>
      <c r="EJ618" s="565"/>
      <c r="EK618" s="565"/>
      <c r="EL618" s="478">
        <f>IF(EJ618=0,0,(EK618-EJ618)/EJ618*100)</f>
        <v>0</v>
      </c>
      <c r="EM618" s="565"/>
      <c r="EN618" s="565"/>
      <c r="EO618" s="478">
        <f>IF(EM618=0,0,(EN618-EM618)/EM618*100)</f>
        <v>0</v>
      </c>
      <c r="EP618" s="565"/>
      <c r="EQ618" s="565"/>
      <c r="ER618" s="478">
        <f>IF(EP618=0,0,(EQ618-EP618)/EP618*100)</f>
        <v>0</v>
      </c>
      <c r="ES618" s="565"/>
      <c r="ET618" s="565"/>
      <c r="EU618" s="478">
        <f>IF(ES618=0,0,(ET618-ES618)/ES618*100)</f>
        <v>0</v>
      </c>
      <c r="EV618" s="565"/>
      <c r="EW618" s="565"/>
      <c r="EX618" s="478">
        <f>IF(EV618=0,0,(EW618-EV618)/EV618*100)</f>
        <v>0</v>
      </c>
      <c r="EY618" s="565"/>
      <c r="EZ618" s="565"/>
      <c r="FA618" s="478">
        <f>IF(EY618=0,0,(EZ618-EY618)/EY618*100)</f>
        <v>0</v>
      </c>
      <c r="FB618" s="565"/>
      <c r="FC618" s="565"/>
      <c r="FD618" s="478">
        <f>IF(FB618=0,0,(FC618-FB618)/FB618*100)</f>
        <v>0</v>
      </c>
      <c r="FE618" s="565"/>
      <c r="FF618" s="565"/>
      <c r="FG618" s="478">
        <f>IF(FE618=0,0,(FF618-FE618)/FE618*100)</f>
        <v>0</v>
      </c>
    </row>
    <row r="619" spans="1:163" s="295" customFormat="1" ht="24.75" customHeight="1" outlineLevel="1">
      <c r="A619" s="295" t="str">
        <f t="shared" si="126"/>
        <v>1</v>
      </c>
      <c r="C619" s="598" t="s">
        <v>1661</v>
      </c>
      <c r="D619" s="598" t="s">
        <v>1722</v>
      </c>
      <c r="G619" s="295" t="b">
        <f>F582="двухставочный"</f>
        <v>0</v>
      </c>
      <c r="L619" s="369" t="s">
        <v>667</v>
      </c>
      <c r="M619" s="360" t="s">
        <v>668</v>
      </c>
      <c r="N619" s="363"/>
      <c r="O619" s="363"/>
      <c r="P619" s="362">
        <f>IF(N619=0,0,(O619-N619)/N619*100)</f>
        <v>0</v>
      </c>
      <c r="Q619" s="363"/>
      <c r="R619" s="363"/>
      <c r="S619" s="362">
        <f>IF(Q619=0,0,(R619-Q619)/Q619*100)</f>
        <v>0</v>
      </c>
      <c r="T619" s="363"/>
      <c r="U619" s="363"/>
      <c r="V619" s="362">
        <f>IF(T619=0,0,(U619-T619)/T619*100)</f>
        <v>0</v>
      </c>
      <c r="W619" s="363"/>
      <c r="X619" s="363"/>
      <c r="Y619" s="362">
        <f>IF(W619=0,0,(X619-W619)/W619*100)</f>
        <v>0</v>
      </c>
      <c r="Z619" s="363"/>
      <c r="AA619" s="363"/>
      <c r="AB619" s="362">
        <f>IF(Z619=0,0,(AA619-Z619)/Z619*100)</f>
        <v>0</v>
      </c>
      <c r="AC619" s="363"/>
      <c r="AD619" s="363"/>
      <c r="AE619" s="362">
        <f>IF(AC619=0,0,(AD619-AC619)/AC619*100)</f>
        <v>0</v>
      </c>
      <c r="AF619" s="363"/>
      <c r="AG619" s="363"/>
      <c r="AH619" s="362">
        <f>IF(AF619=0,0,(AG619-AF619)/AF619*100)</f>
        <v>0</v>
      </c>
      <c r="AI619" s="363"/>
      <c r="AJ619" s="363"/>
      <c r="AK619" s="362">
        <f>IF(AI619=0,0,(AJ619-AI619)/AI619*100)</f>
        <v>0</v>
      </c>
      <c r="AL619" s="363"/>
      <c r="AM619" s="363"/>
      <c r="AN619" s="362">
        <f>IF(AL619=0,0,(AM619-AL619)/AL619*100)</f>
        <v>0</v>
      </c>
      <c r="AO619" s="363"/>
      <c r="AP619" s="363"/>
      <c r="AQ619" s="362">
        <f>IF(AO619=0,0,(AP619-AO619)/AO619*100)</f>
        <v>0</v>
      </c>
      <c r="AR619" s="363"/>
      <c r="AS619" s="363"/>
      <c r="AT619" s="362">
        <f>IF(AR619=0,0,(AS619-AR619)/AR619*100)</f>
        <v>0</v>
      </c>
      <c r="AU619" s="363"/>
      <c r="AV619" s="363"/>
      <c r="AW619" s="362">
        <f>IF(AU619=0,0,(AV619-AU619)/AU619*100)</f>
        <v>0</v>
      </c>
      <c r="AX619" s="363"/>
      <c r="AY619" s="363"/>
      <c r="AZ619" s="362">
        <f>IF(AX619=0,0,(AY619-AX619)/AX619*100)</f>
        <v>0</v>
      </c>
      <c r="BA619" s="363"/>
      <c r="BB619" s="363"/>
      <c r="BC619" s="362">
        <f>IF(BA619=0,0,(BB619-BA619)/BA619*100)</f>
        <v>0</v>
      </c>
      <c r="BD619" s="363"/>
      <c r="BE619" s="363"/>
      <c r="BF619" s="362">
        <f>IF(BD619=0,0,(BE619-BD619)/BD619*100)</f>
        <v>0</v>
      </c>
      <c r="BG619" s="363"/>
      <c r="BH619" s="363"/>
      <c r="BI619" s="362">
        <f>IF(BG619=0,0,(BH619-BG619)/BG619*100)</f>
        <v>0</v>
      </c>
      <c r="BJ619" s="363"/>
      <c r="BK619" s="363"/>
      <c r="BL619" s="362">
        <f>IF(BJ619=0,0,(BK619-BJ619)/BJ619*100)</f>
        <v>0</v>
      </c>
      <c r="BM619" s="363"/>
      <c r="BN619" s="363"/>
      <c r="BO619" s="362">
        <f>IF(BM619=0,0,(BN619-BM619)/BM619*100)</f>
        <v>0</v>
      </c>
      <c r="BP619" s="363"/>
      <c r="BQ619" s="363"/>
      <c r="BR619" s="362">
        <f>IF(BP619=0,0,(BQ619-BP619)/BP619*100)</f>
        <v>0</v>
      </c>
      <c r="BS619" s="363"/>
      <c r="BT619" s="363"/>
      <c r="BU619" s="362">
        <f>IF(BS619=0,0,(BT619-BS619)/BS619*100)</f>
        <v>0</v>
      </c>
      <c r="BV619" s="363"/>
      <c r="BW619" s="363"/>
      <c r="BX619" s="362">
        <f>IF(BV619=0,0,(BW619-BV619)/BV619*100)</f>
        <v>0</v>
      </c>
      <c r="BY619" s="363"/>
      <c r="BZ619" s="363"/>
      <c r="CA619" s="362">
        <f>IF(BY619=0,0,(BZ619-BY619)/BY619*100)</f>
        <v>0</v>
      </c>
      <c r="CB619" s="363"/>
      <c r="CC619" s="363"/>
      <c r="CD619" s="362">
        <f>IF(CB619=0,0,(CC619-CB619)/CB619*100)</f>
        <v>0</v>
      </c>
      <c r="CE619" s="363"/>
      <c r="CF619" s="363"/>
      <c r="CG619" s="362">
        <f>IF(CE619=0,0,(CF619-CE619)/CE619*100)</f>
        <v>0</v>
      </c>
      <c r="CH619" s="363"/>
      <c r="CI619" s="363"/>
      <c r="CJ619" s="362">
        <f>IF(CH619=0,0,(CI619-CH619)/CH619*100)</f>
        <v>0</v>
      </c>
      <c r="CK619" s="363"/>
      <c r="CL619" s="363"/>
      <c r="CM619" s="362">
        <f>IF(CK619=0,0,(CL619-CK619)/CK619*100)</f>
        <v>0</v>
      </c>
      <c r="CN619" s="363"/>
      <c r="CO619" s="363"/>
      <c r="CP619" s="362">
        <f>IF(CN619=0,0,(CO619-CN619)/CN619*100)</f>
        <v>0</v>
      </c>
      <c r="CQ619" s="363"/>
      <c r="CR619" s="363"/>
      <c r="CS619" s="362">
        <f>IF(CQ619=0,0,(CR619-CQ619)/CQ619*100)</f>
        <v>0</v>
      </c>
      <c r="CT619" s="363"/>
      <c r="CU619" s="363"/>
      <c r="CV619" s="362">
        <f>IF(CT619=0,0,(CU619-CT619)/CT619*100)</f>
        <v>0</v>
      </c>
      <c r="CW619" s="363"/>
      <c r="CX619" s="363"/>
      <c r="CY619" s="362">
        <f>IF(CW619=0,0,(CX619-CW619)/CW619*100)</f>
        <v>0</v>
      </c>
      <c r="CZ619" s="363"/>
      <c r="DA619" s="363"/>
      <c r="DB619" s="362">
        <f>IF(CZ619=0,0,(DA619-CZ619)/CZ619*100)</f>
        <v>0</v>
      </c>
      <c r="DC619" s="363"/>
      <c r="DD619" s="363"/>
      <c r="DE619" s="362">
        <f>IF(DC619=0,0,(DD619-DC619)/DC619*100)</f>
        <v>0</v>
      </c>
      <c r="DF619" s="363"/>
      <c r="DG619" s="363"/>
      <c r="DH619" s="362">
        <f>IF(DF619=0,0,(DG619-DF619)/DF619*100)</f>
        <v>0</v>
      </c>
      <c r="DI619" s="363"/>
      <c r="DJ619" s="363"/>
      <c r="DK619" s="362">
        <f>IF(DI619=0,0,(DJ619-DI619)/DI619*100)</f>
        <v>0</v>
      </c>
      <c r="DL619" s="363"/>
      <c r="DM619" s="363"/>
      <c r="DN619" s="362">
        <f>IF(DL619=0,0,(DM619-DL619)/DL619*100)</f>
        <v>0</v>
      </c>
      <c r="DO619" s="363"/>
      <c r="DP619" s="363"/>
      <c r="DQ619" s="362">
        <f>IF(DO619=0,0,(DP619-DO619)/DO619*100)</f>
        <v>0</v>
      </c>
      <c r="DR619" s="363"/>
      <c r="DS619" s="363"/>
      <c r="DT619" s="362">
        <f>IF(DR619=0,0,(DS619-DR619)/DR619*100)</f>
        <v>0</v>
      </c>
      <c r="DU619" s="363"/>
      <c r="DV619" s="363"/>
      <c r="DW619" s="362">
        <f>IF(DU619=0,0,(DV619-DU619)/DU619*100)</f>
        <v>0</v>
      </c>
      <c r="DX619" s="363"/>
      <c r="DY619" s="363"/>
      <c r="DZ619" s="362">
        <f>IF(DX619=0,0,(DY619-DX619)/DX619*100)</f>
        <v>0</v>
      </c>
      <c r="EA619" s="363"/>
      <c r="EB619" s="363"/>
      <c r="EC619" s="362">
        <f>IF(EA619=0,0,(EB619-EA619)/EA619*100)</f>
        <v>0</v>
      </c>
      <c r="ED619" s="363"/>
      <c r="EE619" s="363"/>
      <c r="EF619" s="362">
        <f>IF(ED619=0,0,(EE619-ED619)/ED619*100)</f>
        <v>0</v>
      </c>
      <c r="EG619" s="363"/>
      <c r="EH619" s="363"/>
      <c r="EI619" s="362">
        <f>IF(EG619=0,0,(EH619-EG619)/EG619*100)</f>
        <v>0</v>
      </c>
      <c r="EJ619" s="363"/>
      <c r="EK619" s="363"/>
      <c r="EL619" s="362">
        <f>IF(EJ619=0,0,(EK619-EJ619)/EJ619*100)</f>
        <v>0</v>
      </c>
      <c r="EM619" s="363"/>
      <c r="EN619" s="363"/>
      <c r="EO619" s="362">
        <f>IF(EM619=0,0,(EN619-EM619)/EM619*100)</f>
        <v>0</v>
      </c>
      <c r="EP619" s="363"/>
      <c r="EQ619" s="363"/>
      <c r="ER619" s="362">
        <f>IF(EP619=0,0,(EQ619-EP619)/EP619*100)</f>
        <v>0</v>
      </c>
      <c r="ES619" s="363"/>
      <c r="ET619" s="363"/>
      <c r="EU619" s="362">
        <f>IF(ES619=0,0,(ET619-ES619)/ES619*100)</f>
        <v>0</v>
      </c>
      <c r="EV619" s="363"/>
      <c r="EW619" s="363"/>
      <c r="EX619" s="362">
        <f>IF(EV619=0,0,(EW619-EV619)/EV619*100)</f>
        <v>0</v>
      </c>
      <c r="EY619" s="363"/>
      <c r="EZ619" s="363"/>
      <c r="FA619" s="362">
        <f>IF(EY619=0,0,(EZ619-EY619)/EY619*100)</f>
        <v>0</v>
      </c>
      <c r="FB619" s="363"/>
      <c r="FC619" s="363"/>
      <c r="FD619" s="362">
        <f>IF(FB619=0,0,(FC619-FB619)/FB619*100)</f>
        <v>0</v>
      </c>
      <c r="FE619" s="363"/>
      <c r="FF619" s="363"/>
      <c r="FG619" s="362">
        <f>IF(FE619=0,0,(FF619-FE619)/FE619*100)</f>
        <v>0</v>
      </c>
    </row>
    <row r="620" spans="1:163" s="295" customFormat="1" ht="15" customHeight="1" outlineLevel="1">
      <c r="A620" s="295" t="str">
        <f t="shared" si="126"/>
        <v>1</v>
      </c>
      <c r="C620" s="598" t="s">
        <v>1662</v>
      </c>
      <c r="D620" s="598" t="s">
        <v>1722</v>
      </c>
      <c r="G620" s="295" t="b">
        <f>F582="двухставочный"</f>
        <v>0</v>
      </c>
      <c r="L620" s="369" t="s">
        <v>669</v>
      </c>
      <c r="M620" s="360" t="s">
        <v>670</v>
      </c>
      <c r="N620" s="363"/>
      <c r="O620" s="363"/>
      <c r="P620" s="362">
        <f>IF(N620=0,0,(O620-N620)/N620*100)</f>
        <v>0</v>
      </c>
      <c r="Q620" s="363"/>
      <c r="R620" s="363"/>
      <c r="S620" s="362">
        <f>IF(Q620=0,0,(R620-Q620)/Q620*100)</f>
        <v>0</v>
      </c>
      <c r="T620" s="363"/>
      <c r="U620" s="363"/>
      <c r="V620" s="362">
        <f>IF(T620=0,0,(U620-T620)/T620*100)</f>
        <v>0</v>
      </c>
      <c r="W620" s="363"/>
      <c r="X620" s="363"/>
      <c r="Y620" s="362">
        <f>IF(W620=0,0,(X620-W620)/W620*100)</f>
        <v>0</v>
      </c>
      <c r="Z620" s="363"/>
      <c r="AA620" s="363"/>
      <c r="AB620" s="362">
        <f>IF(Z620=0,0,(AA620-Z620)/Z620*100)</f>
        <v>0</v>
      </c>
      <c r="AC620" s="363"/>
      <c r="AD620" s="363"/>
      <c r="AE620" s="362">
        <f>IF(AC620=0,0,(AD620-AC620)/AC620*100)</f>
        <v>0</v>
      </c>
      <c r="AF620" s="363"/>
      <c r="AG620" s="363"/>
      <c r="AH620" s="362">
        <f>IF(AF620=0,0,(AG620-AF620)/AF620*100)</f>
        <v>0</v>
      </c>
      <c r="AI620" s="363"/>
      <c r="AJ620" s="363"/>
      <c r="AK620" s="362">
        <f>IF(AI620=0,0,(AJ620-AI620)/AI620*100)</f>
        <v>0</v>
      </c>
      <c r="AL620" s="363"/>
      <c r="AM620" s="363"/>
      <c r="AN620" s="362">
        <f>IF(AL620=0,0,(AM620-AL620)/AL620*100)</f>
        <v>0</v>
      </c>
      <c r="AO620" s="363"/>
      <c r="AP620" s="363"/>
      <c r="AQ620" s="362">
        <f>IF(AO620=0,0,(AP620-AO620)/AO620*100)</f>
        <v>0</v>
      </c>
      <c r="AR620" s="363"/>
      <c r="AS620" s="363"/>
      <c r="AT620" s="362">
        <f>IF(AR620=0,0,(AS620-AR620)/AR620*100)</f>
        <v>0</v>
      </c>
      <c r="AU620" s="363"/>
      <c r="AV620" s="363"/>
      <c r="AW620" s="362">
        <f>IF(AU620=0,0,(AV620-AU620)/AU620*100)</f>
        <v>0</v>
      </c>
      <c r="AX620" s="363"/>
      <c r="AY620" s="363"/>
      <c r="AZ620" s="362">
        <f>IF(AX620=0,0,(AY620-AX620)/AX620*100)</f>
        <v>0</v>
      </c>
      <c r="BA620" s="363"/>
      <c r="BB620" s="363"/>
      <c r="BC620" s="362">
        <f>IF(BA620=0,0,(BB620-BA620)/BA620*100)</f>
        <v>0</v>
      </c>
      <c r="BD620" s="363"/>
      <c r="BE620" s="363"/>
      <c r="BF620" s="362">
        <f>IF(BD620=0,0,(BE620-BD620)/BD620*100)</f>
        <v>0</v>
      </c>
      <c r="BG620" s="363"/>
      <c r="BH620" s="363"/>
      <c r="BI620" s="362">
        <f>IF(BG620=0,0,(BH620-BG620)/BG620*100)</f>
        <v>0</v>
      </c>
      <c r="BJ620" s="363"/>
      <c r="BK620" s="363"/>
      <c r="BL620" s="362">
        <f>IF(BJ620=0,0,(BK620-BJ620)/BJ620*100)</f>
        <v>0</v>
      </c>
      <c r="BM620" s="363"/>
      <c r="BN620" s="363"/>
      <c r="BO620" s="362">
        <f>IF(BM620=0,0,(BN620-BM620)/BM620*100)</f>
        <v>0</v>
      </c>
      <c r="BP620" s="363"/>
      <c r="BQ620" s="363"/>
      <c r="BR620" s="362">
        <f>IF(BP620=0,0,(BQ620-BP620)/BP620*100)</f>
        <v>0</v>
      </c>
      <c r="BS620" s="363"/>
      <c r="BT620" s="363"/>
      <c r="BU620" s="362">
        <f>IF(BS620=0,0,(BT620-BS620)/BS620*100)</f>
        <v>0</v>
      </c>
      <c r="BV620" s="363"/>
      <c r="BW620" s="363"/>
      <c r="BX620" s="362">
        <f>IF(BV620=0,0,(BW620-BV620)/BV620*100)</f>
        <v>0</v>
      </c>
      <c r="BY620" s="363"/>
      <c r="BZ620" s="363"/>
      <c r="CA620" s="362">
        <f>IF(BY620=0,0,(BZ620-BY620)/BY620*100)</f>
        <v>0</v>
      </c>
      <c r="CB620" s="363"/>
      <c r="CC620" s="363"/>
      <c r="CD620" s="362">
        <f>IF(CB620=0,0,(CC620-CB620)/CB620*100)</f>
        <v>0</v>
      </c>
      <c r="CE620" s="363"/>
      <c r="CF620" s="363"/>
      <c r="CG620" s="362">
        <f>IF(CE620=0,0,(CF620-CE620)/CE620*100)</f>
        <v>0</v>
      </c>
      <c r="CH620" s="363"/>
      <c r="CI620" s="363"/>
      <c r="CJ620" s="362">
        <f>IF(CH620=0,0,(CI620-CH620)/CH620*100)</f>
        <v>0</v>
      </c>
      <c r="CK620" s="363"/>
      <c r="CL620" s="363"/>
      <c r="CM620" s="362">
        <f>IF(CK620=0,0,(CL620-CK620)/CK620*100)</f>
        <v>0</v>
      </c>
      <c r="CN620" s="363"/>
      <c r="CO620" s="363"/>
      <c r="CP620" s="362">
        <f>IF(CN620=0,0,(CO620-CN620)/CN620*100)</f>
        <v>0</v>
      </c>
      <c r="CQ620" s="363"/>
      <c r="CR620" s="363"/>
      <c r="CS620" s="362">
        <f>IF(CQ620=0,0,(CR620-CQ620)/CQ620*100)</f>
        <v>0</v>
      </c>
      <c r="CT620" s="363"/>
      <c r="CU620" s="363"/>
      <c r="CV620" s="362">
        <f>IF(CT620=0,0,(CU620-CT620)/CT620*100)</f>
        <v>0</v>
      </c>
      <c r="CW620" s="363"/>
      <c r="CX620" s="363"/>
      <c r="CY620" s="362">
        <f>IF(CW620=0,0,(CX620-CW620)/CW620*100)</f>
        <v>0</v>
      </c>
      <c r="CZ620" s="363"/>
      <c r="DA620" s="363"/>
      <c r="DB620" s="362">
        <f>IF(CZ620=0,0,(DA620-CZ620)/CZ620*100)</f>
        <v>0</v>
      </c>
      <c r="DC620" s="363"/>
      <c r="DD620" s="363"/>
      <c r="DE620" s="362">
        <f>IF(DC620=0,0,(DD620-DC620)/DC620*100)</f>
        <v>0</v>
      </c>
      <c r="DF620" s="363"/>
      <c r="DG620" s="363"/>
      <c r="DH620" s="362">
        <f>IF(DF620=0,0,(DG620-DF620)/DF620*100)</f>
        <v>0</v>
      </c>
      <c r="DI620" s="363"/>
      <c r="DJ620" s="363"/>
      <c r="DK620" s="362">
        <f>IF(DI620=0,0,(DJ620-DI620)/DI620*100)</f>
        <v>0</v>
      </c>
      <c r="DL620" s="363"/>
      <c r="DM620" s="363"/>
      <c r="DN620" s="362">
        <f>IF(DL620=0,0,(DM620-DL620)/DL620*100)</f>
        <v>0</v>
      </c>
      <c r="DO620" s="363"/>
      <c r="DP620" s="363"/>
      <c r="DQ620" s="362">
        <f>IF(DO620=0,0,(DP620-DO620)/DO620*100)</f>
        <v>0</v>
      </c>
      <c r="DR620" s="363"/>
      <c r="DS620" s="363"/>
      <c r="DT620" s="362">
        <f>IF(DR620=0,0,(DS620-DR620)/DR620*100)</f>
        <v>0</v>
      </c>
      <c r="DU620" s="363"/>
      <c r="DV620" s="363"/>
      <c r="DW620" s="362">
        <f>IF(DU620=0,0,(DV620-DU620)/DU620*100)</f>
        <v>0</v>
      </c>
      <c r="DX620" s="363"/>
      <c r="DY620" s="363"/>
      <c r="DZ620" s="362">
        <f>IF(DX620=0,0,(DY620-DX620)/DX620*100)</f>
        <v>0</v>
      </c>
      <c r="EA620" s="363"/>
      <c r="EB620" s="363"/>
      <c r="EC620" s="362">
        <f>IF(EA620=0,0,(EB620-EA620)/EA620*100)</f>
        <v>0</v>
      </c>
      <c r="ED620" s="363"/>
      <c r="EE620" s="363"/>
      <c r="EF620" s="362">
        <f>IF(ED620=0,0,(EE620-ED620)/ED620*100)</f>
        <v>0</v>
      </c>
      <c r="EG620" s="363"/>
      <c r="EH620" s="363"/>
      <c r="EI620" s="362">
        <f>IF(EG620=0,0,(EH620-EG620)/EG620*100)</f>
        <v>0</v>
      </c>
      <c r="EJ620" s="363"/>
      <c r="EK620" s="363"/>
      <c r="EL620" s="362">
        <f>IF(EJ620=0,0,(EK620-EJ620)/EJ620*100)</f>
        <v>0</v>
      </c>
      <c r="EM620" s="363"/>
      <c r="EN620" s="363"/>
      <c r="EO620" s="362">
        <f>IF(EM620=0,0,(EN620-EM620)/EM620*100)</f>
        <v>0</v>
      </c>
      <c r="EP620" s="363"/>
      <c r="EQ620" s="363"/>
      <c r="ER620" s="362">
        <f>IF(EP620=0,0,(EQ620-EP620)/EP620*100)</f>
        <v>0</v>
      </c>
      <c r="ES620" s="363"/>
      <c r="ET620" s="363"/>
      <c r="EU620" s="362">
        <f>IF(ES620=0,0,(ET620-ES620)/ES620*100)</f>
        <v>0</v>
      </c>
      <c r="EV620" s="363"/>
      <c r="EW620" s="363"/>
      <c r="EX620" s="362">
        <f>IF(EV620=0,0,(EW620-EV620)/EV620*100)</f>
        <v>0</v>
      </c>
      <c r="EY620" s="363"/>
      <c r="EZ620" s="363"/>
      <c r="FA620" s="362">
        <f>IF(EY620=0,0,(EZ620-EY620)/EY620*100)</f>
        <v>0</v>
      </c>
      <c r="FB620" s="363"/>
      <c r="FC620" s="363"/>
      <c r="FD620" s="362">
        <f>IF(FB620=0,0,(FC620-FB620)/FB620*100)</f>
        <v>0</v>
      </c>
      <c r="FE620" s="363"/>
      <c r="FF620" s="363"/>
      <c r="FG620" s="362">
        <f>IF(FE620=0,0,(FF620-FE620)/FE620*100)</f>
        <v>0</v>
      </c>
    </row>
    <row r="621" spans="1:163" s="295" customFormat="1" ht="15" customHeight="1" outlineLevel="1">
      <c r="A621" s="295" t="str">
        <f t="shared" si="126"/>
        <v>1</v>
      </c>
      <c r="C621" s="598" t="str">
        <f>A621&amp;"pIns2"</f>
        <v>1pIns2</v>
      </c>
      <c r="D621" s="598"/>
      <c r="G621" s="295" t="b">
        <f>F582="двухставочный"</f>
        <v>0</v>
      </c>
      <c r="J621" s="295" t="s">
        <v>1393</v>
      </c>
      <c r="L621" s="312" t="s">
        <v>352</v>
      </c>
      <c r="M621" s="311"/>
      <c r="N621" s="309"/>
      <c r="O621" s="309"/>
      <c r="P621" s="309"/>
      <c r="Q621" s="309"/>
      <c r="R621" s="309"/>
      <c r="S621" s="309"/>
      <c r="T621" s="309"/>
      <c r="U621" s="309"/>
      <c r="V621" s="309"/>
      <c r="W621" s="309"/>
      <c r="X621" s="309"/>
      <c r="Y621" s="309"/>
      <c r="Z621" s="309"/>
      <c r="AA621" s="309"/>
      <c r="AB621" s="309"/>
      <c r="AC621" s="309"/>
      <c r="AD621" s="309"/>
      <c r="AE621" s="309"/>
      <c r="AF621" s="309"/>
      <c r="AG621" s="309"/>
      <c r="AH621" s="309"/>
      <c r="AI621" s="309"/>
      <c r="AJ621" s="309"/>
      <c r="AK621" s="309"/>
      <c r="AL621" s="309"/>
      <c r="AM621" s="309"/>
      <c r="AN621" s="309"/>
      <c r="AO621" s="309"/>
      <c r="AP621" s="309"/>
      <c r="AQ621" s="309"/>
      <c r="AR621" s="309"/>
      <c r="AS621" s="309"/>
      <c r="AT621" s="309"/>
      <c r="AU621" s="309"/>
      <c r="AV621" s="309"/>
      <c r="AW621" s="309"/>
      <c r="AX621" s="309"/>
      <c r="AY621" s="309"/>
      <c r="AZ621" s="309"/>
      <c r="BA621" s="309"/>
      <c r="BB621" s="309"/>
      <c r="BC621" s="309"/>
      <c r="BD621" s="309"/>
      <c r="BE621" s="309"/>
      <c r="BF621" s="309"/>
      <c r="BG621" s="309"/>
      <c r="BH621" s="309"/>
      <c r="BI621" s="309"/>
      <c r="BJ621" s="309"/>
      <c r="BK621" s="309"/>
      <c r="BL621" s="309"/>
      <c r="BM621" s="309"/>
      <c r="BN621" s="309"/>
      <c r="BO621" s="309"/>
      <c r="BP621" s="309"/>
      <c r="BQ621" s="309"/>
      <c r="BR621" s="309"/>
      <c r="BS621" s="309"/>
      <c r="BT621" s="309"/>
      <c r="BU621" s="309"/>
      <c r="BV621" s="309"/>
      <c r="BW621" s="309"/>
      <c r="BX621" s="309"/>
      <c r="BY621" s="309"/>
      <c r="BZ621" s="309"/>
      <c r="CA621" s="309"/>
      <c r="CB621" s="309"/>
      <c r="CC621" s="309"/>
      <c r="CD621" s="309"/>
      <c r="CE621" s="309"/>
      <c r="CF621" s="309"/>
      <c r="CG621" s="309"/>
      <c r="CH621" s="309"/>
      <c r="CI621" s="309"/>
      <c r="CJ621" s="309"/>
      <c r="CK621" s="309"/>
      <c r="CL621" s="309"/>
      <c r="CM621" s="309"/>
      <c r="CN621" s="309"/>
      <c r="CO621" s="309"/>
      <c r="CP621" s="309"/>
      <c r="CQ621" s="309"/>
      <c r="CR621" s="309"/>
      <c r="CS621" s="309"/>
      <c r="CT621" s="309"/>
      <c r="CU621" s="309"/>
      <c r="CV621" s="309"/>
      <c r="CW621" s="309"/>
      <c r="CX621" s="309"/>
      <c r="CY621" s="309"/>
      <c r="CZ621" s="309"/>
      <c r="DA621" s="309"/>
      <c r="DB621" s="309"/>
      <c r="DC621" s="309"/>
      <c r="DD621" s="309"/>
      <c r="DE621" s="309"/>
      <c r="DF621" s="309"/>
      <c r="DG621" s="309"/>
      <c r="DH621" s="309"/>
      <c r="DI621" s="309"/>
      <c r="DJ621" s="309"/>
      <c r="DK621" s="309"/>
      <c r="DL621" s="309"/>
      <c r="DM621" s="309"/>
      <c r="DN621" s="309"/>
      <c r="DO621" s="309"/>
      <c r="DP621" s="309"/>
      <c r="DQ621" s="309"/>
      <c r="DR621" s="309"/>
      <c r="DS621" s="309"/>
      <c r="DT621" s="309"/>
      <c r="DU621" s="309"/>
      <c r="DV621" s="309"/>
      <c r="DW621" s="309"/>
      <c r="DX621" s="309"/>
      <c r="DY621" s="309"/>
      <c r="DZ621" s="309"/>
      <c r="EA621" s="309"/>
      <c r="EB621" s="309"/>
      <c r="EC621" s="309"/>
      <c r="ED621" s="309"/>
      <c r="EE621" s="309"/>
      <c r="EF621" s="309"/>
      <c r="EG621" s="309"/>
      <c r="EH621" s="309"/>
      <c r="EI621" s="309"/>
      <c r="EJ621" s="309"/>
      <c r="EK621" s="309"/>
      <c r="EL621" s="309"/>
      <c r="EM621" s="309"/>
      <c r="EN621" s="309"/>
      <c r="EO621" s="309"/>
      <c r="EP621" s="309"/>
      <c r="EQ621" s="309"/>
      <c r="ER621" s="309"/>
      <c r="ES621" s="309"/>
      <c r="ET621" s="309"/>
      <c r="EU621" s="309"/>
      <c r="EV621" s="309"/>
      <c r="EW621" s="309"/>
      <c r="EX621" s="309"/>
      <c r="EY621" s="309"/>
      <c r="EZ621" s="309"/>
      <c r="FA621" s="309"/>
      <c r="FB621" s="309"/>
      <c r="FC621" s="309"/>
      <c r="FD621" s="309"/>
      <c r="FE621" s="309"/>
      <c r="FF621" s="309"/>
      <c r="FG621" s="310"/>
    </row>
    <row r="622" spans="1:163" s="177" customFormat="1">
      <c r="A622" s="176" t="s">
        <v>1072</v>
      </c>
      <c r="M622" s="3"/>
      <c r="N622" s="3"/>
      <c r="O622" s="3"/>
      <c r="P622" s="3"/>
      <c r="AA622" s="5"/>
    </row>
    <row r="623" spans="1:163" s="295" customFormat="1" ht="15" customHeight="1">
      <c r="A623" s="172" t="s">
        <v>18</v>
      </c>
      <c r="L623" s="722" t="s">
        <v>16</v>
      </c>
      <c r="M623" s="723"/>
      <c r="N623" s="345" t="str">
        <f>"Тариф " &amp; A623</f>
        <v>Тариф 1</v>
      </c>
      <c r="O623" s="346"/>
      <c r="P623" s="346"/>
      <c r="Q623" s="346"/>
      <c r="R623" s="346"/>
      <c r="S623" s="346"/>
      <c r="T623" s="346"/>
      <c r="U623" s="346"/>
      <c r="V623" s="346"/>
      <c r="W623" s="346"/>
      <c r="X623" s="346"/>
      <c r="Y623" s="346"/>
      <c r="Z623" s="346"/>
      <c r="AA623" s="346"/>
      <c r="AB623" s="346"/>
      <c r="AC623" s="346"/>
      <c r="AD623" s="346"/>
      <c r="AE623" s="346"/>
      <c r="AF623" s="346"/>
      <c r="AG623" s="346"/>
      <c r="AH623" s="346"/>
      <c r="AI623" s="346"/>
      <c r="AJ623" s="346"/>
      <c r="AK623" s="346"/>
      <c r="AL623" s="346"/>
      <c r="AM623" s="346"/>
      <c r="AN623" s="346"/>
      <c r="AO623" s="346"/>
      <c r="AP623" s="346"/>
      <c r="AQ623" s="346"/>
      <c r="AR623" s="346"/>
      <c r="AS623" s="346"/>
      <c r="AT623" s="346"/>
      <c r="AU623" s="346"/>
      <c r="AV623" s="346"/>
      <c r="AW623" s="346"/>
      <c r="AX623" s="346"/>
      <c r="AY623" s="346"/>
      <c r="AZ623" s="346"/>
      <c r="BA623" s="346"/>
      <c r="BB623" s="346"/>
      <c r="BC623" s="346"/>
      <c r="BD623" s="346"/>
      <c r="BE623" s="346"/>
      <c r="BF623" s="346"/>
      <c r="BG623" s="346"/>
      <c r="BH623" s="346"/>
      <c r="BI623" s="346"/>
      <c r="BJ623" s="346"/>
      <c r="BK623" s="346"/>
      <c r="BL623" s="346"/>
      <c r="BM623" s="346"/>
      <c r="BN623" s="346"/>
      <c r="BO623" s="346"/>
      <c r="BP623" s="346"/>
      <c r="BQ623" s="346"/>
      <c r="BR623" s="346"/>
      <c r="BS623" s="346"/>
      <c r="BT623" s="346"/>
      <c r="BU623" s="346"/>
      <c r="BV623" s="346"/>
      <c r="BW623" s="346"/>
      <c r="BX623" s="346"/>
      <c r="BY623" s="346"/>
      <c r="BZ623" s="346"/>
      <c r="CA623" s="346"/>
      <c r="CB623" s="346"/>
      <c r="CC623" s="346"/>
      <c r="CD623" s="346"/>
      <c r="CE623" s="346"/>
      <c r="CF623" s="346"/>
      <c r="CG623" s="346"/>
      <c r="CH623" s="346"/>
      <c r="CI623" s="346"/>
      <c r="CJ623" s="346"/>
      <c r="CK623" s="346"/>
      <c r="CL623" s="346"/>
      <c r="CM623" s="346"/>
      <c r="CN623" s="346"/>
      <c r="CO623" s="346"/>
      <c r="CP623" s="346"/>
      <c r="CQ623" s="346"/>
      <c r="CR623" s="346"/>
      <c r="CS623" s="346"/>
      <c r="CT623" s="346"/>
      <c r="CU623" s="346"/>
      <c r="CV623" s="346"/>
      <c r="CW623" s="346"/>
      <c r="CX623" s="346"/>
      <c r="CY623" s="346"/>
      <c r="CZ623" s="346"/>
      <c r="DA623" s="346"/>
      <c r="DB623" s="346"/>
      <c r="DC623" s="346"/>
      <c r="DD623" s="346"/>
      <c r="DE623" s="346"/>
      <c r="DF623" s="346"/>
      <c r="DG623" s="346"/>
      <c r="DH623" s="346"/>
      <c r="DI623" s="346"/>
      <c r="DJ623" s="346"/>
      <c r="DK623" s="346"/>
      <c r="DL623" s="346"/>
      <c r="DM623" s="346"/>
      <c r="DN623" s="346"/>
      <c r="DO623" s="346"/>
      <c r="DP623" s="346"/>
      <c r="DQ623" s="346"/>
      <c r="DR623" s="346"/>
      <c r="DS623" s="346"/>
      <c r="DT623" s="346"/>
      <c r="DU623" s="346"/>
      <c r="DV623" s="346"/>
      <c r="DW623" s="346"/>
      <c r="DX623" s="346"/>
      <c r="DY623" s="346"/>
      <c r="DZ623" s="346"/>
      <c r="EA623" s="346"/>
      <c r="EB623" s="346"/>
      <c r="EC623" s="346"/>
      <c r="ED623" s="346"/>
      <c r="EE623" s="346"/>
      <c r="EF623" s="346"/>
      <c r="EG623" s="346"/>
      <c r="EH623" s="346"/>
      <c r="EI623" s="346"/>
      <c r="EJ623" s="346"/>
      <c r="EK623" s="346"/>
      <c r="EL623" s="346"/>
      <c r="EM623" s="346"/>
      <c r="EN623" s="346"/>
      <c r="EO623" s="346"/>
      <c r="EP623" s="346"/>
      <c r="EQ623" s="346"/>
      <c r="ER623" s="346"/>
      <c r="ES623" s="346"/>
      <c r="ET623" s="346"/>
      <c r="EU623" s="346"/>
      <c r="EV623" s="346"/>
      <c r="EW623" s="346"/>
      <c r="EX623" s="346"/>
      <c r="EY623" s="346"/>
      <c r="EZ623" s="346"/>
      <c r="FA623" s="346"/>
      <c r="FB623" s="346"/>
      <c r="FC623" s="346"/>
      <c r="FD623" s="346"/>
      <c r="FE623" s="346"/>
      <c r="FF623" s="346"/>
      <c r="FG623" s="347"/>
    </row>
    <row r="624" spans="1:163" s="295" customFormat="1" ht="15" customHeight="1" outlineLevel="1">
      <c r="A624" s="295" t="str">
        <f t="shared" ref="A624:A630" si="127">A623</f>
        <v>1</v>
      </c>
      <c r="L624" s="712" t="s">
        <v>656</v>
      </c>
      <c r="M624" s="713"/>
      <c r="N624" s="345" t="str">
        <f>INDEX('Общие сведения'!$K$114:$K$127,MATCH($A624,'Общие сведения'!$D$114:$D$127,0))</f>
        <v>питьевая вода</v>
      </c>
      <c r="O624" s="348"/>
      <c r="P624" s="348"/>
      <c r="Q624" s="348"/>
      <c r="R624" s="348"/>
      <c r="S624" s="348"/>
      <c r="T624" s="348"/>
      <c r="U624" s="348"/>
      <c r="V624" s="348"/>
      <c r="W624" s="348"/>
      <c r="X624" s="348"/>
      <c r="Y624" s="348"/>
      <c r="Z624" s="348"/>
      <c r="AA624" s="348"/>
      <c r="AB624" s="348"/>
      <c r="AC624" s="348"/>
      <c r="AD624" s="348"/>
      <c r="AE624" s="348"/>
      <c r="AF624" s="348"/>
      <c r="AG624" s="348"/>
      <c r="AH624" s="348"/>
      <c r="AI624" s="348"/>
      <c r="AJ624" s="348"/>
      <c r="AK624" s="348"/>
      <c r="AL624" s="348"/>
      <c r="AM624" s="348"/>
      <c r="AN624" s="348"/>
      <c r="AO624" s="348"/>
      <c r="AP624" s="348"/>
      <c r="AQ624" s="348"/>
      <c r="AR624" s="348"/>
      <c r="AS624" s="348"/>
      <c r="AT624" s="348"/>
      <c r="AU624" s="348"/>
      <c r="AV624" s="348"/>
      <c r="AW624" s="348"/>
      <c r="AX624" s="348"/>
      <c r="AY624" s="348"/>
      <c r="AZ624" s="348"/>
      <c r="BA624" s="348"/>
      <c r="BB624" s="348"/>
      <c r="BC624" s="348"/>
      <c r="BD624" s="348"/>
      <c r="BE624" s="348"/>
      <c r="BF624" s="348"/>
      <c r="BG624" s="348"/>
      <c r="BH624" s="348"/>
      <c r="BI624" s="348"/>
      <c r="BJ624" s="348"/>
      <c r="BK624" s="348"/>
      <c r="BL624" s="348"/>
      <c r="BM624" s="348"/>
      <c r="BN624" s="348"/>
      <c r="BO624" s="348"/>
      <c r="BP624" s="348"/>
      <c r="BQ624" s="348"/>
      <c r="BR624" s="348"/>
      <c r="BS624" s="348"/>
      <c r="BT624" s="348"/>
      <c r="BU624" s="348"/>
      <c r="BV624" s="348"/>
      <c r="BW624" s="348"/>
      <c r="BX624" s="348"/>
      <c r="BY624" s="348"/>
      <c r="BZ624" s="348"/>
      <c r="CA624" s="348"/>
      <c r="CB624" s="348"/>
      <c r="CC624" s="348"/>
      <c r="CD624" s="348"/>
      <c r="CE624" s="348"/>
      <c r="CF624" s="348"/>
      <c r="CG624" s="348"/>
      <c r="CH624" s="348"/>
      <c r="CI624" s="348"/>
      <c r="CJ624" s="348"/>
      <c r="CK624" s="348"/>
      <c r="CL624" s="348"/>
      <c r="CM624" s="348"/>
      <c r="CN624" s="348"/>
      <c r="CO624" s="348"/>
      <c r="CP624" s="348"/>
      <c r="CQ624" s="348"/>
      <c r="CR624" s="348"/>
      <c r="CS624" s="348"/>
      <c r="CT624" s="348"/>
      <c r="CU624" s="348"/>
      <c r="CV624" s="348"/>
      <c r="CW624" s="348"/>
      <c r="CX624" s="348"/>
      <c r="CY624" s="348"/>
      <c r="CZ624" s="348"/>
      <c r="DA624" s="348"/>
      <c r="DB624" s="348"/>
      <c r="DC624" s="348"/>
      <c r="DD624" s="348"/>
      <c r="DE624" s="348"/>
      <c r="DF624" s="348"/>
      <c r="DG624" s="348"/>
      <c r="DH624" s="348"/>
      <c r="DI624" s="348"/>
      <c r="DJ624" s="348"/>
      <c r="DK624" s="348"/>
      <c r="DL624" s="348"/>
      <c r="DM624" s="348"/>
      <c r="DN624" s="348"/>
      <c r="DO624" s="348"/>
      <c r="DP624" s="348"/>
      <c r="DQ624" s="348"/>
      <c r="DR624" s="348"/>
      <c r="DS624" s="348"/>
      <c r="DT624" s="348"/>
      <c r="DU624" s="348"/>
      <c r="DV624" s="348"/>
      <c r="DW624" s="348"/>
      <c r="DX624" s="348"/>
      <c r="DY624" s="348"/>
      <c r="DZ624" s="348"/>
      <c r="EA624" s="348"/>
      <c r="EB624" s="348"/>
      <c r="EC624" s="348"/>
      <c r="ED624" s="348"/>
      <c r="EE624" s="348"/>
      <c r="EF624" s="348"/>
      <c r="EG624" s="348"/>
      <c r="EH624" s="348"/>
      <c r="EI624" s="348"/>
      <c r="EJ624" s="348"/>
      <c r="EK624" s="348"/>
      <c r="EL624" s="348"/>
      <c r="EM624" s="348"/>
      <c r="EN624" s="348"/>
      <c r="EO624" s="348"/>
      <c r="EP624" s="348"/>
      <c r="EQ624" s="348"/>
      <c r="ER624" s="348"/>
      <c r="ES624" s="348"/>
      <c r="ET624" s="348"/>
      <c r="EU624" s="348"/>
      <c r="EV624" s="348"/>
      <c r="EW624" s="348"/>
      <c r="EX624" s="348"/>
      <c r="EY624" s="348"/>
      <c r="EZ624" s="348"/>
      <c r="FA624" s="348"/>
      <c r="FB624" s="348"/>
      <c r="FC624" s="348"/>
      <c r="FD624" s="348"/>
      <c r="FE624" s="348"/>
      <c r="FF624" s="348"/>
      <c r="FG624" s="349"/>
    </row>
    <row r="625" spans="1:163" s="295" customFormat="1" ht="15" customHeight="1" outlineLevel="1">
      <c r="A625" s="295" t="str">
        <f t="shared" si="127"/>
        <v>1</v>
      </c>
      <c r="L625" s="712" t="s">
        <v>657</v>
      </c>
      <c r="M625" s="713"/>
      <c r="N625" s="345" t="str">
        <f>INDEX('Общие сведения'!$L$114:$L$127,MATCH($A625,'Общие сведения'!$D$114:$D$127,0))</f>
        <v>тариф на питьевую воду</v>
      </c>
      <c r="O625" s="348"/>
      <c r="P625" s="348"/>
      <c r="Q625" s="348"/>
      <c r="R625" s="348"/>
      <c r="S625" s="348"/>
      <c r="T625" s="348"/>
      <c r="U625" s="348"/>
      <c r="V625" s="348"/>
      <c r="W625" s="348"/>
      <c r="X625" s="348"/>
      <c r="Y625" s="348"/>
      <c r="Z625" s="348"/>
      <c r="AA625" s="348"/>
      <c r="AB625" s="348"/>
      <c r="AC625" s="348"/>
      <c r="AD625" s="348"/>
      <c r="AE625" s="348"/>
      <c r="AF625" s="348"/>
      <c r="AG625" s="348"/>
      <c r="AH625" s="348"/>
      <c r="AI625" s="348"/>
      <c r="AJ625" s="348"/>
      <c r="AK625" s="348"/>
      <c r="AL625" s="348"/>
      <c r="AM625" s="348"/>
      <c r="AN625" s="348"/>
      <c r="AO625" s="348"/>
      <c r="AP625" s="348"/>
      <c r="AQ625" s="348"/>
      <c r="AR625" s="348"/>
      <c r="AS625" s="348"/>
      <c r="AT625" s="348"/>
      <c r="AU625" s="348"/>
      <c r="AV625" s="348"/>
      <c r="AW625" s="348"/>
      <c r="AX625" s="348"/>
      <c r="AY625" s="348"/>
      <c r="AZ625" s="348"/>
      <c r="BA625" s="348"/>
      <c r="BB625" s="348"/>
      <c r="BC625" s="348"/>
      <c r="BD625" s="348"/>
      <c r="BE625" s="348"/>
      <c r="BF625" s="348"/>
      <c r="BG625" s="348"/>
      <c r="BH625" s="348"/>
      <c r="BI625" s="348"/>
      <c r="BJ625" s="348"/>
      <c r="BK625" s="348"/>
      <c r="BL625" s="348"/>
      <c r="BM625" s="348"/>
      <c r="BN625" s="348"/>
      <c r="BO625" s="348"/>
      <c r="BP625" s="348"/>
      <c r="BQ625" s="348"/>
      <c r="BR625" s="348"/>
      <c r="BS625" s="348"/>
      <c r="BT625" s="348"/>
      <c r="BU625" s="348"/>
      <c r="BV625" s="348"/>
      <c r="BW625" s="348"/>
      <c r="BX625" s="348"/>
      <c r="BY625" s="348"/>
      <c r="BZ625" s="348"/>
      <c r="CA625" s="348"/>
      <c r="CB625" s="348"/>
      <c r="CC625" s="348"/>
      <c r="CD625" s="348"/>
      <c r="CE625" s="348"/>
      <c r="CF625" s="348"/>
      <c r="CG625" s="348"/>
      <c r="CH625" s="348"/>
      <c r="CI625" s="348"/>
      <c r="CJ625" s="348"/>
      <c r="CK625" s="348"/>
      <c r="CL625" s="348"/>
      <c r="CM625" s="348"/>
      <c r="CN625" s="348"/>
      <c r="CO625" s="348"/>
      <c r="CP625" s="348"/>
      <c r="CQ625" s="348"/>
      <c r="CR625" s="348"/>
      <c r="CS625" s="348"/>
      <c r="CT625" s="348"/>
      <c r="CU625" s="348"/>
      <c r="CV625" s="348"/>
      <c r="CW625" s="348"/>
      <c r="CX625" s="348"/>
      <c r="CY625" s="348"/>
      <c r="CZ625" s="348"/>
      <c r="DA625" s="348"/>
      <c r="DB625" s="348"/>
      <c r="DC625" s="348"/>
      <c r="DD625" s="348"/>
      <c r="DE625" s="348"/>
      <c r="DF625" s="348"/>
      <c r="DG625" s="348"/>
      <c r="DH625" s="348"/>
      <c r="DI625" s="348"/>
      <c r="DJ625" s="348"/>
      <c r="DK625" s="348"/>
      <c r="DL625" s="348"/>
      <c r="DM625" s="348"/>
      <c r="DN625" s="348"/>
      <c r="DO625" s="348"/>
      <c r="DP625" s="348"/>
      <c r="DQ625" s="348"/>
      <c r="DR625" s="348"/>
      <c r="DS625" s="348"/>
      <c r="DT625" s="348"/>
      <c r="DU625" s="348"/>
      <c r="DV625" s="348"/>
      <c r="DW625" s="348"/>
      <c r="DX625" s="348"/>
      <c r="DY625" s="348"/>
      <c r="DZ625" s="348"/>
      <c r="EA625" s="348"/>
      <c r="EB625" s="348"/>
      <c r="EC625" s="348"/>
      <c r="ED625" s="348"/>
      <c r="EE625" s="348"/>
      <c r="EF625" s="348"/>
      <c r="EG625" s="348"/>
      <c r="EH625" s="348"/>
      <c r="EI625" s="348"/>
      <c r="EJ625" s="348"/>
      <c r="EK625" s="348"/>
      <c r="EL625" s="348"/>
      <c r="EM625" s="348"/>
      <c r="EN625" s="348"/>
      <c r="EO625" s="348"/>
      <c r="EP625" s="348"/>
      <c r="EQ625" s="348"/>
      <c r="ER625" s="348"/>
      <c r="ES625" s="348"/>
      <c r="ET625" s="348"/>
      <c r="EU625" s="348"/>
      <c r="EV625" s="348"/>
      <c r="EW625" s="348"/>
      <c r="EX625" s="348"/>
      <c r="EY625" s="348"/>
      <c r="EZ625" s="348"/>
      <c r="FA625" s="348"/>
      <c r="FB625" s="348"/>
      <c r="FC625" s="348"/>
      <c r="FD625" s="348"/>
      <c r="FE625" s="348"/>
      <c r="FF625" s="348"/>
      <c r="FG625" s="349"/>
    </row>
    <row r="626" spans="1:163" s="295" customFormat="1" ht="15" customHeight="1" outlineLevel="1">
      <c r="A626" s="295" t="str">
        <f t="shared" si="127"/>
        <v>1</v>
      </c>
      <c r="L626" s="720" t="s">
        <v>263</v>
      </c>
      <c r="M626" s="721"/>
      <c r="N626" s="345">
        <f>INDEX('Общие сведения'!$M$114:$M$127,MATCH($A626,'Общие сведения'!$D$114:$D$127,0))</f>
        <v>0</v>
      </c>
      <c r="O626" s="348"/>
      <c r="P626" s="348"/>
      <c r="Q626" s="348"/>
      <c r="R626" s="348"/>
      <c r="S626" s="348"/>
      <c r="T626" s="348"/>
      <c r="U626" s="348"/>
      <c r="V626" s="348"/>
      <c r="W626" s="348"/>
      <c r="X626" s="348"/>
      <c r="Y626" s="348"/>
      <c r="Z626" s="348"/>
      <c r="AA626" s="348"/>
      <c r="AB626" s="348"/>
      <c r="AC626" s="348"/>
      <c r="AD626" s="348"/>
      <c r="AE626" s="348"/>
      <c r="AF626" s="348"/>
      <c r="AG626" s="348"/>
      <c r="AH626" s="348"/>
      <c r="AI626" s="348"/>
      <c r="AJ626" s="348"/>
      <c r="AK626" s="348"/>
      <c r="AL626" s="348"/>
      <c r="AM626" s="348"/>
      <c r="AN626" s="348"/>
      <c r="AO626" s="348"/>
      <c r="AP626" s="348"/>
      <c r="AQ626" s="348"/>
      <c r="AR626" s="348"/>
      <c r="AS626" s="348"/>
      <c r="AT626" s="348"/>
      <c r="AU626" s="348"/>
      <c r="AV626" s="348"/>
      <c r="AW626" s="348"/>
      <c r="AX626" s="348"/>
      <c r="AY626" s="348"/>
      <c r="AZ626" s="348"/>
      <c r="BA626" s="348"/>
      <c r="BB626" s="348"/>
      <c r="BC626" s="348"/>
      <c r="BD626" s="348"/>
      <c r="BE626" s="348"/>
      <c r="BF626" s="348"/>
      <c r="BG626" s="348"/>
      <c r="BH626" s="348"/>
      <c r="BI626" s="348"/>
      <c r="BJ626" s="348"/>
      <c r="BK626" s="348"/>
      <c r="BL626" s="348"/>
      <c r="BM626" s="348"/>
      <c r="BN626" s="348"/>
      <c r="BO626" s="348"/>
      <c r="BP626" s="348"/>
      <c r="BQ626" s="348"/>
      <c r="BR626" s="348"/>
      <c r="BS626" s="348"/>
      <c r="BT626" s="348"/>
      <c r="BU626" s="348"/>
      <c r="BV626" s="348"/>
      <c r="BW626" s="348"/>
      <c r="BX626" s="348"/>
      <c r="BY626" s="348"/>
      <c r="BZ626" s="348"/>
      <c r="CA626" s="348"/>
      <c r="CB626" s="348"/>
      <c r="CC626" s="348"/>
      <c r="CD626" s="348"/>
      <c r="CE626" s="348"/>
      <c r="CF626" s="348"/>
      <c r="CG626" s="348"/>
      <c r="CH626" s="348"/>
      <c r="CI626" s="348"/>
      <c r="CJ626" s="348"/>
      <c r="CK626" s="348"/>
      <c r="CL626" s="348"/>
      <c r="CM626" s="348"/>
      <c r="CN626" s="348"/>
      <c r="CO626" s="348"/>
      <c r="CP626" s="348"/>
      <c r="CQ626" s="348"/>
      <c r="CR626" s="348"/>
      <c r="CS626" s="348"/>
      <c r="CT626" s="348"/>
      <c r="CU626" s="348"/>
      <c r="CV626" s="348"/>
      <c r="CW626" s="348"/>
      <c r="CX626" s="348"/>
      <c r="CY626" s="348"/>
      <c r="CZ626" s="348"/>
      <c r="DA626" s="348"/>
      <c r="DB626" s="348"/>
      <c r="DC626" s="348"/>
      <c r="DD626" s="348"/>
      <c r="DE626" s="348"/>
      <c r="DF626" s="348"/>
      <c r="DG626" s="348"/>
      <c r="DH626" s="348"/>
      <c r="DI626" s="348"/>
      <c r="DJ626" s="348"/>
      <c r="DK626" s="348"/>
      <c r="DL626" s="348"/>
      <c r="DM626" s="348"/>
      <c r="DN626" s="348"/>
      <c r="DO626" s="348"/>
      <c r="DP626" s="348"/>
      <c r="DQ626" s="348"/>
      <c r="DR626" s="348"/>
      <c r="DS626" s="348"/>
      <c r="DT626" s="348"/>
      <c r="DU626" s="348"/>
      <c r="DV626" s="348"/>
      <c r="DW626" s="348"/>
      <c r="DX626" s="348"/>
      <c r="DY626" s="348"/>
      <c r="DZ626" s="348"/>
      <c r="EA626" s="348"/>
      <c r="EB626" s="348"/>
      <c r="EC626" s="348"/>
      <c r="ED626" s="348"/>
      <c r="EE626" s="348"/>
      <c r="EF626" s="348"/>
      <c r="EG626" s="348"/>
      <c r="EH626" s="348"/>
      <c r="EI626" s="348"/>
      <c r="EJ626" s="348"/>
      <c r="EK626" s="348"/>
      <c r="EL626" s="348"/>
      <c r="EM626" s="348"/>
      <c r="EN626" s="348"/>
      <c r="EO626" s="348"/>
      <c r="EP626" s="348"/>
      <c r="EQ626" s="348"/>
      <c r="ER626" s="348"/>
      <c r="ES626" s="348"/>
      <c r="ET626" s="348"/>
      <c r="EU626" s="348"/>
      <c r="EV626" s="348"/>
      <c r="EW626" s="348"/>
      <c r="EX626" s="348"/>
      <c r="EY626" s="348"/>
      <c r="EZ626" s="348"/>
      <c r="FA626" s="348"/>
      <c r="FB626" s="348"/>
      <c r="FC626" s="348"/>
      <c r="FD626" s="348"/>
      <c r="FE626" s="348"/>
      <c r="FF626" s="348"/>
      <c r="FG626" s="349"/>
    </row>
    <row r="627" spans="1:163" s="354" customFormat="1" ht="15" customHeight="1" outlineLevel="1">
      <c r="A627" s="295" t="str">
        <f t="shared" si="127"/>
        <v>1</v>
      </c>
      <c r="C627" s="598" t="s">
        <v>1491</v>
      </c>
      <c r="D627" s="598" t="s">
        <v>1724</v>
      </c>
      <c r="L627" s="406" t="s">
        <v>671</v>
      </c>
      <c r="M627" s="407" t="s">
        <v>652</v>
      </c>
      <c r="N627" s="408"/>
      <c r="O627" s="408"/>
      <c r="P627" s="358">
        <f>IF(N627=0,0,(O627-N627)/N627*100)</f>
        <v>0</v>
      </c>
      <c r="Q627" s="408"/>
      <c r="R627" s="408"/>
      <c r="S627" s="358">
        <f>IF(Q627=0,0,(R627-Q627)/Q627*100)</f>
        <v>0</v>
      </c>
      <c r="T627" s="408"/>
      <c r="U627" s="408"/>
      <c r="V627" s="358">
        <f>IF(T627=0,0,(U627-T627)/T627*100)</f>
        <v>0</v>
      </c>
      <c r="W627" s="408"/>
      <c r="X627" s="408"/>
      <c r="Y627" s="358">
        <f>IF(W627=0,0,(X627-W627)/W627*100)</f>
        <v>0</v>
      </c>
      <c r="Z627" s="408"/>
      <c r="AA627" s="408"/>
      <c r="AB627" s="358">
        <f>IF(Z627=0,0,(AA627-Z627)/Z627*100)</f>
        <v>0</v>
      </c>
      <c r="AC627" s="408"/>
      <c r="AD627" s="408"/>
      <c r="AE627" s="358">
        <f>IF(AC627=0,0,(AD627-AC627)/AC627*100)</f>
        <v>0</v>
      </c>
      <c r="AF627" s="408"/>
      <c r="AG627" s="408"/>
      <c r="AH627" s="358">
        <f>IF(AF627=0,0,(AG627-AF627)/AF627*100)</f>
        <v>0</v>
      </c>
      <c r="AI627" s="408"/>
      <c r="AJ627" s="408"/>
      <c r="AK627" s="358">
        <f>IF(AI627=0,0,(AJ627-AI627)/AI627*100)</f>
        <v>0</v>
      </c>
      <c r="AL627" s="408"/>
      <c r="AM627" s="408"/>
      <c r="AN627" s="358">
        <f>IF(AL627=0,0,(AM627-AL627)/AL627*100)</f>
        <v>0</v>
      </c>
      <c r="AO627" s="408"/>
      <c r="AP627" s="408"/>
      <c r="AQ627" s="358">
        <f>IF(AO627=0,0,(AP627-AO627)/AO627*100)</f>
        <v>0</v>
      </c>
      <c r="AR627" s="408"/>
      <c r="AS627" s="408"/>
      <c r="AT627" s="358">
        <f>IF(AR627=0,0,(AS627-AR627)/AR627*100)</f>
        <v>0</v>
      </c>
      <c r="AU627" s="408"/>
      <c r="AV627" s="408"/>
      <c r="AW627" s="358">
        <f>IF(AU627=0,0,(AV627-AU627)/AU627*100)</f>
        <v>0</v>
      </c>
      <c r="AX627" s="408"/>
      <c r="AY627" s="408"/>
      <c r="AZ627" s="358">
        <f>IF(AX627=0,0,(AY627-AX627)/AX627*100)</f>
        <v>0</v>
      </c>
      <c r="BA627" s="408"/>
      <c r="BB627" s="408"/>
      <c r="BC627" s="358">
        <f>IF(BA627=0,0,(BB627-BA627)/BA627*100)</f>
        <v>0</v>
      </c>
      <c r="BD627" s="408"/>
      <c r="BE627" s="408"/>
      <c r="BF627" s="358">
        <f>IF(BD627=0,0,(BE627-BD627)/BD627*100)</f>
        <v>0</v>
      </c>
      <c r="BG627" s="408"/>
      <c r="BH627" s="408"/>
      <c r="BI627" s="358">
        <f>IF(BG627=0,0,(BH627-BG627)/BG627*100)</f>
        <v>0</v>
      </c>
      <c r="BJ627" s="408"/>
      <c r="BK627" s="408"/>
      <c r="BL627" s="358">
        <f>IF(BJ627=0,0,(BK627-BJ627)/BJ627*100)</f>
        <v>0</v>
      </c>
      <c r="BM627" s="408"/>
      <c r="BN627" s="408"/>
      <c r="BO627" s="358">
        <f>IF(BM627=0,0,(BN627-BM627)/BM627*100)</f>
        <v>0</v>
      </c>
      <c r="BP627" s="408"/>
      <c r="BQ627" s="408"/>
      <c r="BR627" s="358">
        <f>IF(BP627=0,0,(BQ627-BP627)/BP627*100)</f>
        <v>0</v>
      </c>
      <c r="BS627" s="408"/>
      <c r="BT627" s="408"/>
      <c r="BU627" s="358">
        <f>IF(BS627=0,0,(BT627-BS627)/BS627*100)</f>
        <v>0</v>
      </c>
      <c r="BV627" s="408"/>
      <c r="BW627" s="408"/>
      <c r="BX627" s="358">
        <f>IF(BV627=0,0,(BW627-BV627)/BV627*100)</f>
        <v>0</v>
      </c>
      <c r="BY627" s="408"/>
      <c r="BZ627" s="408"/>
      <c r="CA627" s="358">
        <f>IF(BY627=0,0,(BZ627-BY627)/BY627*100)</f>
        <v>0</v>
      </c>
      <c r="CB627" s="408"/>
      <c r="CC627" s="408"/>
      <c r="CD627" s="358">
        <f>IF(CB627=0,0,(CC627-CB627)/CB627*100)</f>
        <v>0</v>
      </c>
      <c r="CE627" s="408"/>
      <c r="CF627" s="408"/>
      <c r="CG627" s="358">
        <f>IF(CE627=0,0,(CF627-CE627)/CE627*100)</f>
        <v>0</v>
      </c>
      <c r="CH627" s="408"/>
      <c r="CI627" s="408"/>
      <c r="CJ627" s="358">
        <f>IF(CH627=0,0,(CI627-CH627)/CH627*100)</f>
        <v>0</v>
      </c>
      <c r="CK627" s="408"/>
      <c r="CL627" s="408"/>
      <c r="CM627" s="358">
        <f>IF(CK627=0,0,(CL627-CK627)/CK627*100)</f>
        <v>0</v>
      </c>
      <c r="CN627" s="408"/>
      <c r="CO627" s="408"/>
      <c r="CP627" s="358">
        <f>IF(CN627=0,0,(CO627-CN627)/CN627*100)</f>
        <v>0</v>
      </c>
      <c r="CQ627" s="408"/>
      <c r="CR627" s="408"/>
      <c r="CS627" s="358">
        <f>IF(CQ627=0,0,(CR627-CQ627)/CQ627*100)</f>
        <v>0</v>
      </c>
      <c r="CT627" s="408"/>
      <c r="CU627" s="408"/>
      <c r="CV627" s="358">
        <f>IF(CT627=0,0,(CU627-CT627)/CT627*100)</f>
        <v>0</v>
      </c>
      <c r="CW627" s="408"/>
      <c r="CX627" s="408"/>
      <c r="CY627" s="358">
        <f>IF(CW627=0,0,(CX627-CW627)/CW627*100)</f>
        <v>0</v>
      </c>
      <c r="CZ627" s="408"/>
      <c r="DA627" s="408"/>
      <c r="DB627" s="358">
        <f>IF(CZ627=0,0,(DA627-CZ627)/CZ627*100)</f>
        <v>0</v>
      </c>
      <c r="DC627" s="408"/>
      <c r="DD627" s="408"/>
      <c r="DE627" s="358">
        <f>IF(DC627=0,0,(DD627-DC627)/DC627*100)</f>
        <v>0</v>
      </c>
      <c r="DF627" s="408"/>
      <c r="DG627" s="408"/>
      <c r="DH627" s="358">
        <f>IF(DF627=0,0,(DG627-DF627)/DF627*100)</f>
        <v>0</v>
      </c>
      <c r="DI627" s="408"/>
      <c r="DJ627" s="408"/>
      <c r="DK627" s="358">
        <f>IF(DI627=0,0,(DJ627-DI627)/DI627*100)</f>
        <v>0</v>
      </c>
      <c r="DL627" s="408"/>
      <c r="DM627" s="408"/>
      <c r="DN627" s="358">
        <f>IF(DL627=0,0,(DM627-DL627)/DL627*100)</f>
        <v>0</v>
      </c>
      <c r="DO627" s="408"/>
      <c r="DP627" s="408"/>
      <c r="DQ627" s="358">
        <f>IF(DO627=0,0,(DP627-DO627)/DO627*100)</f>
        <v>0</v>
      </c>
      <c r="DR627" s="408"/>
      <c r="DS627" s="408"/>
      <c r="DT627" s="358">
        <f>IF(DR627=0,0,(DS627-DR627)/DR627*100)</f>
        <v>0</v>
      </c>
      <c r="DU627" s="408"/>
      <c r="DV627" s="408"/>
      <c r="DW627" s="358">
        <f>IF(DU627=0,0,(DV627-DU627)/DU627*100)</f>
        <v>0</v>
      </c>
      <c r="DX627" s="408"/>
      <c r="DY627" s="408"/>
      <c r="DZ627" s="358">
        <f>IF(DX627=0,0,(DY627-DX627)/DX627*100)</f>
        <v>0</v>
      </c>
      <c r="EA627" s="408"/>
      <c r="EB627" s="408"/>
      <c r="EC627" s="358">
        <f>IF(EA627=0,0,(EB627-EA627)/EA627*100)</f>
        <v>0</v>
      </c>
      <c r="ED627" s="408"/>
      <c r="EE627" s="408"/>
      <c r="EF627" s="358">
        <f>IF(ED627=0,0,(EE627-ED627)/ED627*100)</f>
        <v>0</v>
      </c>
      <c r="EG627" s="408"/>
      <c r="EH627" s="408"/>
      <c r="EI627" s="358">
        <f>IF(EG627=0,0,(EH627-EG627)/EG627*100)</f>
        <v>0</v>
      </c>
      <c r="EJ627" s="408"/>
      <c r="EK627" s="408"/>
      <c r="EL627" s="358">
        <f>IF(EJ627=0,0,(EK627-EJ627)/EJ627*100)</f>
        <v>0</v>
      </c>
      <c r="EM627" s="408"/>
      <c r="EN627" s="408"/>
      <c r="EO627" s="358">
        <f>IF(EM627=0,0,(EN627-EM627)/EM627*100)</f>
        <v>0</v>
      </c>
      <c r="EP627" s="408"/>
      <c r="EQ627" s="408"/>
      <c r="ER627" s="358">
        <f>IF(EP627=0,0,(EQ627-EP627)/EP627*100)</f>
        <v>0</v>
      </c>
      <c r="ES627" s="408"/>
      <c r="ET627" s="408"/>
      <c r="EU627" s="358">
        <f>IF(ES627=0,0,(ET627-ES627)/ES627*100)</f>
        <v>0</v>
      </c>
      <c r="EV627" s="408"/>
      <c r="EW627" s="408"/>
      <c r="EX627" s="358">
        <f>IF(EV627=0,0,(EW627-EV627)/EV627*100)</f>
        <v>0</v>
      </c>
      <c r="EY627" s="408"/>
      <c r="EZ627" s="408"/>
      <c r="FA627" s="358">
        <f>IF(EY627=0,0,(EZ627-EY627)/EY627*100)</f>
        <v>0</v>
      </c>
      <c r="FB627" s="408"/>
      <c r="FC627" s="408"/>
      <c r="FD627" s="358">
        <f>IF(FB627=0,0,(FC627-FB627)/FB627*100)</f>
        <v>0</v>
      </c>
      <c r="FE627" s="408"/>
      <c r="FF627" s="408"/>
      <c r="FG627" s="358">
        <f>IF(FE627=0,0,(FF627-FE627)/FE627*100)</f>
        <v>0</v>
      </c>
    </row>
    <row r="628" spans="1:163" s="354" customFormat="1" ht="15" customHeight="1" outlineLevel="1">
      <c r="A628" s="295" t="str">
        <f t="shared" si="127"/>
        <v>1</v>
      </c>
      <c r="C628" s="598" t="s">
        <v>1491</v>
      </c>
      <c r="D628" s="598" t="s">
        <v>1725</v>
      </c>
      <c r="L628" s="406" t="s">
        <v>672</v>
      </c>
      <c r="M628" s="407" t="s">
        <v>652</v>
      </c>
      <c r="N628" s="408"/>
      <c r="O628" s="408"/>
      <c r="P628" s="358">
        <f>IF(N628=0,0,(O628-N628)/N628*100)</f>
        <v>0</v>
      </c>
      <c r="Q628" s="408"/>
      <c r="R628" s="408"/>
      <c r="S628" s="358">
        <f>IF(Q628=0,0,(R628-Q628)/Q628*100)</f>
        <v>0</v>
      </c>
      <c r="T628" s="408"/>
      <c r="U628" s="408"/>
      <c r="V628" s="358">
        <f>IF(T628=0,0,(U628-T628)/T628*100)</f>
        <v>0</v>
      </c>
      <c r="W628" s="408"/>
      <c r="X628" s="408"/>
      <c r="Y628" s="358">
        <f>IF(W628=0,0,(X628-W628)/W628*100)</f>
        <v>0</v>
      </c>
      <c r="Z628" s="408"/>
      <c r="AA628" s="408"/>
      <c r="AB628" s="358">
        <f>IF(Z628=0,0,(AA628-Z628)/Z628*100)</f>
        <v>0</v>
      </c>
      <c r="AC628" s="408"/>
      <c r="AD628" s="408"/>
      <c r="AE628" s="358">
        <f>IF(AC628=0,0,(AD628-AC628)/AC628*100)</f>
        <v>0</v>
      </c>
      <c r="AF628" s="408"/>
      <c r="AG628" s="408"/>
      <c r="AH628" s="358">
        <f>IF(AF628=0,0,(AG628-AF628)/AF628*100)</f>
        <v>0</v>
      </c>
      <c r="AI628" s="408"/>
      <c r="AJ628" s="408"/>
      <c r="AK628" s="358">
        <f>IF(AI628=0,0,(AJ628-AI628)/AI628*100)</f>
        <v>0</v>
      </c>
      <c r="AL628" s="408"/>
      <c r="AM628" s="408"/>
      <c r="AN628" s="358">
        <f>IF(AL628=0,0,(AM628-AL628)/AL628*100)</f>
        <v>0</v>
      </c>
      <c r="AO628" s="408"/>
      <c r="AP628" s="408"/>
      <c r="AQ628" s="358">
        <f>IF(AO628=0,0,(AP628-AO628)/AO628*100)</f>
        <v>0</v>
      </c>
      <c r="AR628" s="408"/>
      <c r="AS628" s="408"/>
      <c r="AT628" s="358">
        <f>IF(AR628=0,0,(AS628-AR628)/AR628*100)</f>
        <v>0</v>
      </c>
      <c r="AU628" s="408"/>
      <c r="AV628" s="408"/>
      <c r="AW628" s="358">
        <f>IF(AU628=0,0,(AV628-AU628)/AU628*100)</f>
        <v>0</v>
      </c>
      <c r="AX628" s="408"/>
      <c r="AY628" s="408"/>
      <c r="AZ628" s="358">
        <f>IF(AX628=0,0,(AY628-AX628)/AX628*100)</f>
        <v>0</v>
      </c>
      <c r="BA628" s="408"/>
      <c r="BB628" s="408"/>
      <c r="BC628" s="358">
        <f>IF(BA628=0,0,(BB628-BA628)/BA628*100)</f>
        <v>0</v>
      </c>
      <c r="BD628" s="408"/>
      <c r="BE628" s="408"/>
      <c r="BF628" s="358">
        <f>IF(BD628=0,0,(BE628-BD628)/BD628*100)</f>
        <v>0</v>
      </c>
      <c r="BG628" s="408"/>
      <c r="BH628" s="408"/>
      <c r="BI628" s="358">
        <f>IF(BG628=0,0,(BH628-BG628)/BG628*100)</f>
        <v>0</v>
      </c>
      <c r="BJ628" s="408"/>
      <c r="BK628" s="408"/>
      <c r="BL628" s="358">
        <f>IF(BJ628=0,0,(BK628-BJ628)/BJ628*100)</f>
        <v>0</v>
      </c>
      <c r="BM628" s="408"/>
      <c r="BN628" s="408"/>
      <c r="BO628" s="358">
        <f>IF(BM628=0,0,(BN628-BM628)/BM628*100)</f>
        <v>0</v>
      </c>
      <c r="BP628" s="408"/>
      <c r="BQ628" s="408"/>
      <c r="BR628" s="358">
        <f>IF(BP628=0,0,(BQ628-BP628)/BP628*100)</f>
        <v>0</v>
      </c>
      <c r="BS628" s="408"/>
      <c r="BT628" s="408"/>
      <c r="BU628" s="358">
        <f>IF(BS628=0,0,(BT628-BS628)/BS628*100)</f>
        <v>0</v>
      </c>
      <c r="BV628" s="408"/>
      <c r="BW628" s="408"/>
      <c r="BX628" s="358">
        <f>IF(BV628=0,0,(BW628-BV628)/BV628*100)</f>
        <v>0</v>
      </c>
      <c r="BY628" s="408"/>
      <c r="BZ628" s="408"/>
      <c r="CA628" s="358">
        <f>IF(BY628=0,0,(BZ628-BY628)/BY628*100)</f>
        <v>0</v>
      </c>
      <c r="CB628" s="408"/>
      <c r="CC628" s="408"/>
      <c r="CD628" s="358">
        <f>IF(CB628=0,0,(CC628-CB628)/CB628*100)</f>
        <v>0</v>
      </c>
      <c r="CE628" s="408"/>
      <c r="CF628" s="408"/>
      <c r="CG628" s="358">
        <f>IF(CE628=0,0,(CF628-CE628)/CE628*100)</f>
        <v>0</v>
      </c>
      <c r="CH628" s="408"/>
      <c r="CI628" s="408"/>
      <c r="CJ628" s="358">
        <f>IF(CH628=0,0,(CI628-CH628)/CH628*100)</f>
        <v>0</v>
      </c>
      <c r="CK628" s="408"/>
      <c r="CL628" s="408"/>
      <c r="CM628" s="358">
        <f>IF(CK628=0,0,(CL628-CK628)/CK628*100)</f>
        <v>0</v>
      </c>
      <c r="CN628" s="408"/>
      <c r="CO628" s="408"/>
      <c r="CP628" s="358">
        <f>IF(CN628=0,0,(CO628-CN628)/CN628*100)</f>
        <v>0</v>
      </c>
      <c r="CQ628" s="408"/>
      <c r="CR628" s="408"/>
      <c r="CS628" s="358">
        <f>IF(CQ628=0,0,(CR628-CQ628)/CQ628*100)</f>
        <v>0</v>
      </c>
      <c r="CT628" s="408"/>
      <c r="CU628" s="408"/>
      <c r="CV628" s="358">
        <f>IF(CT628=0,0,(CU628-CT628)/CT628*100)</f>
        <v>0</v>
      </c>
      <c r="CW628" s="408"/>
      <c r="CX628" s="408"/>
      <c r="CY628" s="358">
        <f>IF(CW628=0,0,(CX628-CW628)/CW628*100)</f>
        <v>0</v>
      </c>
      <c r="CZ628" s="408"/>
      <c r="DA628" s="408"/>
      <c r="DB628" s="358">
        <f>IF(CZ628=0,0,(DA628-CZ628)/CZ628*100)</f>
        <v>0</v>
      </c>
      <c r="DC628" s="408"/>
      <c r="DD628" s="408"/>
      <c r="DE628" s="358">
        <f>IF(DC628=0,0,(DD628-DC628)/DC628*100)</f>
        <v>0</v>
      </c>
      <c r="DF628" s="408"/>
      <c r="DG628" s="408"/>
      <c r="DH628" s="358">
        <f>IF(DF628=0,0,(DG628-DF628)/DF628*100)</f>
        <v>0</v>
      </c>
      <c r="DI628" s="408"/>
      <c r="DJ628" s="408"/>
      <c r="DK628" s="358">
        <f>IF(DI628=0,0,(DJ628-DI628)/DI628*100)</f>
        <v>0</v>
      </c>
      <c r="DL628" s="408"/>
      <c r="DM628" s="408"/>
      <c r="DN628" s="358">
        <f>IF(DL628=0,0,(DM628-DL628)/DL628*100)</f>
        <v>0</v>
      </c>
      <c r="DO628" s="408"/>
      <c r="DP628" s="408"/>
      <c r="DQ628" s="358">
        <f>IF(DO628=0,0,(DP628-DO628)/DO628*100)</f>
        <v>0</v>
      </c>
      <c r="DR628" s="408"/>
      <c r="DS628" s="408"/>
      <c r="DT628" s="358">
        <f>IF(DR628=0,0,(DS628-DR628)/DR628*100)</f>
        <v>0</v>
      </c>
      <c r="DU628" s="408"/>
      <c r="DV628" s="408"/>
      <c r="DW628" s="358">
        <f>IF(DU628=0,0,(DV628-DU628)/DU628*100)</f>
        <v>0</v>
      </c>
      <c r="DX628" s="408"/>
      <c r="DY628" s="408"/>
      <c r="DZ628" s="358">
        <f>IF(DX628=0,0,(DY628-DX628)/DX628*100)</f>
        <v>0</v>
      </c>
      <c r="EA628" s="408"/>
      <c r="EB628" s="408"/>
      <c r="EC628" s="358">
        <f>IF(EA628=0,0,(EB628-EA628)/EA628*100)</f>
        <v>0</v>
      </c>
      <c r="ED628" s="408"/>
      <c r="EE628" s="408"/>
      <c r="EF628" s="358">
        <f>IF(ED628=0,0,(EE628-ED628)/ED628*100)</f>
        <v>0</v>
      </c>
      <c r="EG628" s="408"/>
      <c r="EH628" s="408"/>
      <c r="EI628" s="358">
        <f>IF(EG628=0,0,(EH628-EG628)/EG628*100)</f>
        <v>0</v>
      </c>
      <c r="EJ628" s="408"/>
      <c r="EK628" s="408"/>
      <c r="EL628" s="358">
        <f>IF(EJ628=0,0,(EK628-EJ628)/EJ628*100)</f>
        <v>0</v>
      </c>
      <c r="EM628" s="408"/>
      <c r="EN628" s="408"/>
      <c r="EO628" s="358">
        <f>IF(EM628=0,0,(EN628-EM628)/EM628*100)</f>
        <v>0</v>
      </c>
      <c r="EP628" s="408"/>
      <c r="EQ628" s="408"/>
      <c r="ER628" s="358">
        <f>IF(EP628=0,0,(EQ628-EP628)/EP628*100)</f>
        <v>0</v>
      </c>
      <c r="ES628" s="408"/>
      <c r="ET628" s="408"/>
      <c r="EU628" s="358">
        <f>IF(ES628=0,0,(ET628-ES628)/ES628*100)</f>
        <v>0</v>
      </c>
      <c r="EV628" s="408"/>
      <c r="EW628" s="408"/>
      <c r="EX628" s="358">
        <f>IF(EV628=0,0,(EW628-EV628)/EV628*100)</f>
        <v>0</v>
      </c>
      <c r="EY628" s="408"/>
      <c r="EZ628" s="408"/>
      <c r="FA628" s="358">
        <f>IF(EY628=0,0,(EZ628-EY628)/EY628*100)</f>
        <v>0</v>
      </c>
      <c r="FB628" s="408"/>
      <c r="FC628" s="408"/>
      <c r="FD628" s="358">
        <f>IF(FB628=0,0,(FC628-FB628)/FB628*100)</f>
        <v>0</v>
      </c>
      <c r="FE628" s="408"/>
      <c r="FF628" s="408"/>
      <c r="FG628" s="358">
        <f>IF(FE628=0,0,(FF628-FE628)/FE628*100)</f>
        <v>0</v>
      </c>
    </row>
    <row r="629" spans="1:163" s="295" customFormat="1" ht="15" customHeight="1" outlineLevel="1">
      <c r="A629" s="295" t="str">
        <f t="shared" si="127"/>
        <v>1</v>
      </c>
      <c r="C629" s="295" t="s">
        <v>1489</v>
      </c>
      <c r="L629" s="409" t="s">
        <v>659</v>
      </c>
      <c r="M629" s="410" t="s">
        <v>137</v>
      </c>
      <c r="N629" s="361">
        <f>IF(N627=0,0,N628/N627)*100</f>
        <v>0</v>
      </c>
      <c r="O629" s="361">
        <f>IF(O627=0,0,O628/O627)*100</f>
        <v>0</v>
      </c>
      <c r="P629" s="411"/>
      <c r="Q629" s="361">
        <f>IF(Q627=0,0,Q628/Q627)*100</f>
        <v>0</v>
      </c>
      <c r="R629" s="361">
        <f>IF(R627=0,0,R628/R627)*100</f>
        <v>0</v>
      </c>
      <c r="S629" s="411"/>
      <c r="T629" s="361">
        <f>IF(T627=0,0,T628/T627)*100</f>
        <v>0</v>
      </c>
      <c r="U629" s="361">
        <f>IF(U627=0,0,U628/U627)*100</f>
        <v>0</v>
      </c>
      <c r="V629" s="411"/>
      <c r="W629" s="361">
        <f>IF(W627=0,0,W628/W627)*100</f>
        <v>0</v>
      </c>
      <c r="X629" s="361">
        <f>IF(X627=0,0,X628/X627)*100</f>
        <v>0</v>
      </c>
      <c r="Y629" s="411"/>
      <c r="Z629" s="361">
        <f>IF(Z627=0,0,Z628/Z627)*100</f>
        <v>0</v>
      </c>
      <c r="AA629" s="361">
        <f>IF(AA627=0,0,AA628/AA627)*100</f>
        <v>0</v>
      </c>
      <c r="AB629" s="411"/>
      <c r="AC629" s="361">
        <f>IF(AC627=0,0,AC628/AC627)*100</f>
        <v>0</v>
      </c>
      <c r="AD629" s="361">
        <f>IF(AD627=0,0,AD628/AD627)*100</f>
        <v>0</v>
      </c>
      <c r="AE629" s="411"/>
      <c r="AF629" s="361">
        <f>IF(AF627=0,0,AF628/AF627)*100</f>
        <v>0</v>
      </c>
      <c r="AG629" s="361">
        <f>IF(AG627=0,0,AG628/AG627)*100</f>
        <v>0</v>
      </c>
      <c r="AH629" s="411"/>
      <c r="AI629" s="361">
        <f>IF(AI627=0,0,AI628/AI627)*100</f>
        <v>0</v>
      </c>
      <c r="AJ629" s="361">
        <f>IF(AJ627=0,0,AJ628/AJ627)*100</f>
        <v>0</v>
      </c>
      <c r="AK629" s="411"/>
      <c r="AL629" s="361">
        <f>IF(AL627=0,0,AL628/AL627)*100</f>
        <v>0</v>
      </c>
      <c r="AM629" s="361">
        <f>IF(AM627=0,0,AM628/AM627)*100</f>
        <v>0</v>
      </c>
      <c r="AN629" s="411"/>
      <c r="AO629" s="361">
        <f>IF(AO627=0,0,AO628/AO627)*100</f>
        <v>0</v>
      </c>
      <c r="AP629" s="361">
        <f>IF(AP627=0,0,AP628/AP627)*100</f>
        <v>0</v>
      </c>
      <c r="AQ629" s="411"/>
      <c r="AR629" s="361">
        <f>IF(AR627=0,0,AR628/AR627)*100</f>
        <v>0</v>
      </c>
      <c r="AS629" s="361">
        <f>IF(AS627=0,0,AS628/AS627)*100</f>
        <v>0</v>
      </c>
      <c r="AT629" s="411"/>
      <c r="AU629" s="361">
        <f>IF(AU627=0,0,AU628/AU627)*100</f>
        <v>0</v>
      </c>
      <c r="AV629" s="361">
        <f>IF(AV627=0,0,AV628/AV627)*100</f>
        <v>0</v>
      </c>
      <c r="AW629" s="411"/>
      <c r="AX629" s="361">
        <f>IF(AX627=0,0,AX628/AX627)*100</f>
        <v>0</v>
      </c>
      <c r="AY629" s="361">
        <f>IF(AY627=0,0,AY628/AY627)*100</f>
        <v>0</v>
      </c>
      <c r="AZ629" s="411"/>
      <c r="BA629" s="361">
        <f>IF(BA627=0,0,BA628/BA627)*100</f>
        <v>0</v>
      </c>
      <c r="BB629" s="361">
        <f>IF(BB627=0,0,BB628/BB627)*100</f>
        <v>0</v>
      </c>
      <c r="BC629" s="411"/>
      <c r="BD629" s="361">
        <f>IF(BD627=0,0,BD628/BD627)*100</f>
        <v>0</v>
      </c>
      <c r="BE629" s="361">
        <f>IF(BE627=0,0,BE628/BE627)*100</f>
        <v>0</v>
      </c>
      <c r="BF629" s="411"/>
      <c r="BG629" s="361">
        <f>IF(BG627=0,0,BG628/BG627)*100</f>
        <v>0</v>
      </c>
      <c r="BH629" s="361">
        <f>IF(BH627=0,0,BH628/BH627)*100</f>
        <v>0</v>
      </c>
      <c r="BI629" s="411"/>
      <c r="BJ629" s="361">
        <f>IF(BJ627=0,0,BJ628/BJ627)*100</f>
        <v>0</v>
      </c>
      <c r="BK629" s="361">
        <f>IF(BK627=0,0,BK628/BK627)*100</f>
        <v>0</v>
      </c>
      <c r="BL629" s="411"/>
      <c r="BM629" s="361">
        <f>IF(BM627=0,0,BM628/BM627)*100</f>
        <v>0</v>
      </c>
      <c r="BN629" s="361">
        <f>IF(BN627=0,0,BN628/BN627)*100</f>
        <v>0</v>
      </c>
      <c r="BO629" s="411"/>
      <c r="BP629" s="361">
        <f>IF(BP627=0,0,BP628/BP627)*100</f>
        <v>0</v>
      </c>
      <c r="BQ629" s="361">
        <f>IF(BQ627=0,0,BQ628/BQ627)*100</f>
        <v>0</v>
      </c>
      <c r="BR629" s="411"/>
      <c r="BS629" s="361">
        <f>IF(BS627=0,0,BS628/BS627)*100</f>
        <v>0</v>
      </c>
      <c r="BT629" s="361">
        <f>IF(BT627=0,0,BT628/BT627)*100</f>
        <v>0</v>
      </c>
      <c r="BU629" s="411"/>
      <c r="BV629" s="361">
        <f>IF(BV627=0,0,BV628/BV627)*100</f>
        <v>0</v>
      </c>
      <c r="BW629" s="361">
        <f>IF(BW627=0,0,BW628/BW627)*100</f>
        <v>0</v>
      </c>
      <c r="BX629" s="411"/>
      <c r="BY629" s="361">
        <f>IF(BY627=0,0,BY628/BY627)*100</f>
        <v>0</v>
      </c>
      <c r="BZ629" s="361">
        <f>IF(BZ627=0,0,BZ628/BZ627)*100</f>
        <v>0</v>
      </c>
      <c r="CA629" s="411"/>
      <c r="CB629" s="361">
        <f>IF(CB627=0,0,CB628/CB627)*100</f>
        <v>0</v>
      </c>
      <c r="CC629" s="361">
        <f>IF(CC627=0,0,CC628/CC627)*100</f>
        <v>0</v>
      </c>
      <c r="CD629" s="411"/>
      <c r="CE629" s="361">
        <f>IF(CE627=0,0,CE628/CE627)*100</f>
        <v>0</v>
      </c>
      <c r="CF629" s="361">
        <f>IF(CF627=0,0,CF628/CF627)*100</f>
        <v>0</v>
      </c>
      <c r="CG629" s="411"/>
      <c r="CH629" s="361">
        <f>IF(CH627=0,0,CH628/CH627)*100</f>
        <v>0</v>
      </c>
      <c r="CI629" s="361">
        <f>IF(CI627=0,0,CI628/CI627)*100</f>
        <v>0</v>
      </c>
      <c r="CJ629" s="411"/>
      <c r="CK629" s="361">
        <f>IF(CK627=0,0,CK628/CK627)*100</f>
        <v>0</v>
      </c>
      <c r="CL629" s="361">
        <f>IF(CL627=0,0,CL628/CL627)*100</f>
        <v>0</v>
      </c>
      <c r="CM629" s="411"/>
      <c r="CN629" s="361">
        <f>IF(CN627=0,0,CN628/CN627)*100</f>
        <v>0</v>
      </c>
      <c r="CO629" s="361">
        <f>IF(CO627=0,0,CO628/CO627)*100</f>
        <v>0</v>
      </c>
      <c r="CP629" s="411"/>
      <c r="CQ629" s="361">
        <f>IF(CQ627=0,0,CQ628/CQ627)*100</f>
        <v>0</v>
      </c>
      <c r="CR629" s="361">
        <f>IF(CR627=0,0,CR628/CR627)*100</f>
        <v>0</v>
      </c>
      <c r="CS629" s="411"/>
      <c r="CT629" s="361">
        <f>IF(CT627=0,0,CT628/CT627)*100</f>
        <v>0</v>
      </c>
      <c r="CU629" s="361">
        <f>IF(CU627=0,0,CU628/CU627)*100</f>
        <v>0</v>
      </c>
      <c r="CV629" s="411"/>
      <c r="CW629" s="361">
        <f>IF(CW627=0,0,CW628/CW627)*100</f>
        <v>0</v>
      </c>
      <c r="CX629" s="361">
        <f>IF(CX627=0,0,CX628/CX627)*100</f>
        <v>0</v>
      </c>
      <c r="CY629" s="411"/>
      <c r="CZ629" s="361">
        <f>IF(CZ627=0,0,CZ628/CZ627)*100</f>
        <v>0</v>
      </c>
      <c r="DA629" s="361">
        <f>IF(DA627=0,0,DA628/DA627)*100</f>
        <v>0</v>
      </c>
      <c r="DB629" s="411"/>
      <c r="DC629" s="361">
        <f>IF(DC627=0,0,DC628/DC627)*100</f>
        <v>0</v>
      </c>
      <c r="DD629" s="361">
        <f>IF(DD627=0,0,DD628/DD627)*100</f>
        <v>0</v>
      </c>
      <c r="DE629" s="411"/>
      <c r="DF629" s="361">
        <f>IF(DF627=0,0,DF628/DF627)*100</f>
        <v>0</v>
      </c>
      <c r="DG629" s="361">
        <f>IF(DG627=0,0,DG628/DG627)*100</f>
        <v>0</v>
      </c>
      <c r="DH629" s="411"/>
      <c r="DI629" s="361">
        <f>IF(DI627=0,0,DI628/DI627)*100</f>
        <v>0</v>
      </c>
      <c r="DJ629" s="361">
        <f>IF(DJ627=0,0,DJ628/DJ627)*100</f>
        <v>0</v>
      </c>
      <c r="DK629" s="411"/>
      <c r="DL629" s="361">
        <f>IF(DL627=0,0,DL628/DL627)*100</f>
        <v>0</v>
      </c>
      <c r="DM629" s="361">
        <f>IF(DM627=0,0,DM628/DM627)*100</f>
        <v>0</v>
      </c>
      <c r="DN629" s="411"/>
      <c r="DO629" s="361">
        <f>IF(DO627=0,0,DO628/DO627)*100</f>
        <v>0</v>
      </c>
      <c r="DP629" s="361">
        <f>IF(DP627=0,0,DP628/DP627)*100</f>
        <v>0</v>
      </c>
      <c r="DQ629" s="411"/>
      <c r="DR629" s="361">
        <f>IF(DR627=0,0,DR628/DR627)*100</f>
        <v>0</v>
      </c>
      <c r="DS629" s="361">
        <f>IF(DS627=0,0,DS628/DS627)*100</f>
        <v>0</v>
      </c>
      <c r="DT629" s="411"/>
      <c r="DU629" s="361">
        <f>IF(DU627=0,0,DU628/DU627)*100</f>
        <v>0</v>
      </c>
      <c r="DV629" s="361">
        <f>IF(DV627=0,0,DV628/DV627)*100</f>
        <v>0</v>
      </c>
      <c r="DW629" s="411"/>
      <c r="DX629" s="361">
        <f>IF(DX627=0,0,DX628/DX627)*100</f>
        <v>0</v>
      </c>
      <c r="DY629" s="361">
        <f>IF(DY627=0,0,DY628/DY627)*100</f>
        <v>0</v>
      </c>
      <c r="DZ629" s="411"/>
      <c r="EA629" s="361">
        <f>IF(EA627=0,0,EA628/EA627)*100</f>
        <v>0</v>
      </c>
      <c r="EB629" s="361">
        <f>IF(EB627=0,0,EB628/EB627)*100</f>
        <v>0</v>
      </c>
      <c r="EC629" s="411"/>
      <c r="ED629" s="361">
        <f>IF(ED627=0,0,ED628/ED627)*100</f>
        <v>0</v>
      </c>
      <c r="EE629" s="361">
        <f>IF(EE627=0,0,EE628/EE627)*100</f>
        <v>0</v>
      </c>
      <c r="EF629" s="411"/>
      <c r="EG629" s="361">
        <f>IF(EG627=0,0,EG628/EG627)*100</f>
        <v>0</v>
      </c>
      <c r="EH629" s="361">
        <f>IF(EH627=0,0,EH628/EH627)*100</f>
        <v>0</v>
      </c>
      <c r="EI629" s="411"/>
      <c r="EJ629" s="361">
        <f>IF(EJ627=0,0,EJ628/EJ627)*100</f>
        <v>0</v>
      </c>
      <c r="EK629" s="361">
        <f>IF(EK627=0,0,EK628/EK627)*100</f>
        <v>0</v>
      </c>
      <c r="EL629" s="411"/>
      <c r="EM629" s="361">
        <f>IF(EM627=0,0,EM628/EM627)*100</f>
        <v>0</v>
      </c>
      <c r="EN629" s="361">
        <f>IF(EN627=0,0,EN628/EN627)*100</f>
        <v>0</v>
      </c>
      <c r="EO629" s="411"/>
      <c r="EP629" s="361">
        <f>IF(EP627=0,0,EP628/EP627)*100</f>
        <v>0</v>
      </c>
      <c r="EQ629" s="361">
        <f>IF(EQ627=0,0,EQ628/EQ627)*100</f>
        <v>0</v>
      </c>
      <c r="ER629" s="411"/>
      <c r="ES629" s="361">
        <f>IF(ES627=0,0,ES628/ES627)*100</f>
        <v>0</v>
      </c>
      <c r="ET629" s="361">
        <f>IF(ET627=0,0,ET628/ET627)*100</f>
        <v>0</v>
      </c>
      <c r="EU629" s="411"/>
      <c r="EV629" s="361">
        <f>IF(EV627=0,0,EV628/EV627)*100</f>
        <v>0</v>
      </c>
      <c r="EW629" s="361">
        <f>IF(EW627=0,0,EW628/EW627)*100</f>
        <v>0</v>
      </c>
      <c r="EX629" s="411"/>
      <c r="EY629" s="361">
        <f>IF(EY627=0,0,EY628/EY627)*100</f>
        <v>0</v>
      </c>
      <c r="EZ629" s="361">
        <f>IF(EZ627=0,0,EZ628/EZ627)*100</f>
        <v>0</v>
      </c>
      <c r="FA629" s="411"/>
      <c r="FB629" s="361">
        <f>IF(FB627=0,0,FB628/FB627)*100</f>
        <v>0</v>
      </c>
      <c r="FC629" s="361">
        <f>IF(FC627=0,0,FC628/FC627)*100</f>
        <v>0</v>
      </c>
      <c r="FD629" s="411"/>
      <c r="FE629" s="361">
        <f>IF(FE627=0,0,FE628/FE627)*100</f>
        <v>0</v>
      </c>
      <c r="FF629" s="361">
        <f>IF(FF627=0,0,FF628/FF627)*100</f>
        <v>0</v>
      </c>
      <c r="FG629" s="594"/>
    </row>
    <row r="630" spans="1:163" s="295" customFormat="1" ht="15" customHeight="1" outlineLevel="1">
      <c r="A630" s="295" t="str">
        <f t="shared" si="127"/>
        <v>1</v>
      </c>
      <c r="C630" s="598" t="str">
        <f>A630&amp;"pIns3"</f>
        <v>1pIns3</v>
      </c>
      <c r="J630" s="295" t="s">
        <v>1394</v>
      </c>
      <c r="L630" s="312" t="s">
        <v>352</v>
      </c>
      <c r="M630" s="311"/>
      <c r="N630" s="309"/>
      <c r="O630" s="309"/>
      <c r="P630" s="309"/>
      <c r="Q630" s="309"/>
      <c r="R630" s="309"/>
      <c r="S630" s="309"/>
      <c r="T630" s="309"/>
      <c r="U630" s="309"/>
      <c r="V630" s="309"/>
      <c r="W630" s="309"/>
      <c r="X630" s="309"/>
      <c r="Y630" s="309"/>
      <c r="Z630" s="309"/>
      <c r="AA630" s="309"/>
      <c r="AB630" s="309"/>
      <c r="AC630" s="309"/>
      <c r="AD630" s="309"/>
      <c r="AE630" s="309"/>
      <c r="AF630" s="309"/>
      <c r="AG630" s="309"/>
      <c r="AH630" s="309"/>
      <c r="AI630" s="309"/>
      <c r="AJ630" s="309"/>
      <c r="AK630" s="309"/>
      <c r="AL630" s="309"/>
      <c r="AM630" s="309"/>
      <c r="AN630" s="309"/>
      <c r="AO630" s="309"/>
      <c r="AP630" s="309"/>
      <c r="AQ630" s="309"/>
      <c r="AR630" s="309"/>
      <c r="AS630" s="309"/>
      <c r="AT630" s="309"/>
      <c r="AU630" s="309"/>
      <c r="AV630" s="309"/>
      <c r="AW630" s="309"/>
      <c r="AX630" s="309"/>
      <c r="AY630" s="309"/>
      <c r="AZ630" s="309"/>
      <c r="BA630" s="309"/>
      <c r="BB630" s="309"/>
      <c r="BC630" s="309"/>
      <c r="BD630" s="309"/>
      <c r="BE630" s="309"/>
      <c r="BF630" s="309"/>
      <c r="BG630" s="309"/>
      <c r="BH630" s="309"/>
      <c r="BI630" s="309"/>
      <c r="BJ630" s="309"/>
      <c r="BK630" s="309"/>
      <c r="BL630" s="309"/>
      <c r="BM630" s="309"/>
      <c r="BN630" s="309"/>
      <c r="BO630" s="309"/>
      <c r="BP630" s="309"/>
      <c r="BQ630" s="309"/>
      <c r="BR630" s="309"/>
      <c r="BS630" s="309"/>
      <c r="BT630" s="309"/>
      <c r="BU630" s="309"/>
      <c r="BV630" s="309"/>
      <c r="BW630" s="309"/>
      <c r="BX630" s="309"/>
      <c r="BY630" s="309"/>
      <c r="BZ630" s="309"/>
      <c r="CA630" s="309"/>
      <c r="CB630" s="309"/>
      <c r="CC630" s="309"/>
      <c r="CD630" s="309"/>
      <c r="CE630" s="309"/>
      <c r="CF630" s="309"/>
      <c r="CG630" s="309"/>
      <c r="CH630" s="309"/>
      <c r="CI630" s="309"/>
      <c r="CJ630" s="309"/>
      <c r="CK630" s="309"/>
      <c r="CL630" s="309"/>
      <c r="CM630" s="309"/>
      <c r="CN630" s="309"/>
      <c r="CO630" s="309"/>
      <c r="CP630" s="309"/>
      <c r="CQ630" s="309"/>
      <c r="CR630" s="309"/>
      <c r="CS630" s="309"/>
      <c r="CT630" s="309"/>
      <c r="CU630" s="309"/>
      <c r="CV630" s="309"/>
      <c r="CW630" s="309"/>
      <c r="CX630" s="309"/>
      <c r="CY630" s="309"/>
      <c r="CZ630" s="309"/>
      <c r="DA630" s="309"/>
      <c r="DB630" s="309"/>
      <c r="DC630" s="309"/>
      <c r="DD630" s="309"/>
      <c r="DE630" s="309"/>
      <c r="DF630" s="309"/>
      <c r="DG630" s="309"/>
      <c r="DH630" s="309"/>
      <c r="DI630" s="309"/>
      <c r="DJ630" s="309"/>
      <c r="DK630" s="309"/>
      <c r="DL630" s="309"/>
      <c r="DM630" s="309"/>
      <c r="DN630" s="309"/>
      <c r="DO630" s="309"/>
      <c r="DP630" s="309"/>
      <c r="DQ630" s="309"/>
      <c r="DR630" s="309"/>
      <c r="DS630" s="309"/>
      <c r="DT630" s="309"/>
      <c r="DU630" s="309"/>
      <c r="DV630" s="309"/>
      <c r="DW630" s="309"/>
      <c r="DX630" s="309"/>
      <c r="DY630" s="309"/>
      <c r="DZ630" s="309"/>
      <c r="EA630" s="309"/>
      <c r="EB630" s="309"/>
      <c r="EC630" s="309"/>
      <c r="ED630" s="309"/>
      <c r="EE630" s="309"/>
      <c r="EF630" s="309"/>
      <c r="EG630" s="309"/>
      <c r="EH630" s="309"/>
      <c r="EI630" s="309"/>
      <c r="EJ630" s="309"/>
      <c r="EK630" s="309"/>
      <c r="EL630" s="309"/>
      <c r="EM630" s="309"/>
      <c r="EN630" s="309"/>
      <c r="EO630" s="309"/>
      <c r="EP630" s="309"/>
      <c r="EQ630" s="309"/>
      <c r="ER630" s="309"/>
      <c r="ES630" s="309"/>
      <c r="ET630" s="309"/>
      <c r="EU630" s="309"/>
      <c r="EV630" s="309"/>
      <c r="EW630" s="309"/>
      <c r="EX630" s="309"/>
      <c r="EY630" s="309"/>
      <c r="EZ630" s="309"/>
      <c r="FA630" s="309"/>
      <c r="FB630" s="309"/>
      <c r="FC630" s="309"/>
      <c r="FD630" s="309"/>
      <c r="FE630" s="309"/>
      <c r="FF630" s="309"/>
      <c r="FG630" s="310"/>
    </row>
    <row r="631" spans="1:163" s="177" customFormat="1">
      <c r="A631" s="176" t="s">
        <v>1396</v>
      </c>
      <c r="M631" s="3"/>
      <c r="N631" s="3"/>
      <c r="O631" s="3"/>
      <c r="P631" s="3"/>
      <c r="AA631" s="5"/>
    </row>
    <row r="632" spans="1:163" s="295" customFormat="1" ht="15" customHeight="1" outlineLevel="1">
      <c r="A632" s="295" t="str">
        <f ca="1">OFFSET(A632,-1,0)</f>
        <v>et_List16_line_o</v>
      </c>
      <c r="C632" s="295" t="s">
        <v>1491</v>
      </c>
      <c r="D632" s="627">
        <f>L632</f>
        <v>0</v>
      </c>
      <c r="G632" s="295">
        <f ca="1">OFFSET(G632,-1,0)</f>
        <v>0</v>
      </c>
      <c r="J632" s="718"/>
      <c r="K632" s="135" t="s">
        <v>264</v>
      </c>
      <c r="L632" s="566"/>
      <c r="M632" s="567" t="s">
        <v>652</v>
      </c>
      <c r="N632" s="363"/>
      <c r="O632" s="364"/>
      <c r="P632" s="362">
        <f>IF(N632=0,0,(O632-N632)/N632*100)</f>
        <v>0</v>
      </c>
      <c r="Q632" s="363"/>
      <c r="R632" s="364"/>
      <c r="S632" s="362">
        <f>IF(Q632=0,0,(R632-Q632)/Q632*100)</f>
        <v>0</v>
      </c>
      <c r="T632" s="363"/>
      <c r="U632" s="364"/>
      <c r="V632" s="362">
        <f>IF(T632=0,0,(U632-T632)/T632*100)</f>
        <v>0</v>
      </c>
      <c r="W632" s="363"/>
      <c r="X632" s="364"/>
      <c r="Y632" s="362">
        <f>IF(W632=0,0,(X632-W632)/W632*100)</f>
        <v>0</v>
      </c>
      <c r="Z632" s="363"/>
      <c r="AA632" s="364"/>
      <c r="AB632" s="362">
        <f>IF(Z632=0,0,(AA632-Z632)/Z632*100)</f>
        <v>0</v>
      </c>
      <c r="AC632" s="363"/>
      <c r="AD632" s="364"/>
      <c r="AE632" s="362">
        <f>IF(AC632=0,0,(AD632-AC632)/AC632*100)</f>
        <v>0</v>
      </c>
      <c r="AF632" s="363"/>
      <c r="AG632" s="364"/>
      <c r="AH632" s="362">
        <f>IF(AF632=0,0,(AG632-AF632)/AF632*100)</f>
        <v>0</v>
      </c>
      <c r="AI632" s="363"/>
      <c r="AJ632" s="364"/>
      <c r="AK632" s="362">
        <f>IF(AI632=0,0,(AJ632-AI632)/AI632*100)</f>
        <v>0</v>
      </c>
      <c r="AL632" s="363"/>
      <c r="AM632" s="364"/>
      <c r="AN632" s="362">
        <f>IF(AL632=0,0,(AM632-AL632)/AL632*100)</f>
        <v>0</v>
      </c>
      <c r="AO632" s="363"/>
      <c r="AP632" s="364"/>
      <c r="AQ632" s="362">
        <f>IF(AO632=0,0,(AP632-AO632)/AO632*100)</f>
        <v>0</v>
      </c>
      <c r="AR632" s="363"/>
      <c r="AS632" s="364"/>
      <c r="AT632" s="362">
        <f>IF(AR632=0,0,(AS632-AR632)/AR632*100)</f>
        <v>0</v>
      </c>
      <c r="AU632" s="363"/>
      <c r="AV632" s="364"/>
      <c r="AW632" s="362">
        <f>IF(AU632=0,0,(AV632-AU632)/AU632*100)</f>
        <v>0</v>
      </c>
      <c r="AX632" s="363"/>
      <c r="AY632" s="364"/>
      <c r="AZ632" s="362">
        <f>IF(AX632=0,0,(AY632-AX632)/AX632*100)</f>
        <v>0</v>
      </c>
      <c r="BA632" s="363"/>
      <c r="BB632" s="364"/>
      <c r="BC632" s="362">
        <f>IF(BA632=0,0,(BB632-BA632)/BA632*100)</f>
        <v>0</v>
      </c>
      <c r="BD632" s="363"/>
      <c r="BE632" s="364"/>
      <c r="BF632" s="362">
        <f>IF(BD632=0,0,(BE632-BD632)/BD632*100)</f>
        <v>0</v>
      </c>
      <c r="BG632" s="363"/>
      <c r="BH632" s="364"/>
      <c r="BI632" s="362">
        <f>IF(BG632=0,0,(BH632-BG632)/BG632*100)</f>
        <v>0</v>
      </c>
      <c r="BJ632" s="363"/>
      <c r="BK632" s="364"/>
      <c r="BL632" s="362">
        <f>IF(BJ632=0,0,(BK632-BJ632)/BJ632*100)</f>
        <v>0</v>
      </c>
      <c r="BM632" s="363"/>
      <c r="BN632" s="364"/>
      <c r="BO632" s="362">
        <f>IF(BM632=0,0,(BN632-BM632)/BM632*100)</f>
        <v>0</v>
      </c>
      <c r="BP632" s="363"/>
      <c r="BQ632" s="364"/>
      <c r="BR632" s="362">
        <f>IF(BP632=0,0,(BQ632-BP632)/BP632*100)</f>
        <v>0</v>
      </c>
      <c r="BS632" s="363"/>
      <c r="BT632" s="364"/>
      <c r="BU632" s="362">
        <f>IF(BS632=0,0,(BT632-BS632)/BS632*100)</f>
        <v>0</v>
      </c>
      <c r="BV632" s="363"/>
      <c r="BW632" s="364"/>
      <c r="BX632" s="362">
        <f>IF(BV632=0,0,(BW632-BV632)/BV632*100)</f>
        <v>0</v>
      </c>
      <c r="BY632" s="363"/>
      <c r="BZ632" s="364"/>
      <c r="CA632" s="362">
        <f>IF(BY632=0,0,(BZ632-BY632)/BY632*100)</f>
        <v>0</v>
      </c>
      <c r="CB632" s="363"/>
      <c r="CC632" s="364"/>
      <c r="CD632" s="362">
        <f>IF(CB632=0,0,(CC632-CB632)/CB632*100)</f>
        <v>0</v>
      </c>
      <c r="CE632" s="363"/>
      <c r="CF632" s="364"/>
      <c r="CG632" s="362">
        <f>IF(CE632=0,0,(CF632-CE632)/CE632*100)</f>
        <v>0</v>
      </c>
      <c r="CH632" s="363"/>
      <c r="CI632" s="364"/>
      <c r="CJ632" s="362">
        <f>IF(CH632=0,0,(CI632-CH632)/CH632*100)</f>
        <v>0</v>
      </c>
      <c r="CK632" s="363"/>
      <c r="CL632" s="364"/>
      <c r="CM632" s="362">
        <f>IF(CK632=0,0,(CL632-CK632)/CK632*100)</f>
        <v>0</v>
      </c>
      <c r="CN632" s="363"/>
      <c r="CO632" s="364"/>
      <c r="CP632" s="362">
        <f>IF(CN632=0,0,(CO632-CN632)/CN632*100)</f>
        <v>0</v>
      </c>
      <c r="CQ632" s="363"/>
      <c r="CR632" s="364"/>
      <c r="CS632" s="362">
        <f>IF(CQ632=0,0,(CR632-CQ632)/CQ632*100)</f>
        <v>0</v>
      </c>
      <c r="CT632" s="363"/>
      <c r="CU632" s="364"/>
      <c r="CV632" s="362">
        <f>IF(CT632=0,0,(CU632-CT632)/CT632*100)</f>
        <v>0</v>
      </c>
      <c r="CW632" s="363"/>
      <c r="CX632" s="364"/>
      <c r="CY632" s="362">
        <f>IF(CW632=0,0,(CX632-CW632)/CW632*100)</f>
        <v>0</v>
      </c>
      <c r="CZ632" s="363"/>
      <c r="DA632" s="364"/>
      <c r="DB632" s="362">
        <f>IF(CZ632=0,0,(DA632-CZ632)/CZ632*100)</f>
        <v>0</v>
      </c>
      <c r="DC632" s="363"/>
      <c r="DD632" s="364"/>
      <c r="DE632" s="362">
        <f>IF(DC632=0,0,(DD632-DC632)/DC632*100)</f>
        <v>0</v>
      </c>
      <c r="DF632" s="363"/>
      <c r="DG632" s="364"/>
      <c r="DH632" s="362">
        <f>IF(DF632=0,0,(DG632-DF632)/DF632*100)</f>
        <v>0</v>
      </c>
      <c r="DI632" s="363"/>
      <c r="DJ632" s="364"/>
      <c r="DK632" s="362">
        <f>IF(DI632=0,0,(DJ632-DI632)/DI632*100)</f>
        <v>0</v>
      </c>
      <c r="DL632" s="363"/>
      <c r="DM632" s="364"/>
      <c r="DN632" s="362">
        <f>IF(DL632=0,0,(DM632-DL632)/DL632*100)</f>
        <v>0</v>
      </c>
      <c r="DO632" s="363"/>
      <c r="DP632" s="364"/>
      <c r="DQ632" s="362">
        <f>IF(DO632=0,0,(DP632-DO632)/DO632*100)</f>
        <v>0</v>
      </c>
      <c r="DR632" s="363"/>
      <c r="DS632" s="364"/>
      <c r="DT632" s="362">
        <f>IF(DR632=0,0,(DS632-DR632)/DR632*100)</f>
        <v>0</v>
      </c>
      <c r="DU632" s="363"/>
      <c r="DV632" s="364"/>
      <c r="DW632" s="362">
        <f>IF(DU632=0,0,(DV632-DU632)/DU632*100)</f>
        <v>0</v>
      </c>
      <c r="DX632" s="363"/>
      <c r="DY632" s="364"/>
      <c r="DZ632" s="362">
        <f>IF(DX632=0,0,(DY632-DX632)/DX632*100)</f>
        <v>0</v>
      </c>
      <c r="EA632" s="363"/>
      <c r="EB632" s="364"/>
      <c r="EC632" s="362">
        <f>IF(EA632=0,0,(EB632-EA632)/EA632*100)</f>
        <v>0</v>
      </c>
      <c r="ED632" s="363"/>
      <c r="EE632" s="364"/>
      <c r="EF632" s="362">
        <f>IF(ED632=0,0,(EE632-ED632)/ED632*100)</f>
        <v>0</v>
      </c>
      <c r="EG632" s="363"/>
      <c r="EH632" s="364"/>
      <c r="EI632" s="362">
        <f>IF(EG632=0,0,(EH632-EG632)/EG632*100)</f>
        <v>0</v>
      </c>
      <c r="EJ632" s="363"/>
      <c r="EK632" s="364"/>
      <c r="EL632" s="362">
        <f>IF(EJ632=0,0,(EK632-EJ632)/EJ632*100)</f>
        <v>0</v>
      </c>
      <c r="EM632" s="363"/>
      <c r="EN632" s="364"/>
      <c r="EO632" s="362">
        <f>IF(EM632=0,0,(EN632-EM632)/EM632*100)</f>
        <v>0</v>
      </c>
      <c r="EP632" s="363"/>
      <c r="EQ632" s="364"/>
      <c r="ER632" s="362">
        <f>IF(EP632=0,0,(EQ632-EP632)/EP632*100)</f>
        <v>0</v>
      </c>
      <c r="ES632" s="363"/>
      <c r="ET632" s="364"/>
      <c r="EU632" s="362">
        <f>IF(ES632=0,0,(ET632-ES632)/ES632*100)</f>
        <v>0</v>
      </c>
      <c r="EV632" s="363"/>
      <c r="EW632" s="364"/>
      <c r="EX632" s="362">
        <f>IF(EV632=0,0,(EW632-EV632)/EV632*100)</f>
        <v>0</v>
      </c>
      <c r="EY632" s="363"/>
      <c r="EZ632" s="364"/>
      <c r="FA632" s="362">
        <f>IF(EY632=0,0,(EZ632-EY632)/EY632*100)</f>
        <v>0</v>
      </c>
      <c r="FB632" s="363"/>
      <c r="FC632" s="364"/>
      <c r="FD632" s="362">
        <f>IF(FB632=0,0,(FC632-FB632)/FB632*100)</f>
        <v>0</v>
      </c>
      <c r="FE632" s="363"/>
      <c r="FF632" s="364"/>
      <c r="FG632" s="362">
        <f>IF(FE632=0,0,(FF632-FE632)/FE632*100)</f>
        <v>0</v>
      </c>
    </row>
    <row r="633" spans="1:163" s="295" customFormat="1" ht="15" customHeight="1" outlineLevel="1">
      <c r="A633" s="295" t="str">
        <f ca="1">OFFSET(A633,-1,0)</f>
        <v>et_List16_line_o</v>
      </c>
      <c r="C633" s="295" t="s">
        <v>1490</v>
      </c>
      <c r="D633" s="627">
        <f>D632</f>
        <v>0</v>
      </c>
      <c r="G633" s="295">
        <f ca="1">OFFSET(G633,-1,0)</f>
        <v>0</v>
      </c>
      <c r="J633" s="718"/>
      <c r="K633" s="135"/>
      <c r="L633" s="359" t="s">
        <v>1398</v>
      </c>
      <c r="M633" s="568" t="s">
        <v>310</v>
      </c>
      <c r="N633" s="565"/>
      <c r="O633" s="565"/>
      <c r="P633" s="569">
        <f>IF(N633=0,0,(O633-N633)/N633*100)</f>
        <v>0</v>
      </c>
      <c r="Q633" s="565"/>
      <c r="R633" s="565"/>
      <c r="S633" s="569">
        <f>IF(Q633=0,0,(R633-Q633)/Q633*100)</f>
        <v>0</v>
      </c>
      <c r="T633" s="565"/>
      <c r="U633" s="565"/>
      <c r="V633" s="569">
        <f>IF(T633=0,0,(U633-T633)/T633*100)</f>
        <v>0</v>
      </c>
      <c r="W633" s="565"/>
      <c r="X633" s="565"/>
      <c r="Y633" s="569">
        <f>IF(W633=0,0,(X633-W633)/W633*100)</f>
        <v>0</v>
      </c>
      <c r="Z633" s="565"/>
      <c r="AA633" s="565"/>
      <c r="AB633" s="569">
        <f>IF(Z633=0,0,(AA633-Z633)/Z633*100)</f>
        <v>0</v>
      </c>
      <c r="AC633" s="565"/>
      <c r="AD633" s="565"/>
      <c r="AE633" s="569">
        <f>IF(AC633=0,0,(AD633-AC633)/AC633*100)</f>
        <v>0</v>
      </c>
      <c r="AF633" s="565"/>
      <c r="AG633" s="565"/>
      <c r="AH633" s="569">
        <f>IF(AF633=0,0,(AG633-AF633)/AF633*100)</f>
        <v>0</v>
      </c>
      <c r="AI633" s="565"/>
      <c r="AJ633" s="565"/>
      <c r="AK633" s="569">
        <f>IF(AI633=0,0,(AJ633-AI633)/AI633*100)</f>
        <v>0</v>
      </c>
      <c r="AL633" s="565"/>
      <c r="AM633" s="565"/>
      <c r="AN633" s="569">
        <f>IF(AL633=0,0,(AM633-AL633)/AL633*100)</f>
        <v>0</v>
      </c>
      <c r="AO633" s="565"/>
      <c r="AP633" s="565"/>
      <c r="AQ633" s="569">
        <f>IF(AO633=0,0,(AP633-AO633)/AO633*100)</f>
        <v>0</v>
      </c>
      <c r="AR633" s="565"/>
      <c r="AS633" s="565"/>
      <c r="AT633" s="569">
        <f>IF(AR633=0,0,(AS633-AR633)/AR633*100)</f>
        <v>0</v>
      </c>
      <c r="AU633" s="565"/>
      <c r="AV633" s="565"/>
      <c r="AW633" s="569">
        <f>IF(AU633=0,0,(AV633-AU633)/AU633*100)</f>
        <v>0</v>
      </c>
      <c r="AX633" s="565"/>
      <c r="AY633" s="565"/>
      <c r="AZ633" s="569">
        <f>IF(AX633=0,0,(AY633-AX633)/AX633*100)</f>
        <v>0</v>
      </c>
      <c r="BA633" s="565"/>
      <c r="BB633" s="565"/>
      <c r="BC633" s="569">
        <f>IF(BA633=0,0,(BB633-BA633)/BA633*100)</f>
        <v>0</v>
      </c>
      <c r="BD633" s="565"/>
      <c r="BE633" s="565"/>
      <c r="BF633" s="569">
        <f>IF(BD633=0,0,(BE633-BD633)/BD633*100)</f>
        <v>0</v>
      </c>
      <c r="BG633" s="565"/>
      <c r="BH633" s="565"/>
      <c r="BI633" s="569">
        <f>IF(BG633=0,0,(BH633-BG633)/BG633*100)</f>
        <v>0</v>
      </c>
      <c r="BJ633" s="565"/>
      <c r="BK633" s="565"/>
      <c r="BL633" s="569">
        <f>IF(BJ633=0,0,(BK633-BJ633)/BJ633*100)</f>
        <v>0</v>
      </c>
      <c r="BM633" s="565"/>
      <c r="BN633" s="565"/>
      <c r="BO633" s="569">
        <f>IF(BM633=0,0,(BN633-BM633)/BM633*100)</f>
        <v>0</v>
      </c>
      <c r="BP633" s="565"/>
      <c r="BQ633" s="565"/>
      <c r="BR633" s="569">
        <f>IF(BP633=0,0,(BQ633-BP633)/BP633*100)</f>
        <v>0</v>
      </c>
      <c r="BS633" s="565"/>
      <c r="BT633" s="565"/>
      <c r="BU633" s="569">
        <f>IF(BS633=0,0,(BT633-BS633)/BS633*100)</f>
        <v>0</v>
      </c>
      <c r="BV633" s="565"/>
      <c r="BW633" s="565"/>
      <c r="BX633" s="569">
        <f>IF(BV633=0,0,(BW633-BV633)/BV633*100)</f>
        <v>0</v>
      </c>
      <c r="BY633" s="565"/>
      <c r="BZ633" s="565"/>
      <c r="CA633" s="569">
        <f>IF(BY633=0,0,(BZ633-BY633)/BY633*100)</f>
        <v>0</v>
      </c>
      <c r="CB633" s="565"/>
      <c r="CC633" s="565"/>
      <c r="CD633" s="569">
        <f>IF(CB633=0,0,(CC633-CB633)/CB633*100)</f>
        <v>0</v>
      </c>
      <c r="CE633" s="565"/>
      <c r="CF633" s="565"/>
      <c r="CG633" s="569">
        <f>IF(CE633=0,0,(CF633-CE633)/CE633*100)</f>
        <v>0</v>
      </c>
      <c r="CH633" s="565"/>
      <c r="CI633" s="565"/>
      <c r="CJ633" s="569">
        <f>IF(CH633=0,0,(CI633-CH633)/CH633*100)</f>
        <v>0</v>
      </c>
      <c r="CK633" s="565"/>
      <c r="CL633" s="565"/>
      <c r="CM633" s="569">
        <f>IF(CK633=0,0,(CL633-CK633)/CK633*100)</f>
        <v>0</v>
      </c>
      <c r="CN633" s="565"/>
      <c r="CO633" s="565"/>
      <c r="CP633" s="569">
        <f>IF(CN633=0,0,(CO633-CN633)/CN633*100)</f>
        <v>0</v>
      </c>
      <c r="CQ633" s="565"/>
      <c r="CR633" s="565"/>
      <c r="CS633" s="569">
        <f>IF(CQ633=0,0,(CR633-CQ633)/CQ633*100)</f>
        <v>0</v>
      </c>
      <c r="CT633" s="565"/>
      <c r="CU633" s="565"/>
      <c r="CV633" s="569">
        <f>IF(CT633=0,0,(CU633-CT633)/CT633*100)</f>
        <v>0</v>
      </c>
      <c r="CW633" s="565"/>
      <c r="CX633" s="565"/>
      <c r="CY633" s="569">
        <f>IF(CW633=0,0,(CX633-CW633)/CW633*100)</f>
        <v>0</v>
      </c>
      <c r="CZ633" s="565"/>
      <c r="DA633" s="565"/>
      <c r="DB633" s="569">
        <f>IF(CZ633=0,0,(DA633-CZ633)/CZ633*100)</f>
        <v>0</v>
      </c>
      <c r="DC633" s="565"/>
      <c r="DD633" s="565"/>
      <c r="DE633" s="569">
        <f>IF(DC633=0,0,(DD633-DC633)/DC633*100)</f>
        <v>0</v>
      </c>
      <c r="DF633" s="565"/>
      <c r="DG633" s="565"/>
      <c r="DH633" s="569">
        <f>IF(DF633=0,0,(DG633-DF633)/DF633*100)</f>
        <v>0</v>
      </c>
      <c r="DI633" s="565"/>
      <c r="DJ633" s="565"/>
      <c r="DK633" s="569">
        <f>IF(DI633=0,0,(DJ633-DI633)/DI633*100)</f>
        <v>0</v>
      </c>
      <c r="DL633" s="565"/>
      <c r="DM633" s="565"/>
      <c r="DN633" s="569">
        <f>IF(DL633=0,0,(DM633-DL633)/DL633*100)</f>
        <v>0</v>
      </c>
      <c r="DO633" s="565"/>
      <c r="DP633" s="565"/>
      <c r="DQ633" s="569">
        <f>IF(DO633=0,0,(DP633-DO633)/DO633*100)</f>
        <v>0</v>
      </c>
      <c r="DR633" s="565"/>
      <c r="DS633" s="565"/>
      <c r="DT633" s="569">
        <f>IF(DR633=0,0,(DS633-DR633)/DR633*100)</f>
        <v>0</v>
      </c>
      <c r="DU633" s="565"/>
      <c r="DV633" s="565"/>
      <c r="DW633" s="569">
        <f>IF(DU633=0,0,(DV633-DU633)/DU633*100)</f>
        <v>0</v>
      </c>
      <c r="DX633" s="565"/>
      <c r="DY633" s="565"/>
      <c r="DZ633" s="569">
        <f>IF(DX633=0,0,(DY633-DX633)/DX633*100)</f>
        <v>0</v>
      </c>
      <c r="EA633" s="565"/>
      <c r="EB633" s="565"/>
      <c r="EC633" s="569">
        <f>IF(EA633=0,0,(EB633-EA633)/EA633*100)</f>
        <v>0</v>
      </c>
      <c r="ED633" s="565"/>
      <c r="EE633" s="565"/>
      <c r="EF633" s="569">
        <f>IF(ED633=0,0,(EE633-ED633)/ED633*100)</f>
        <v>0</v>
      </c>
      <c r="EG633" s="565"/>
      <c r="EH633" s="565"/>
      <c r="EI633" s="569">
        <f>IF(EG633=0,0,(EH633-EG633)/EG633*100)</f>
        <v>0</v>
      </c>
      <c r="EJ633" s="565"/>
      <c r="EK633" s="565"/>
      <c r="EL633" s="569">
        <f>IF(EJ633=0,0,(EK633-EJ633)/EJ633*100)</f>
        <v>0</v>
      </c>
      <c r="EM633" s="565"/>
      <c r="EN633" s="565"/>
      <c r="EO633" s="569">
        <f>IF(EM633=0,0,(EN633-EM633)/EM633*100)</f>
        <v>0</v>
      </c>
      <c r="EP633" s="565"/>
      <c r="EQ633" s="565"/>
      <c r="ER633" s="569">
        <f>IF(EP633=0,0,(EQ633-EP633)/EP633*100)</f>
        <v>0</v>
      </c>
      <c r="ES633" s="565"/>
      <c r="ET633" s="565"/>
      <c r="EU633" s="569">
        <f>IF(ES633=0,0,(ET633-ES633)/ES633*100)</f>
        <v>0</v>
      </c>
      <c r="EV633" s="565"/>
      <c r="EW633" s="565"/>
      <c r="EX633" s="569">
        <f>IF(EV633=0,0,(EW633-EV633)/EV633*100)</f>
        <v>0</v>
      </c>
      <c r="EY633" s="565"/>
      <c r="EZ633" s="565"/>
      <c r="FA633" s="569">
        <f>IF(EY633=0,0,(EZ633-EY633)/EY633*100)</f>
        <v>0</v>
      </c>
      <c r="FB633" s="565"/>
      <c r="FC633" s="565"/>
      <c r="FD633" s="569">
        <f>IF(FB633=0,0,(FC633-FB633)/FB633*100)</f>
        <v>0</v>
      </c>
      <c r="FE633" s="565"/>
      <c r="FF633" s="565"/>
      <c r="FG633" s="569">
        <f>IF(FE633=0,0,(FF633-FE633)/FE633*100)</f>
        <v>0</v>
      </c>
    </row>
    <row r="634" spans="1:163" s="177" customFormat="1">
      <c r="A634" s="176" t="s">
        <v>1397</v>
      </c>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row>
    <row r="635" spans="1:163" s="295" customFormat="1" ht="14.25" outlineLevel="1">
      <c r="A635" s="295" t="str">
        <f t="shared" ref="A635:A640" ca="1" si="128">OFFSET(A635,-1,0)</f>
        <v>et_List16_line_d</v>
      </c>
      <c r="G635" s="295">
        <f t="shared" ref="G635:G640" ca="1" si="129">OFFSET(G635,-1,0)</f>
        <v>0</v>
      </c>
      <c r="J635" s="718"/>
      <c r="K635" s="135" t="s">
        <v>264</v>
      </c>
      <c r="L635" s="566"/>
      <c r="M635" s="592"/>
      <c r="N635" s="590"/>
      <c r="O635" s="591"/>
      <c r="P635" s="591"/>
      <c r="Q635" s="590"/>
      <c r="R635" s="591"/>
      <c r="S635" s="591"/>
      <c r="T635" s="590"/>
      <c r="U635" s="591"/>
      <c r="V635" s="591"/>
      <c r="W635" s="590"/>
      <c r="X635" s="591"/>
      <c r="Y635" s="591"/>
      <c r="Z635" s="590"/>
      <c r="AA635" s="591"/>
      <c r="AB635" s="591"/>
      <c r="AC635" s="590"/>
      <c r="AD635" s="591"/>
      <c r="AE635" s="591"/>
      <c r="AF635" s="590"/>
      <c r="AG635" s="591"/>
      <c r="AH635" s="591"/>
      <c r="AI635" s="590"/>
      <c r="AJ635" s="591"/>
      <c r="AK635" s="591"/>
      <c r="AL635" s="590"/>
      <c r="AM635" s="591"/>
      <c r="AN635" s="591"/>
      <c r="AO635" s="590"/>
      <c r="AP635" s="591"/>
      <c r="AQ635" s="591"/>
      <c r="AR635" s="590"/>
      <c r="AS635" s="591"/>
      <c r="AT635" s="591"/>
      <c r="AU635" s="590"/>
      <c r="AV635" s="591"/>
      <c r="AW635" s="591"/>
      <c r="AX635" s="590"/>
      <c r="AY635" s="591"/>
      <c r="AZ635" s="591"/>
      <c r="BA635" s="590"/>
      <c r="BB635" s="591"/>
      <c r="BC635" s="591"/>
      <c r="BD635" s="590"/>
      <c r="BE635" s="591"/>
      <c r="BF635" s="591"/>
      <c r="BG635" s="590"/>
      <c r="BH635" s="591"/>
      <c r="BI635" s="591"/>
      <c r="BJ635" s="590"/>
      <c r="BK635" s="591"/>
      <c r="BL635" s="591"/>
      <c r="BM635" s="590"/>
      <c r="BN635" s="591"/>
      <c r="BO635" s="591"/>
      <c r="BP635" s="590"/>
      <c r="BQ635" s="591"/>
      <c r="BR635" s="591"/>
      <c r="BS635" s="590"/>
      <c r="BT635" s="591"/>
      <c r="BU635" s="591"/>
      <c r="BV635" s="590"/>
      <c r="BW635" s="591"/>
      <c r="BX635" s="591"/>
      <c r="BY635" s="590"/>
      <c r="BZ635" s="591"/>
      <c r="CA635" s="591"/>
      <c r="CB635" s="590"/>
      <c r="CC635" s="591"/>
      <c r="CD635" s="591"/>
      <c r="CE635" s="590"/>
      <c r="CF635" s="591"/>
      <c r="CG635" s="591"/>
      <c r="CH635" s="590"/>
      <c r="CI635" s="591"/>
      <c r="CJ635" s="591"/>
      <c r="CK635" s="590"/>
      <c r="CL635" s="591"/>
      <c r="CM635" s="591"/>
      <c r="CN635" s="590"/>
      <c r="CO635" s="591"/>
      <c r="CP635" s="591"/>
      <c r="CQ635" s="590"/>
      <c r="CR635" s="591"/>
      <c r="CS635" s="591"/>
      <c r="CT635" s="590"/>
      <c r="CU635" s="591"/>
      <c r="CV635" s="591"/>
      <c r="CW635" s="590"/>
      <c r="CX635" s="591"/>
      <c r="CY635" s="591"/>
      <c r="CZ635" s="590"/>
      <c r="DA635" s="591"/>
      <c r="DB635" s="591"/>
      <c r="DC635" s="590"/>
      <c r="DD635" s="591"/>
      <c r="DE635" s="591"/>
      <c r="DF635" s="590"/>
      <c r="DG635" s="591"/>
      <c r="DH635" s="591"/>
      <c r="DI635" s="590"/>
      <c r="DJ635" s="591"/>
      <c r="DK635" s="591"/>
      <c r="DL635" s="590"/>
      <c r="DM635" s="591"/>
      <c r="DN635" s="591"/>
      <c r="DO635" s="590"/>
      <c r="DP635" s="591"/>
      <c r="DQ635" s="591"/>
      <c r="DR635" s="590"/>
      <c r="DS635" s="591"/>
      <c r="DT635" s="591"/>
      <c r="DU635" s="590"/>
      <c r="DV635" s="591"/>
      <c r="DW635" s="591"/>
      <c r="DX635" s="590"/>
      <c r="DY635" s="591"/>
      <c r="DZ635" s="591"/>
      <c r="EA635" s="590"/>
      <c r="EB635" s="591"/>
      <c r="EC635" s="591"/>
      <c r="ED635" s="590"/>
      <c r="EE635" s="591"/>
      <c r="EF635" s="591"/>
      <c r="EG635" s="590"/>
      <c r="EH635" s="591"/>
      <c r="EI635" s="591"/>
      <c r="EJ635" s="590"/>
      <c r="EK635" s="591"/>
      <c r="EL635" s="591"/>
      <c r="EM635" s="590"/>
      <c r="EN635" s="591"/>
      <c r="EO635" s="591"/>
      <c r="EP635" s="590"/>
      <c r="EQ635" s="591"/>
      <c r="ER635" s="591"/>
      <c r="ES635" s="590"/>
      <c r="ET635" s="591"/>
      <c r="EU635" s="591"/>
      <c r="EV635" s="590"/>
      <c r="EW635" s="591"/>
      <c r="EX635" s="591"/>
      <c r="EY635" s="590"/>
      <c r="EZ635" s="591"/>
      <c r="FA635" s="591"/>
      <c r="FB635" s="590"/>
      <c r="FC635" s="591"/>
      <c r="FD635" s="591"/>
      <c r="FE635" s="590"/>
      <c r="FF635" s="591"/>
      <c r="FG635" s="593"/>
    </row>
    <row r="636" spans="1:163" s="295" customFormat="1" ht="22.5" outlineLevel="1">
      <c r="A636" s="295" t="str">
        <f t="shared" ca="1" si="128"/>
        <v>et_List16_line_d</v>
      </c>
      <c r="C636" s="295" t="s">
        <v>1604</v>
      </c>
      <c r="D636" s="627">
        <f>L635</f>
        <v>0</v>
      </c>
      <c r="G636" s="295">
        <f t="shared" ca="1" si="129"/>
        <v>0</v>
      </c>
      <c r="J636" s="718"/>
      <c r="K636" s="135"/>
      <c r="L636" s="369" t="s">
        <v>664</v>
      </c>
      <c r="M636" s="567" t="s">
        <v>652</v>
      </c>
      <c r="N636" s="363">
        <f>IF(N638=0,0,(N637*N638+N639*N640*6)/N638)</f>
        <v>0</v>
      </c>
      <c r="O636" s="363">
        <f>IF(O638=0,0,(O637*O638+O639*O640*6)/O638)</f>
        <v>0</v>
      </c>
      <c r="P636" s="362">
        <f>IF(N636=0,0,(O636-N636)/N636*100)</f>
        <v>0</v>
      </c>
      <c r="Q636" s="363">
        <f>IF(Q638=0,0,(Q637*Q638+Q639*Q640*6)/Q638)</f>
        <v>0</v>
      </c>
      <c r="R636" s="363">
        <f>IF(R638=0,0,(R637*R638+R639*R640*6)/R638)</f>
        <v>0</v>
      </c>
      <c r="S636" s="362">
        <f>IF(Q636=0,0,(R636-Q636)/Q636*100)</f>
        <v>0</v>
      </c>
      <c r="T636" s="363">
        <f>IF(T638=0,0,(T637*T638+T639*T640*6)/T638)</f>
        <v>0</v>
      </c>
      <c r="U636" s="363">
        <f>IF(U638=0,0,(U637*U638+U639*U640*6)/U638)</f>
        <v>0</v>
      </c>
      <c r="V636" s="362">
        <f>IF(T636=0,0,(U636-T636)/T636*100)</f>
        <v>0</v>
      </c>
      <c r="W636" s="363">
        <f>IF(W638=0,0,(W637*W638+W639*W640*6)/W638)</f>
        <v>0</v>
      </c>
      <c r="X636" s="363">
        <f>IF(X638=0,0,(X637*X638+X639*X640*6)/X638)</f>
        <v>0</v>
      </c>
      <c r="Y636" s="362">
        <f>IF(W636=0,0,(X636-W636)/W636*100)</f>
        <v>0</v>
      </c>
      <c r="Z636" s="363">
        <f>IF(Z638=0,0,(Z637*Z638+Z639*Z640*6)/Z638)</f>
        <v>0</v>
      </c>
      <c r="AA636" s="363">
        <f>IF(AA638=0,0,(AA637*AA638+AA639*AA640*6)/AA638)</f>
        <v>0</v>
      </c>
      <c r="AB636" s="362">
        <f>IF(Z636=0,0,(AA636-Z636)/Z636*100)</f>
        <v>0</v>
      </c>
      <c r="AC636" s="363">
        <f>IF(AC638=0,0,(AC637*AC638+AC639*AC640*6)/AC638)</f>
        <v>0</v>
      </c>
      <c r="AD636" s="363">
        <f>IF(AD638=0,0,(AD637*AD638+AD639*AD640*6)/AD638)</f>
        <v>0</v>
      </c>
      <c r="AE636" s="362">
        <f>IF(AC636=0,0,(AD636-AC636)/AC636*100)</f>
        <v>0</v>
      </c>
      <c r="AF636" s="363">
        <f>IF(AF638=0,0,(AF637*AF638+AF639*AF640*6)/AF638)</f>
        <v>0</v>
      </c>
      <c r="AG636" s="363">
        <f>IF(AG638=0,0,(AG637*AG638+AG639*AG640*6)/AG638)</f>
        <v>0</v>
      </c>
      <c r="AH636" s="362">
        <f>IF(AF636=0,0,(AG636-AF636)/AF636*100)</f>
        <v>0</v>
      </c>
      <c r="AI636" s="363">
        <f>IF(AI638=0,0,(AI637*AI638+AI639*AI640*6)/AI638)</f>
        <v>0</v>
      </c>
      <c r="AJ636" s="363">
        <f>IF(AJ638=0,0,(AJ637*AJ638+AJ639*AJ640*6)/AJ638)</f>
        <v>0</v>
      </c>
      <c r="AK636" s="362">
        <f>IF(AI636=0,0,(AJ636-AI636)/AI636*100)</f>
        <v>0</v>
      </c>
      <c r="AL636" s="363">
        <f>IF(AL638=0,0,(AL637*AL638+AL639*AL640*6)/AL638)</f>
        <v>0</v>
      </c>
      <c r="AM636" s="363">
        <f>IF(AM638=0,0,(AM637*AM638+AM639*AM640*6)/AM638)</f>
        <v>0</v>
      </c>
      <c r="AN636" s="362">
        <f>IF(AL636=0,0,(AM636-AL636)/AL636*100)</f>
        <v>0</v>
      </c>
      <c r="AO636" s="363">
        <f>IF(AO638=0,0,(AO637*AO638+AO639*AO640*6)/AO638)</f>
        <v>0</v>
      </c>
      <c r="AP636" s="363">
        <f>IF(AP638=0,0,(AP637*AP638+AP639*AP640*6)/AP638)</f>
        <v>0</v>
      </c>
      <c r="AQ636" s="362">
        <f>IF(AO636=0,0,(AP636-AO636)/AO636*100)</f>
        <v>0</v>
      </c>
      <c r="AR636" s="363">
        <f>IF(AR638=0,0,(AR637*AR638+AR639*AR640*6)/AR638)</f>
        <v>0</v>
      </c>
      <c r="AS636" s="363">
        <f>IF(AS638=0,0,(AS637*AS638+AS639*AS640*6)/AS638)</f>
        <v>0</v>
      </c>
      <c r="AT636" s="362">
        <f>IF(AR636=0,0,(AS636-AR636)/AR636*100)</f>
        <v>0</v>
      </c>
      <c r="AU636" s="363">
        <f>IF(AU638=0,0,(AU637*AU638+AU639*AU640*6)/AU638)</f>
        <v>0</v>
      </c>
      <c r="AV636" s="363">
        <f>IF(AV638=0,0,(AV637*AV638+AV639*AV640*6)/AV638)</f>
        <v>0</v>
      </c>
      <c r="AW636" s="362">
        <f>IF(AU636=0,0,(AV636-AU636)/AU636*100)</f>
        <v>0</v>
      </c>
      <c r="AX636" s="363">
        <f>IF(AX638=0,0,(AX637*AX638+AX639*AX640*6)/AX638)</f>
        <v>0</v>
      </c>
      <c r="AY636" s="363">
        <f>IF(AY638=0,0,(AY637*AY638+AY639*AY640*6)/AY638)</f>
        <v>0</v>
      </c>
      <c r="AZ636" s="362">
        <f>IF(AX636=0,0,(AY636-AX636)/AX636*100)</f>
        <v>0</v>
      </c>
      <c r="BA636" s="363">
        <f>IF(BA638=0,0,(BA637*BA638+BA639*BA640*6)/BA638)</f>
        <v>0</v>
      </c>
      <c r="BB636" s="363">
        <f>IF(BB638=0,0,(BB637*BB638+BB639*BB640*6)/BB638)</f>
        <v>0</v>
      </c>
      <c r="BC636" s="362">
        <f>IF(BA636=0,0,(BB636-BA636)/BA636*100)</f>
        <v>0</v>
      </c>
      <c r="BD636" s="363">
        <f>IF(BD638=0,0,(BD637*BD638+BD639*BD640*6)/BD638)</f>
        <v>0</v>
      </c>
      <c r="BE636" s="363">
        <f>IF(BE638=0,0,(BE637*BE638+BE639*BE640*6)/BE638)</f>
        <v>0</v>
      </c>
      <c r="BF636" s="362">
        <f>IF(BD636=0,0,(BE636-BD636)/BD636*100)</f>
        <v>0</v>
      </c>
      <c r="BG636" s="363">
        <f>IF(BG638=0,0,(BG637*BG638+BG639*BG640*6)/BG638)</f>
        <v>0</v>
      </c>
      <c r="BH636" s="363">
        <f>IF(BH638=0,0,(BH637*BH638+BH639*BH640*6)/BH638)</f>
        <v>0</v>
      </c>
      <c r="BI636" s="362">
        <f>IF(BG636=0,0,(BH636-BG636)/BG636*100)</f>
        <v>0</v>
      </c>
      <c r="BJ636" s="363">
        <f>IF(BJ638=0,0,(BJ637*BJ638+BJ639*BJ640*6)/BJ638)</f>
        <v>0</v>
      </c>
      <c r="BK636" s="363">
        <f>IF(BK638=0,0,(BK637*BK638+BK639*BK640*6)/BK638)</f>
        <v>0</v>
      </c>
      <c r="BL636" s="362">
        <f>IF(BJ636=0,0,(BK636-BJ636)/BJ636*100)</f>
        <v>0</v>
      </c>
      <c r="BM636" s="363">
        <f>IF(BM638=0,0,(BM637*BM638+BM639*BM640*6)/BM638)</f>
        <v>0</v>
      </c>
      <c r="BN636" s="363">
        <f>IF(BN638=0,0,(BN637*BN638+BN639*BN640*6)/BN638)</f>
        <v>0</v>
      </c>
      <c r="BO636" s="362">
        <f>IF(BM636=0,0,(BN636-BM636)/BM636*100)</f>
        <v>0</v>
      </c>
      <c r="BP636" s="363">
        <f>IF(BP638=0,0,(BP637*BP638+BP639*BP640*6)/BP638)</f>
        <v>0</v>
      </c>
      <c r="BQ636" s="363">
        <f>IF(BQ638=0,0,(BQ637*BQ638+BQ639*BQ640*6)/BQ638)</f>
        <v>0</v>
      </c>
      <c r="BR636" s="362">
        <f>IF(BP636=0,0,(BQ636-BP636)/BP636*100)</f>
        <v>0</v>
      </c>
      <c r="BS636" s="363">
        <f>IF(BS638=0,0,(BS637*BS638+BS639*BS640*6)/BS638)</f>
        <v>0</v>
      </c>
      <c r="BT636" s="363">
        <f>IF(BT638=0,0,(BT637*BT638+BT639*BT640*6)/BT638)</f>
        <v>0</v>
      </c>
      <c r="BU636" s="362">
        <f>IF(BS636=0,0,(BT636-BS636)/BS636*100)</f>
        <v>0</v>
      </c>
      <c r="BV636" s="363">
        <f>IF(BV638=0,0,(BV637*BV638+BV639*BV640*6)/BV638)</f>
        <v>0</v>
      </c>
      <c r="BW636" s="363">
        <f>IF(BW638=0,0,(BW637*BW638+BW639*BW640*6)/BW638)</f>
        <v>0</v>
      </c>
      <c r="BX636" s="362">
        <f>IF(BV636=0,0,(BW636-BV636)/BV636*100)</f>
        <v>0</v>
      </c>
      <c r="BY636" s="363">
        <f>IF(BY638=0,0,(BY637*BY638+BY639*BY640*6)/BY638)</f>
        <v>0</v>
      </c>
      <c r="BZ636" s="363">
        <f>IF(BZ638=0,0,(BZ637*BZ638+BZ639*BZ640*6)/BZ638)</f>
        <v>0</v>
      </c>
      <c r="CA636" s="362">
        <f>IF(BY636=0,0,(BZ636-BY636)/BY636*100)</f>
        <v>0</v>
      </c>
      <c r="CB636" s="363">
        <f>IF(CB638=0,0,(CB637*CB638+CB639*CB640*6)/CB638)</f>
        <v>0</v>
      </c>
      <c r="CC636" s="363">
        <f>IF(CC638=0,0,(CC637*CC638+CC639*CC640*6)/CC638)</f>
        <v>0</v>
      </c>
      <c r="CD636" s="362">
        <f>IF(CB636=0,0,(CC636-CB636)/CB636*100)</f>
        <v>0</v>
      </c>
      <c r="CE636" s="363">
        <f>IF(CE638=0,0,(CE637*CE638+CE639*CE640*6)/CE638)</f>
        <v>0</v>
      </c>
      <c r="CF636" s="363">
        <f>IF(CF638=0,0,(CF637*CF638+CF639*CF640*6)/CF638)</f>
        <v>0</v>
      </c>
      <c r="CG636" s="362">
        <f>IF(CE636=0,0,(CF636-CE636)/CE636*100)</f>
        <v>0</v>
      </c>
      <c r="CH636" s="363">
        <f>IF(CH638=0,0,(CH637*CH638+CH639*CH640*6)/CH638)</f>
        <v>0</v>
      </c>
      <c r="CI636" s="363">
        <f>IF(CI638=0,0,(CI637*CI638+CI639*CI640*6)/CI638)</f>
        <v>0</v>
      </c>
      <c r="CJ636" s="362">
        <f>IF(CH636=0,0,(CI636-CH636)/CH636*100)</f>
        <v>0</v>
      </c>
      <c r="CK636" s="363">
        <f>IF(CK638=0,0,(CK637*CK638+CK639*CK640*6)/CK638)</f>
        <v>0</v>
      </c>
      <c r="CL636" s="363">
        <f>IF(CL638=0,0,(CL637*CL638+CL639*CL640*6)/CL638)</f>
        <v>0</v>
      </c>
      <c r="CM636" s="362">
        <f>IF(CK636=0,0,(CL636-CK636)/CK636*100)</f>
        <v>0</v>
      </c>
      <c r="CN636" s="363">
        <f>IF(CN638=0,0,(CN637*CN638+CN639*CN640*6)/CN638)</f>
        <v>0</v>
      </c>
      <c r="CO636" s="363">
        <f>IF(CO638=0,0,(CO637*CO638+CO639*CO640*6)/CO638)</f>
        <v>0</v>
      </c>
      <c r="CP636" s="362">
        <f>IF(CN636=0,0,(CO636-CN636)/CN636*100)</f>
        <v>0</v>
      </c>
      <c r="CQ636" s="363">
        <f>IF(CQ638=0,0,(CQ637*CQ638+CQ639*CQ640*6)/CQ638)</f>
        <v>0</v>
      </c>
      <c r="CR636" s="363">
        <f>IF(CR638=0,0,(CR637*CR638+CR639*CR640*6)/CR638)</f>
        <v>0</v>
      </c>
      <c r="CS636" s="362">
        <f>IF(CQ636=0,0,(CR636-CQ636)/CQ636*100)</f>
        <v>0</v>
      </c>
      <c r="CT636" s="363">
        <f>IF(CT638=0,0,(CT637*CT638+CT639*CT640*6)/CT638)</f>
        <v>0</v>
      </c>
      <c r="CU636" s="363">
        <f>IF(CU638=0,0,(CU637*CU638+CU639*CU640*6)/CU638)</f>
        <v>0</v>
      </c>
      <c r="CV636" s="362">
        <f>IF(CT636=0,0,(CU636-CT636)/CT636*100)</f>
        <v>0</v>
      </c>
      <c r="CW636" s="363">
        <f>IF(CW638=0,0,(CW637*CW638+CW639*CW640*6)/CW638)</f>
        <v>0</v>
      </c>
      <c r="CX636" s="363">
        <f>IF(CX638=0,0,(CX637*CX638+CX639*CX640*6)/CX638)</f>
        <v>0</v>
      </c>
      <c r="CY636" s="362">
        <f>IF(CW636=0,0,(CX636-CW636)/CW636*100)</f>
        <v>0</v>
      </c>
      <c r="CZ636" s="363">
        <f>IF(CZ638=0,0,(CZ637*CZ638+CZ639*CZ640*6)/CZ638)</f>
        <v>0</v>
      </c>
      <c r="DA636" s="363">
        <f>IF(DA638=0,0,(DA637*DA638+DA639*DA640*6)/DA638)</f>
        <v>0</v>
      </c>
      <c r="DB636" s="362">
        <f>IF(CZ636=0,0,(DA636-CZ636)/CZ636*100)</f>
        <v>0</v>
      </c>
      <c r="DC636" s="363">
        <f>IF(DC638=0,0,(DC637*DC638+DC639*DC640*6)/DC638)</f>
        <v>0</v>
      </c>
      <c r="DD636" s="363">
        <f>IF(DD638=0,0,(DD637*DD638+DD639*DD640*6)/DD638)</f>
        <v>0</v>
      </c>
      <c r="DE636" s="362">
        <f>IF(DC636=0,0,(DD636-DC636)/DC636*100)</f>
        <v>0</v>
      </c>
      <c r="DF636" s="363">
        <f>IF(DF638=0,0,(DF637*DF638+DF639*DF640*6)/DF638)</f>
        <v>0</v>
      </c>
      <c r="DG636" s="363">
        <f>IF(DG638=0,0,(DG637*DG638+DG639*DG640*6)/DG638)</f>
        <v>0</v>
      </c>
      <c r="DH636" s="362">
        <f>IF(DF636=0,0,(DG636-DF636)/DF636*100)</f>
        <v>0</v>
      </c>
      <c r="DI636" s="363">
        <f>IF(DI638=0,0,(DI637*DI638+DI639*DI640*6)/DI638)</f>
        <v>0</v>
      </c>
      <c r="DJ636" s="363">
        <f>IF(DJ638=0,0,(DJ637*DJ638+DJ639*DJ640*6)/DJ638)</f>
        <v>0</v>
      </c>
      <c r="DK636" s="362">
        <f>IF(DI636=0,0,(DJ636-DI636)/DI636*100)</f>
        <v>0</v>
      </c>
      <c r="DL636" s="363">
        <f>IF(DL638=0,0,(DL637*DL638+DL639*DL640*6)/DL638)</f>
        <v>0</v>
      </c>
      <c r="DM636" s="363">
        <f>IF(DM638=0,0,(DM637*DM638+DM639*DM640*6)/DM638)</f>
        <v>0</v>
      </c>
      <c r="DN636" s="362">
        <f>IF(DL636=0,0,(DM636-DL636)/DL636*100)</f>
        <v>0</v>
      </c>
      <c r="DO636" s="363">
        <f>IF(DO638=0,0,(DO637*DO638+DO639*DO640*6)/DO638)</f>
        <v>0</v>
      </c>
      <c r="DP636" s="363">
        <f>IF(DP638=0,0,(DP637*DP638+DP639*DP640*6)/DP638)</f>
        <v>0</v>
      </c>
      <c r="DQ636" s="362">
        <f>IF(DO636=0,0,(DP636-DO636)/DO636*100)</f>
        <v>0</v>
      </c>
      <c r="DR636" s="363">
        <f>IF(DR638=0,0,(DR637*DR638+DR639*DR640*6)/DR638)</f>
        <v>0</v>
      </c>
      <c r="DS636" s="363">
        <f>IF(DS638=0,0,(DS637*DS638+DS639*DS640*6)/DS638)</f>
        <v>0</v>
      </c>
      <c r="DT636" s="362">
        <f>IF(DR636=0,0,(DS636-DR636)/DR636*100)</f>
        <v>0</v>
      </c>
      <c r="DU636" s="363">
        <f>IF(DU638=0,0,(DU637*DU638+DU639*DU640*6)/DU638)</f>
        <v>0</v>
      </c>
      <c r="DV636" s="363">
        <f>IF(DV638=0,0,(DV637*DV638+DV639*DV640*6)/DV638)</f>
        <v>0</v>
      </c>
      <c r="DW636" s="362">
        <f>IF(DU636=0,0,(DV636-DU636)/DU636*100)</f>
        <v>0</v>
      </c>
      <c r="DX636" s="363">
        <f>IF(DX638=0,0,(DX637*DX638+DX639*DX640*6)/DX638)</f>
        <v>0</v>
      </c>
      <c r="DY636" s="363">
        <f>IF(DY638=0,0,(DY637*DY638+DY639*DY640*6)/DY638)</f>
        <v>0</v>
      </c>
      <c r="DZ636" s="362">
        <f>IF(DX636=0,0,(DY636-DX636)/DX636*100)</f>
        <v>0</v>
      </c>
      <c r="EA636" s="363">
        <f>IF(EA638=0,0,(EA637*EA638+EA639*EA640*6)/EA638)</f>
        <v>0</v>
      </c>
      <c r="EB636" s="363">
        <f>IF(EB638=0,0,(EB637*EB638+EB639*EB640*6)/EB638)</f>
        <v>0</v>
      </c>
      <c r="EC636" s="362">
        <f>IF(EA636=0,0,(EB636-EA636)/EA636*100)</f>
        <v>0</v>
      </c>
      <c r="ED636" s="363">
        <f>IF(ED638=0,0,(ED637*ED638+ED639*ED640*6)/ED638)</f>
        <v>0</v>
      </c>
      <c r="EE636" s="363">
        <f>IF(EE638=0,0,(EE637*EE638+EE639*EE640*6)/EE638)</f>
        <v>0</v>
      </c>
      <c r="EF636" s="362">
        <f>IF(ED636=0,0,(EE636-ED636)/ED636*100)</f>
        <v>0</v>
      </c>
      <c r="EG636" s="363">
        <f>IF(EG638=0,0,(EG637*EG638+EG639*EG640*6)/EG638)</f>
        <v>0</v>
      </c>
      <c r="EH636" s="363">
        <f>IF(EH638=0,0,(EH637*EH638+EH639*EH640*6)/EH638)</f>
        <v>0</v>
      </c>
      <c r="EI636" s="362">
        <f>IF(EG636=0,0,(EH636-EG636)/EG636*100)</f>
        <v>0</v>
      </c>
      <c r="EJ636" s="363">
        <f>IF(EJ638=0,0,(EJ637*EJ638+EJ639*EJ640*6)/EJ638)</f>
        <v>0</v>
      </c>
      <c r="EK636" s="363">
        <f>IF(EK638=0,0,(EK637*EK638+EK639*EK640*6)/EK638)</f>
        <v>0</v>
      </c>
      <c r="EL636" s="362">
        <f>IF(EJ636=0,0,(EK636-EJ636)/EJ636*100)</f>
        <v>0</v>
      </c>
      <c r="EM636" s="363">
        <f>IF(EM638=0,0,(EM637*EM638+EM639*EM640*6)/EM638)</f>
        <v>0</v>
      </c>
      <c r="EN636" s="363">
        <f>IF(EN638=0,0,(EN637*EN638+EN639*EN640*6)/EN638)</f>
        <v>0</v>
      </c>
      <c r="EO636" s="362">
        <f>IF(EM636=0,0,(EN636-EM636)/EM636*100)</f>
        <v>0</v>
      </c>
      <c r="EP636" s="363">
        <f>IF(EP638=0,0,(EP637*EP638+EP639*EP640*6)/EP638)</f>
        <v>0</v>
      </c>
      <c r="EQ636" s="363">
        <f>IF(EQ638=0,0,(EQ637*EQ638+EQ639*EQ640*6)/EQ638)</f>
        <v>0</v>
      </c>
      <c r="ER636" s="362">
        <f>IF(EP636=0,0,(EQ636-EP636)/EP636*100)</f>
        <v>0</v>
      </c>
      <c r="ES636" s="363">
        <f>IF(ES638=0,0,(ES637*ES638+ES639*ES640*6)/ES638)</f>
        <v>0</v>
      </c>
      <c r="ET636" s="363">
        <f>IF(ET638=0,0,(ET637*ET638+ET639*ET640*6)/ET638)</f>
        <v>0</v>
      </c>
      <c r="EU636" s="362">
        <f>IF(ES636=0,0,(ET636-ES636)/ES636*100)</f>
        <v>0</v>
      </c>
      <c r="EV636" s="363">
        <f>IF(EV638=0,0,(EV637*EV638+EV639*EV640*6)/EV638)</f>
        <v>0</v>
      </c>
      <c r="EW636" s="363">
        <f>IF(EW638=0,0,(EW637*EW638+EW639*EW640*6)/EW638)</f>
        <v>0</v>
      </c>
      <c r="EX636" s="362">
        <f>IF(EV636=0,0,(EW636-EV636)/EV636*100)</f>
        <v>0</v>
      </c>
      <c r="EY636" s="363">
        <f>IF(EY638=0,0,(EY637*EY638+EY639*EY640*6)/EY638)</f>
        <v>0</v>
      </c>
      <c r="EZ636" s="363">
        <f>IF(EZ638=0,0,(EZ637*EZ638+EZ639*EZ640*6)/EZ638)</f>
        <v>0</v>
      </c>
      <c r="FA636" s="362">
        <f>IF(EY636=0,0,(EZ636-EY636)/EY636*100)</f>
        <v>0</v>
      </c>
      <c r="FB636" s="363">
        <f>IF(FB638=0,0,(FB637*FB638+FB639*FB640*6)/FB638)</f>
        <v>0</v>
      </c>
      <c r="FC636" s="363">
        <f>IF(FC638=0,0,(FC637*FC638+FC639*FC640*6)/FC638)</f>
        <v>0</v>
      </c>
      <c r="FD636" s="362">
        <f>IF(FB636=0,0,(FC636-FB636)/FB636*100)</f>
        <v>0</v>
      </c>
      <c r="FE636" s="363">
        <f>IF(FE638=0,0,(FE637*FE638+FE639*FE640*6)/FE638)</f>
        <v>0</v>
      </c>
      <c r="FF636" s="363">
        <f>IF(FF638=0,0,(FF637*FF638+FF639*FF640*6)/FF638)</f>
        <v>0</v>
      </c>
      <c r="FG636" s="362">
        <f>IF(FE636=0,0,(FF636-FE636)/FE636*100)</f>
        <v>0</v>
      </c>
    </row>
    <row r="637" spans="1:163" s="295" customFormat="1" ht="22.5" outlineLevel="1">
      <c r="A637" s="295" t="str">
        <f t="shared" ca="1" si="128"/>
        <v>et_List16_line_d</v>
      </c>
      <c r="C637" s="295" t="s">
        <v>1605</v>
      </c>
      <c r="D637" s="627">
        <f>D636</f>
        <v>0</v>
      </c>
      <c r="G637" s="295">
        <f t="shared" ca="1" si="129"/>
        <v>0</v>
      </c>
      <c r="J637" s="718"/>
      <c r="K637" s="135"/>
      <c r="L637" s="369" t="s">
        <v>665</v>
      </c>
      <c r="M637" s="567" t="s">
        <v>652</v>
      </c>
      <c r="N637" s="363"/>
      <c r="O637" s="363"/>
      <c r="P637" s="362">
        <f>IF(N637=0,0,(O637-N637)/N637*100)</f>
        <v>0</v>
      </c>
      <c r="Q637" s="363"/>
      <c r="R637" s="363"/>
      <c r="S637" s="362">
        <f>IF(Q637=0,0,(R637-Q637)/Q637*100)</f>
        <v>0</v>
      </c>
      <c r="T637" s="363"/>
      <c r="U637" s="363"/>
      <c r="V637" s="362">
        <f>IF(T637=0,0,(U637-T637)/T637*100)</f>
        <v>0</v>
      </c>
      <c r="W637" s="363"/>
      <c r="X637" s="363"/>
      <c r="Y637" s="362">
        <f>IF(W637=0,0,(X637-W637)/W637*100)</f>
        <v>0</v>
      </c>
      <c r="Z637" s="363"/>
      <c r="AA637" s="363"/>
      <c r="AB637" s="362">
        <f>IF(Z637=0,0,(AA637-Z637)/Z637*100)</f>
        <v>0</v>
      </c>
      <c r="AC637" s="363"/>
      <c r="AD637" s="363"/>
      <c r="AE637" s="362">
        <f>IF(AC637=0,0,(AD637-AC637)/AC637*100)</f>
        <v>0</v>
      </c>
      <c r="AF637" s="363"/>
      <c r="AG637" s="363"/>
      <c r="AH637" s="362">
        <f>IF(AF637=0,0,(AG637-AF637)/AF637*100)</f>
        <v>0</v>
      </c>
      <c r="AI637" s="363"/>
      <c r="AJ637" s="363"/>
      <c r="AK637" s="362">
        <f>IF(AI637=0,0,(AJ637-AI637)/AI637*100)</f>
        <v>0</v>
      </c>
      <c r="AL637" s="363"/>
      <c r="AM637" s="363"/>
      <c r="AN637" s="362">
        <f>IF(AL637=0,0,(AM637-AL637)/AL637*100)</f>
        <v>0</v>
      </c>
      <c r="AO637" s="363"/>
      <c r="AP637" s="363"/>
      <c r="AQ637" s="362">
        <f>IF(AO637=0,0,(AP637-AO637)/AO637*100)</f>
        <v>0</v>
      </c>
      <c r="AR637" s="363"/>
      <c r="AS637" s="363"/>
      <c r="AT637" s="362">
        <f>IF(AR637=0,0,(AS637-AR637)/AR637*100)</f>
        <v>0</v>
      </c>
      <c r="AU637" s="363"/>
      <c r="AV637" s="363"/>
      <c r="AW637" s="362">
        <f>IF(AU637=0,0,(AV637-AU637)/AU637*100)</f>
        <v>0</v>
      </c>
      <c r="AX637" s="363"/>
      <c r="AY637" s="363"/>
      <c r="AZ637" s="362">
        <f>IF(AX637=0,0,(AY637-AX637)/AX637*100)</f>
        <v>0</v>
      </c>
      <c r="BA637" s="363"/>
      <c r="BB637" s="363"/>
      <c r="BC637" s="362">
        <f>IF(BA637=0,0,(BB637-BA637)/BA637*100)</f>
        <v>0</v>
      </c>
      <c r="BD637" s="363"/>
      <c r="BE637" s="363"/>
      <c r="BF637" s="362">
        <f>IF(BD637=0,0,(BE637-BD637)/BD637*100)</f>
        <v>0</v>
      </c>
      <c r="BG637" s="363"/>
      <c r="BH637" s="363"/>
      <c r="BI637" s="362">
        <f>IF(BG637=0,0,(BH637-BG637)/BG637*100)</f>
        <v>0</v>
      </c>
      <c r="BJ637" s="363"/>
      <c r="BK637" s="363"/>
      <c r="BL637" s="362">
        <f>IF(BJ637=0,0,(BK637-BJ637)/BJ637*100)</f>
        <v>0</v>
      </c>
      <c r="BM637" s="363"/>
      <c r="BN637" s="363"/>
      <c r="BO637" s="362">
        <f>IF(BM637=0,0,(BN637-BM637)/BM637*100)</f>
        <v>0</v>
      </c>
      <c r="BP637" s="363"/>
      <c r="BQ637" s="363"/>
      <c r="BR637" s="362">
        <f>IF(BP637=0,0,(BQ637-BP637)/BP637*100)</f>
        <v>0</v>
      </c>
      <c r="BS637" s="363"/>
      <c r="BT637" s="363"/>
      <c r="BU637" s="362">
        <f>IF(BS637=0,0,(BT637-BS637)/BS637*100)</f>
        <v>0</v>
      </c>
      <c r="BV637" s="363"/>
      <c r="BW637" s="363"/>
      <c r="BX637" s="362">
        <f>IF(BV637=0,0,(BW637-BV637)/BV637*100)</f>
        <v>0</v>
      </c>
      <c r="BY637" s="363"/>
      <c r="BZ637" s="363"/>
      <c r="CA637" s="362">
        <f>IF(BY637=0,0,(BZ637-BY637)/BY637*100)</f>
        <v>0</v>
      </c>
      <c r="CB637" s="363"/>
      <c r="CC637" s="363"/>
      <c r="CD637" s="362">
        <f>IF(CB637=0,0,(CC637-CB637)/CB637*100)</f>
        <v>0</v>
      </c>
      <c r="CE637" s="363"/>
      <c r="CF637" s="363"/>
      <c r="CG637" s="362">
        <f>IF(CE637=0,0,(CF637-CE637)/CE637*100)</f>
        <v>0</v>
      </c>
      <c r="CH637" s="363"/>
      <c r="CI637" s="363"/>
      <c r="CJ637" s="362">
        <f>IF(CH637=0,0,(CI637-CH637)/CH637*100)</f>
        <v>0</v>
      </c>
      <c r="CK637" s="363"/>
      <c r="CL637" s="363"/>
      <c r="CM637" s="362">
        <f>IF(CK637=0,0,(CL637-CK637)/CK637*100)</f>
        <v>0</v>
      </c>
      <c r="CN637" s="363"/>
      <c r="CO637" s="363"/>
      <c r="CP637" s="362">
        <f>IF(CN637=0,0,(CO637-CN637)/CN637*100)</f>
        <v>0</v>
      </c>
      <c r="CQ637" s="363"/>
      <c r="CR637" s="363"/>
      <c r="CS637" s="362">
        <f>IF(CQ637=0,0,(CR637-CQ637)/CQ637*100)</f>
        <v>0</v>
      </c>
      <c r="CT637" s="363"/>
      <c r="CU637" s="363"/>
      <c r="CV637" s="362">
        <f>IF(CT637=0,0,(CU637-CT637)/CT637*100)</f>
        <v>0</v>
      </c>
      <c r="CW637" s="363"/>
      <c r="CX637" s="363"/>
      <c r="CY637" s="362">
        <f>IF(CW637=0,0,(CX637-CW637)/CW637*100)</f>
        <v>0</v>
      </c>
      <c r="CZ637" s="363"/>
      <c r="DA637" s="363"/>
      <c r="DB637" s="362">
        <f>IF(CZ637=0,0,(DA637-CZ637)/CZ637*100)</f>
        <v>0</v>
      </c>
      <c r="DC637" s="363"/>
      <c r="DD637" s="363"/>
      <c r="DE637" s="362">
        <f>IF(DC637=0,0,(DD637-DC637)/DC637*100)</f>
        <v>0</v>
      </c>
      <c r="DF637" s="363"/>
      <c r="DG637" s="363"/>
      <c r="DH637" s="362">
        <f>IF(DF637=0,0,(DG637-DF637)/DF637*100)</f>
        <v>0</v>
      </c>
      <c r="DI637" s="363"/>
      <c r="DJ637" s="363"/>
      <c r="DK637" s="362">
        <f>IF(DI637=0,0,(DJ637-DI637)/DI637*100)</f>
        <v>0</v>
      </c>
      <c r="DL637" s="363"/>
      <c r="DM637" s="363"/>
      <c r="DN637" s="362">
        <f>IF(DL637=0,0,(DM637-DL637)/DL637*100)</f>
        <v>0</v>
      </c>
      <c r="DO637" s="363"/>
      <c r="DP637" s="363"/>
      <c r="DQ637" s="362">
        <f>IF(DO637=0,0,(DP637-DO637)/DO637*100)</f>
        <v>0</v>
      </c>
      <c r="DR637" s="363"/>
      <c r="DS637" s="363"/>
      <c r="DT637" s="362">
        <f>IF(DR637=0,0,(DS637-DR637)/DR637*100)</f>
        <v>0</v>
      </c>
      <c r="DU637" s="363"/>
      <c r="DV637" s="363"/>
      <c r="DW637" s="362">
        <f>IF(DU637=0,0,(DV637-DU637)/DU637*100)</f>
        <v>0</v>
      </c>
      <c r="DX637" s="363"/>
      <c r="DY637" s="363"/>
      <c r="DZ637" s="362">
        <f>IF(DX637=0,0,(DY637-DX637)/DX637*100)</f>
        <v>0</v>
      </c>
      <c r="EA637" s="363"/>
      <c r="EB637" s="363"/>
      <c r="EC637" s="362">
        <f>IF(EA637=0,0,(EB637-EA637)/EA637*100)</f>
        <v>0</v>
      </c>
      <c r="ED637" s="363"/>
      <c r="EE637" s="363"/>
      <c r="EF637" s="362">
        <f>IF(ED637=0,0,(EE637-ED637)/ED637*100)</f>
        <v>0</v>
      </c>
      <c r="EG637" s="363"/>
      <c r="EH637" s="363"/>
      <c r="EI637" s="362">
        <f>IF(EG637=0,0,(EH637-EG637)/EG637*100)</f>
        <v>0</v>
      </c>
      <c r="EJ637" s="363"/>
      <c r="EK637" s="363"/>
      <c r="EL637" s="362">
        <f>IF(EJ637=0,0,(EK637-EJ637)/EJ637*100)</f>
        <v>0</v>
      </c>
      <c r="EM637" s="363"/>
      <c r="EN637" s="363"/>
      <c r="EO637" s="362">
        <f>IF(EM637=0,0,(EN637-EM637)/EM637*100)</f>
        <v>0</v>
      </c>
      <c r="EP637" s="363"/>
      <c r="EQ637" s="363"/>
      <c r="ER637" s="362">
        <f>IF(EP637=0,0,(EQ637-EP637)/EP637*100)</f>
        <v>0</v>
      </c>
      <c r="ES637" s="363"/>
      <c r="ET637" s="363"/>
      <c r="EU637" s="362">
        <f>IF(ES637=0,0,(ET637-ES637)/ES637*100)</f>
        <v>0</v>
      </c>
      <c r="EV637" s="363"/>
      <c r="EW637" s="363"/>
      <c r="EX637" s="362">
        <f>IF(EV637=0,0,(EW637-EV637)/EV637*100)</f>
        <v>0</v>
      </c>
      <c r="EY637" s="363"/>
      <c r="EZ637" s="363"/>
      <c r="FA637" s="362">
        <f>IF(EY637=0,0,(EZ637-EY637)/EY637*100)</f>
        <v>0</v>
      </c>
      <c r="FB637" s="363"/>
      <c r="FC637" s="363"/>
      <c r="FD637" s="362">
        <f>IF(FB637=0,0,(FC637-FB637)/FB637*100)</f>
        <v>0</v>
      </c>
      <c r="FE637" s="363"/>
      <c r="FF637" s="363"/>
      <c r="FG637" s="362">
        <f>IF(FE637=0,0,(FF637-FE637)/FE637*100)</f>
        <v>0</v>
      </c>
    </row>
    <row r="638" spans="1:163" s="295" customFormat="1" ht="22.5" outlineLevel="1">
      <c r="A638" s="295" t="str">
        <f t="shared" ca="1" si="128"/>
        <v>et_List16_line_d</v>
      </c>
      <c r="C638" s="295" t="s">
        <v>1660</v>
      </c>
      <c r="D638" s="627">
        <f>D637</f>
        <v>0</v>
      </c>
      <c r="G638" s="295">
        <f t="shared" ca="1" si="129"/>
        <v>0</v>
      </c>
      <c r="J638" s="718"/>
      <c r="K638" s="135"/>
      <c r="L638" s="369" t="s">
        <v>666</v>
      </c>
      <c r="M638" s="567" t="s">
        <v>310</v>
      </c>
      <c r="N638" s="565"/>
      <c r="O638" s="565"/>
      <c r="P638" s="569">
        <f>IF(N638=0,0,(O638-N638)/N638*100)</f>
        <v>0</v>
      </c>
      <c r="Q638" s="565"/>
      <c r="R638" s="565"/>
      <c r="S638" s="569">
        <f>IF(Q638=0,0,(R638-Q638)/Q638*100)</f>
        <v>0</v>
      </c>
      <c r="T638" s="565"/>
      <c r="U638" s="565"/>
      <c r="V638" s="569">
        <f>IF(T638=0,0,(U638-T638)/T638*100)</f>
        <v>0</v>
      </c>
      <c r="W638" s="565"/>
      <c r="X638" s="565"/>
      <c r="Y638" s="569">
        <f>IF(W638=0,0,(X638-W638)/W638*100)</f>
        <v>0</v>
      </c>
      <c r="Z638" s="565"/>
      <c r="AA638" s="565"/>
      <c r="AB638" s="569">
        <f>IF(Z638=0,0,(AA638-Z638)/Z638*100)</f>
        <v>0</v>
      </c>
      <c r="AC638" s="565"/>
      <c r="AD638" s="565"/>
      <c r="AE638" s="569">
        <f>IF(AC638=0,0,(AD638-AC638)/AC638*100)</f>
        <v>0</v>
      </c>
      <c r="AF638" s="565"/>
      <c r="AG638" s="565"/>
      <c r="AH638" s="569">
        <f>IF(AF638=0,0,(AG638-AF638)/AF638*100)</f>
        <v>0</v>
      </c>
      <c r="AI638" s="565"/>
      <c r="AJ638" s="565"/>
      <c r="AK638" s="569">
        <f>IF(AI638=0,0,(AJ638-AI638)/AI638*100)</f>
        <v>0</v>
      </c>
      <c r="AL638" s="565"/>
      <c r="AM638" s="565"/>
      <c r="AN638" s="569">
        <f>IF(AL638=0,0,(AM638-AL638)/AL638*100)</f>
        <v>0</v>
      </c>
      <c r="AO638" s="565"/>
      <c r="AP638" s="565"/>
      <c r="AQ638" s="569">
        <f>IF(AO638=0,0,(AP638-AO638)/AO638*100)</f>
        <v>0</v>
      </c>
      <c r="AR638" s="565"/>
      <c r="AS638" s="565"/>
      <c r="AT638" s="569">
        <f>IF(AR638=0,0,(AS638-AR638)/AR638*100)</f>
        <v>0</v>
      </c>
      <c r="AU638" s="565"/>
      <c r="AV638" s="565"/>
      <c r="AW638" s="569">
        <f>IF(AU638=0,0,(AV638-AU638)/AU638*100)</f>
        <v>0</v>
      </c>
      <c r="AX638" s="565"/>
      <c r="AY638" s="565"/>
      <c r="AZ638" s="569">
        <f>IF(AX638=0,0,(AY638-AX638)/AX638*100)</f>
        <v>0</v>
      </c>
      <c r="BA638" s="565"/>
      <c r="BB638" s="565"/>
      <c r="BC638" s="569">
        <f>IF(BA638=0,0,(BB638-BA638)/BA638*100)</f>
        <v>0</v>
      </c>
      <c r="BD638" s="565"/>
      <c r="BE638" s="565"/>
      <c r="BF638" s="569">
        <f>IF(BD638=0,0,(BE638-BD638)/BD638*100)</f>
        <v>0</v>
      </c>
      <c r="BG638" s="565"/>
      <c r="BH638" s="565"/>
      <c r="BI638" s="569">
        <f>IF(BG638=0,0,(BH638-BG638)/BG638*100)</f>
        <v>0</v>
      </c>
      <c r="BJ638" s="565"/>
      <c r="BK638" s="565"/>
      <c r="BL638" s="569">
        <f>IF(BJ638=0,0,(BK638-BJ638)/BJ638*100)</f>
        <v>0</v>
      </c>
      <c r="BM638" s="565"/>
      <c r="BN638" s="565"/>
      <c r="BO638" s="569">
        <f>IF(BM638=0,0,(BN638-BM638)/BM638*100)</f>
        <v>0</v>
      </c>
      <c r="BP638" s="565"/>
      <c r="BQ638" s="565"/>
      <c r="BR638" s="569">
        <f>IF(BP638=0,0,(BQ638-BP638)/BP638*100)</f>
        <v>0</v>
      </c>
      <c r="BS638" s="565"/>
      <c r="BT638" s="565"/>
      <c r="BU638" s="569">
        <f>IF(BS638=0,0,(BT638-BS638)/BS638*100)</f>
        <v>0</v>
      </c>
      <c r="BV638" s="565"/>
      <c r="BW638" s="565"/>
      <c r="BX638" s="569">
        <f>IF(BV638=0,0,(BW638-BV638)/BV638*100)</f>
        <v>0</v>
      </c>
      <c r="BY638" s="565"/>
      <c r="BZ638" s="565"/>
      <c r="CA638" s="569">
        <f>IF(BY638=0,0,(BZ638-BY638)/BY638*100)</f>
        <v>0</v>
      </c>
      <c r="CB638" s="565"/>
      <c r="CC638" s="565"/>
      <c r="CD638" s="569">
        <f>IF(CB638=0,0,(CC638-CB638)/CB638*100)</f>
        <v>0</v>
      </c>
      <c r="CE638" s="565"/>
      <c r="CF638" s="565"/>
      <c r="CG638" s="569">
        <f>IF(CE638=0,0,(CF638-CE638)/CE638*100)</f>
        <v>0</v>
      </c>
      <c r="CH638" s="565"/>
      <c r="CI638" s="565"/>
      <c r="CJ638" s="569">
        <f>IF(CH638=0,0,(CI638-CH638)/CH638*100)</f>
        <v>0</v>
      </c>
      <c r="CK638" s="565"/>
      <c r="CL638" s="565"/>
      <c r="CM638" s="569">
        <f>IF(CK638=0,0,(CL638-CK638)/CK638*100)</f>
        <v>0</v>
      </c>
      <c r="CN638" s="565"/>
      <c r="CO638" s="565"/>
      <c r="CP638" s="569">
        <f>IF(CN638=0,0,(CO638-CN638)/CN638*100)</f>
        <v>0</v>
      </c>
      <c r="CQ638" s="565"/>
      <c r="CR638" s="565"/>
      <c r="CS638" s="569">
        <f>IF(CQ638=0,0,(CR638-CQ638)/CQ638*100)</f>
        <v>0</v>
      </c>
      <c r="CT638" s="565"/>
      <c r="CU638" s="565"/>
      <c r="CV638" s="569">
        <f>IF(CT638=0,0,(CU638-CT638)/CT638*100)</f>
        <v>0</v>
      </c>
      <c r="CW638" s="565"/>
      <c r="CX638" s="565"/>
      <c r="CY638" s="569">
        <f>IF(CW638=0,0,(CX638-CW638)/CW638*100)</f>
        <v>0</v>
      </c>
      <c r="CZ638" s="565"/>
      <c r="DA638" s="565"/>
      <c r="DB638" s="569">
        <f>IF(CZ638=0,0,(DA638-CZ638)/CZ638*100)</f>
        <v>0</v>
      </c>
      <c r="DC638" s="565"/>
      <c r="DD638" s="565"/>
      <c r="DE638" s="569">
        <f>IF(DC638=0,0,(DD638-DC638)/DC638*100)</f>
        <v>0</v>
      </c>
      <c r="DF638" s="565"/>
      <c r="DG638" s="565"/>
      <c r="DH638" s="569">
        <f>IF(DF638=0,0,(DG638-DF638)/DF638*100)</f>
        <v>0</v>
      </c>
      <c r="DI638" s="565"/>
      <c r="DJ638" s="565"/>
      <c r="DK638" s="569">
        <f>IF(DI638=0,0,(DJ638-DI638)/DI638*100)</f>
        <v>0</v>
      </c>
      <c r="DL638" s="565"/>
      <c r="DM638" s="565"/>
      <c r="DN638" s="569">
        <f>IF(DL638=0,0,(DM638-DL638)/DL638*100)</f>
        <v>0</v>
      </c>
      <c r="DO638" s="565"/>
      <c r="DP638" s="565"/>
      <c r="DQ638" s="569">
        <f>IF(DO638=0,0,(DP638-DO638)/DO638*100)</f>
        <v>0</v>
      </c>
      <c r="DR638" s="565"/>
      <c r="DS638" s="565"/>
      <c r="DT638" s="569">
        <f>IF(DR638=0,0,(DS638-DR638)/DR638*100)</f>
        <v>0</v>
      </c>
      <c r="DU638" s="565"/>
      <c r="DV638" s="565"/>
      <c r="DW638" s="569">
        <f>IF(DU638=0,0,(DV638-DU638)/DU638*100)</f>
        <v>0</v>
      </c>
      <c r="DX638" s="565"/>
      <c r="DY638" s="565"/>
      <c r="DZ638" s="569">
        <f>IF(DX638=0,0,(DY638-DX638)/DX638*100)</f>
        <v>0</v>
      </c>
      <c r="EA638" s="565"/>
      <c r="EB638" s="565"/>
      <c r="EC638" s="569">
        <f>IF(EA638=0,0,(EB638-EA638)/EA638*100)</f>
        <v>0</v>
      </c>
      <c r="ED638" s="565"/>
      <c r="EE638" s="565"/>
      <c r="EF638" s="569">
        <f>IF(ED638=0,0,(EE638-ED638)/ED638*100)</f>
        <v>0</v>
      </c>
      <c r="EG638" s="565"/>
      <c r="EH638" s="565"/>
      <c r="EI638" s="569">
        <f>IF(EG638=0,0,(EH638-EG638)/EG638*100)</f>
        <v>0</v>
      </c>
      <c r="EJ638" s="565"/>
      <c r="EK638" s="565"/>
      <c r="EL638" s="569">
        <f>IF(EJ638=0,0,(EK638-EJ638)/EJ638*100)</f>
        <v>0</v>
      </c>
      <c r="EM638" s="565"/>
      <c r="EN638" s="565"/>
      <c r="EO638" s="569">
        <f>IF(EM638=0,0,(EN638-EM638)/EM638*100)</f>
        <v>0</v>
      </c>
      <c r="EP638" s="565"/>
      <c r="EQ638" s="565"/>
      <c r="ER638" s="569">
        <f>IF(EP638=0,0,(EQ638-EP638)/EP638*100)</f>
        <v>0</v>
      </c>
      <c r="ES638" s="565"/>
      <c r="ET638" s="565"/>
      <c r="EU638" s="569">
        <f>IF(ES638=0,0,(ET638-ES638)/ES638*100)</f>
        <v>0</v>
      </c>
      <c r="EV638" s="565"/>
      <c r="EW638" s="565"/>
      <c r="EX638" s="569">
        <f>IF(EV638=0,0,(EW638-EV638)/EV638*100)</f>
        <v>0</v>
      </c>
      <c r="EY638" s="565"/>
      <c r="EZ638" s="565"/>
      <c r="FA638" s="569">
        <f>IF(EY638=0,0,(EZ638-EY638)/EY638*100)</f>
        <v>0</v>
      </c>
      <c r="FB638" s="565"/>
      <c r="FC638" s="565"/>
      <c r="FD638" s="569">
        <f>IF(FB638=0,0,(FC638-FB638)/FB638*100)</f>
        <v>0</v>
      </c>
      <c r="FE638" s="565"/>
      <c r="FF638" s="565"/>
      <c r="FG638" s="569">
        <f>IF(FE638=0,0,(FF638-FE638)/FE638*100)</f>
        <v>0</v>
      </c>
    </row>
    <row r="639" spans="1:163" s="295" customFormat="1" ht="33.75" outlineLevel="1">
      <c r="A639" s="295" t="str">
        <f t="shared" ca="1" si="128"/>
        <v>et_List16_line_d</v>
      </c>
      <c r="C639" s="295" t="s">
        <v>1661</v>
      </c>
      <c r="D639" s="627">
        <f>D638</f>
        <v>0</v>
      </c>
      <c r="G639" s="295">
        <f t="shared" ca="1" si="129"/>
        <v>0</v>
      </c>
      <c r="J639" s="718"/>
      <c r="K639" s="135"/>
      <c r="L639" s="369" t="s">
        <v>667</v>
      </c>
      <c r="M639" s="567" t="s">
        <v>668</v>
      </c>
      <c r="N639" s="363"/>
      <c r="O639" s="363"/>
      <c r="P639" s="362">
        <f>IF(N639=0,0,(O639-N639)/N639*100)</f>
        <v>0</v>
      </c>
      <c r="Q639" s="363"/>
      <c r="R639" s="363"/>
      <c r="S639" s="362">
        <f>IF(Q639=0,0,(R639-Q639)/Q639*100)</f>
        <v>0</v>
      </c>
      <c r="T639" s="363"/>
      <c r="U639" s="363"/>
      <c r="V639" s="362">
        <f>IF(T639=0,0,(U639-T639)/T639*100)</f>
        <v>0</v>
      </c>
      <c r="W639" s="363"/>
      <c r="X639" s="363"/>
      <c r="Y639" s="362">
        <f>IF(W639=0,0,(X639-W639)/W639*100)</f>
        <v>0</v>
      </c>
      <c r="Z639" s="363"/>
      <c r="AA639" s="363"/>
      <c r="AB639" s="362">
        <f>IF(Z639=0,0,(AA639-Z639)/Z639*100)</f>
        <v>0</v>
      </c>
      <c r="AC639" s="363"/>
      <c r="AD639" s="363"/>
      <c r="AE639" s="362">
        <f>IF(AC639=0,0,(AD639-AC639)/AC639*100)</f>
        <v>0</v>
      </c>
      <c r="AF639" s="363"/>
      <c r="AG639" s="363"/>
      <c r="AH639" s="362">
        <f>IF(AF639=0,0,(AG639-AF639)/AF639*100)</f>
        <v>0</v>
      </c>
      <c r="AI639" s="363"/>
      <c r="AJ639" s="363"/>
      <c r="AK639" s="362">
        <f>IF(AI639=0,0,(AJ639-AI639)/AI639*100)</f>
        <v>0</v>
      </c>
      <c r="AL639" s="363"/>
      <c r="AM639" s="363"/>
      <c r="AN639" s="362">
        <f>IF(AL639=0,0,(AM639-AL639)/AL639*100)</f>
        <v>0</v>
      </c>
      <c r="AO639" s="363"/>
      <c r="AP639" s="363"/>
      <c r="AQ639" s="362">
        <f>IF(AO639=0,0,(AP639-AO639)/AO639*100)</f>
        <v>0</v>
      </c>
      <c r="AR639" s="363"/>
      <c r="AS639" s="363"/>
      <c r="AT639" s="362">
        <f>IF(AR639=0,0,(AS639-AR639)/AR639*100)</f>
        <v>0</v>
      </c>
      <c r="AU639" s="363"/>
      <c r="AV639" s="363"/>
      <c r="AW639" s="362">
        <f>IF(AU639=0,0,(AV639-AU639)/AU639*100)</f>
        <v>0</v>
      </c>
      <c r="AX639" s="363"/>
      <c r="AY639" s="363"/>
      <c r="AZ639" s="362">
        <f>IF(AX639=0,0,(AY639-AX639)/AX639*100)</f>
        <v>0</v>
      </c>
      <c r="BA639" s="363"/>
      <c r="BB639" s="363"/>
      <c r="BC639" s="362">
        <f>IF(BA639=0,0,(BB639-BA639)/BA639*100)</f>
        <v>0</v>
      </c>
      <c r="BD639" s="363"/>
      <c r="BE639" s="363"/>
      <c r="BF639" s="362">
        <f>IF(BD639=0,0,(BE639-BD639)/BD639*100)</f>
        <v>0</v>
      </c>
      <c r="BG639" s="363"/>
      <c r="BH639" s="363"/>
      <c r="BI639" s="362">
        <f>IF(BG639=0,0,(BH639-BG639)/BG639*100)</f>
        <v>0</v>
      </c>
      <c r="BJ639" s="363"/>
      <c r="BK639" s="363"/>
      <c r="BL639" s="362">
        <f>IF(BJ639=0,0,(BK639-BJ639)/BJ639*100)</f>
        <v>0</v>
      </c>
      <c r="BM639" s="363"/>
      <c r="BN639" s="363"/>
      <c r="BO639" s="362">
        <f>IF(BM639=0,0,(BN639-BM639)/BM639*100)</f>
        <v>0</v>
      </c>
      <c r="BP639" s="363"/>
      <c r="BQ639" s="363"/>
      <c r="BR639" s="362">
        <f>IF(BP639=0,0,(BQ639-BP639)/BP639*100)</f>
        <v>0</v>
      </c>
      <c r="BS639" s="363"/>
      <c r="BT639" s="363"/>
      <c r="BU639" s="362">
        <f>IF(BS639=0,0,(BT639-BS639)/BS639*100)</f>
        <v>0</v>
      </c>
      <c r="BV639" s="363"/>
      <c r="BW639" s="363"/>
      <c r="BX639" s="362">
        <f>IF(BV639=0,0,(BW639-BV639)/BV639*100)</f>
        <v>0</v>
      </c>
      <c r="BY639" s="363"/>
      <c r="BZ639" s="363"/>
      <c r="CA639" s="362">
        <f>IF(BY639=0,0,(BZ639-BY639)/BY639*100)</f>
        <v>0</v>
      </c>
      <c r="CB639" s="363"/>
      <c r="CC639" s="363"/>
      <c r="CD639" s="362">
        <f>IF(CB639=0,0,(CC639-CB639)/CB639*100)</f>
        <v>0</v>
      </c>
      <c r="CE639" s="363"/>
      <c r="CF639" s="363"/>
      <c r="CG639" s="362">
        <f>IF(CE639=0,0,(CF639-CE639)/CE639*100)</f>
        <v>0</v>
      </c>
      <c r="CH639" s="363"/>
      <c r="CI639" s="363"/>
      <c r="CJ639" s="362">
        <f>IF(CH639=0,0,(CI639-CH639)/CH639*100)</f>
        <v>0</v>
      </c>
      <c r="CK639" s="363"/>
      <c r="CL639" s="363"/>
      <c r="CM639" s="362">
        <f>IF(CK639=0,0,(CL639-CK639)/CK639*100)</f>
        <v>0</v>
      </c>
      <c r="CN639" s="363"/>
      <c r="CO639" s="363"/>
      <c r="CP639" s="362">
        <f>IF(CN639=0,0,(CO639-CN639)/CN639*100)</f>
        <v>0</v>
      </c>
      <c r="CQ639" s="363"/>
      <c r="CR639" s="363"/>
      <c r="CS639" s="362">
        <f>IF(CQ639=0,0,(CR639-CQ639)/CQ639*100)</f>
        <v>0</v>
      </c>
      <c r="CT639" s="363"/>
      <c r="CU639" s="363"/>
      <c r="CV639" s="362">
        <f>IF(CT639=0,0,(CU639-CT639)/CT639*100)</f>
        <v>0</v>
      </c>
      <c r="CW639" s="363"/>
      <c r="CX639" s="363"/>
      <c r="CY639" s="362">
        <f>IF(CW639=0,0,(CX639-CW639)/CW639*100)</f>
        <v>0</v>
      </c>
      <c r="CZ639" s="363"/>
      <c r="DA639" s="363"/>
      <c r="DB639" s="362">
        <f>IF(CZ639=0,0,(DA639-CZ639)/CZ639*100)</f>
        <v>0</v>
      </c>
      <c r="DC639" s="363"/>
      <c r="DD639" s="363"/>
      <c r="DE639" s="362">
        <f>IF(DC639=0,0,(DD639-DC639)/DC639*100)</f>
        <v>0</v>
      </c>
      <c r="DF639" s="363"/>
      <c r="DG639" s="363"/>
      <c r="DH639" s="362">
        <f>IF(DF639=0,0,(DG639-DF639)/DF639*100)</f>
        <v>0</v>
      </c>
      <c r="DI639" s="363"/>
      <c r="DJ639" s="363"/>
      <c r="DK639" s="362">
        <f>IF(DI639=0,0,(DJ639-DI639)/DI639*100)</f>
        <v>0</v>
      </c>
      <c r="DL639" s="363"/>
      <c r="DM639" s="363"/>
      <c r="DN639" s="362">
        <f>IF(DL639=0,0,(DM639-DL639)/DL639*100)</f>
        <v>0</v>
      </c>
      <c r="DO639" s="363"/>
      <c r="DP639" s="363"/>
      <c r="DQ639" s="362">
        <f>IF(DO639=0,0,(DP639-DO639)/DO639*100)</f>
        <v>0</v>
      </c>
      <c r="DR639" s="363"/>
      <c r="DS639" s="363"/>
      <c r="DT639" s="362">
        <f>IF(DR639=0,0,(DS639-DR639)/DR639*100)</f>
        <v>0</v>
      </c>
      <c r="DU639" s="363"/>
      <c r="DV639" s="363"/>
      <c r="DW639" s="362">
        <f>IF(DU639=0,0,(DV639-DU639)/DU639*100)</f>
        <v>0</v>
      </c>
      <c r="DX639" s="363"/>
      <c r="DY639" s="363"/>
      <c r="DZ639" s="362">
        <f>IF(DX639=0,0,(DY639-DX639)/DX639*100)</f>
        <v>0</v>
      </c>
      <c r="EA639" s="363"/>
      <c r="EB639" s="363"/>
      <c r="EC639" s="362">
        <f>IF(EA639=0,0,(EB639-EA639)/EA639*100)</f>
        <v>0</v>
      </c>
      <c r="ED639" s="363"/>
      <c r="EE639" s="363"/>
      <c r="EF639" s="362">
        <f>IF(ED639=0,0,(EE639-ED639)/ED639*100)</f>
        <v>0</v>
      </c>
      <c r="EG639" s="363"/>
      <c r="EH639" s="363"/>
      <c r="EI639" s="362">
        <f>IF(EG639=0,0,(EH639-EG639)/EG639*100)</f>
        <v>0</v>
      </c>
      <c r="EJ639" s="363"/>
      <c r="EK639" s="363"/>
      <c r="EL639" s="362">
        <f>IF(EJ639=0,0,(EK639-EJ639)/EJ639*100)</f>
        <v>0</v>
      </c>
      <c r="EM639" s="363"/>
      <c r="EN639" s="363"/>
      <c r="EO639" s="362">
        <f>IF(EM639=0,0,(EN639-EM639)/EM639*100)</f>
        <v>0</v>
      </c>
      <c r="EP639" s="363"/>
      <c r="EQ639" s="363"/>
      <c r="ER639" s="362">
        <f>IF(EP639=0,0,(EQ639-EP639)/EP639*100)</f>
        <v>0</v>
      </c>
      <c r="ES639" s="363"/>
      <c r="ET639" s="363"/>
      <c r="EU639" s="362">
        <f>IF(ES639=0,0,(ET639-ES639)/ES639*100)</f>
        <v>0</v>
      </c>
      <c r="EV639" s="363"/>
      <c r="EW639" s="363"/>
      <c r="EX639" s="362">
        <f>IF(EV639=0,0,(EW639-EV639)/EV639*100)</f>
        <v>0</v>
      </c>
      <c r="EY639" s="363"/>
      <c r="EZ639" s="363"/>
      <c r="FA639" s="362">
        <f>IF(EY639=0,0,(EZ639-EY639)/EY639*100)</f>
        <v>0</v>
      </c>
      <c r="FB639" s="363"/>
      <c r="FC639" s="363"/>
      <c r="FD639" s="362">
        <f>IF(FB639=0,0,(FC639-FB639)/FB639*100)</f>
        <v>0</v>
      </c>
      <c r="FE639" s="363"/>
      <c r="FF639" s="363"/>
      <c r="FG639" s="362">
        <f>IF(FE639=0,0,(FF639-FE639)/FE639*100)</f>
        <v>0</v>
      </c>
    </row>
    <row r="640" spans="1:163" s="295" customFormat="1" ht="22.5" outlineLevel="1">
      <c r="A640" s="295" t="str">
        <f t="shared" ca="1" si="128"/>
        <v>et_List16_line_d</v>
      </c>
      <c r="C640" s="295" t="s">
        <v>1662</v>
      </c>
      <c r="D640" s="627">
        <f>D639</f>
        <v>0</v>
      </c>
      <c r="G640" s="295">
        <f t="shared" ca="1" si="129"/>
        <v>0</v>
      </c>
      <c r="J640" s="718"/>
      <c r="K640" s="135"/>
      <c r="L640" s="369" t="s">
        <v>669</v>
      </c>
      <c r="M640" s="567" t="s">
        <v>670</v>
      </c>
      <c r="N640" s="363"/>
      <c r="O640" s="363"/>
      <c r="P640" s="362">
        <f>IF(N640=0,0,(O640-N640)/N640*100)</f>
        <v>0</v>
      </c>
      <c r="Q640" s="363"/>
      <c r="R640" s="363"/>
      <c r="S640" s="362">
        <f>IF(Q640=0,0,(R640-Q640)/Q640*100)</f>
        <v>0</v>
      </c>
      <c r="T640" s="363"/>
      <c r="U640" s="363"/>
      <c r="V640" s="362">
        <f>IF(T640=0,0,(U640-T640)/T640*100)</f>
        <v>0</v>
      </c>
      <c r="W640" s="363"/>
      <c r="X640" s="363"/>
      <c r="Y640" s="362">
        <f>IF(W640=0,0,(X640-W640)/W640*100)</f>
        <v>0</v>
      </c>
      <c r="Z640" s="363"/>
      <c r="AA640" s="363"/>
      <c r="AB640" s="362">
        <f>IF(Z640=0,0,(AA640-Z640)/Z640*100)</f>
        <v>0</v>
      </c>
      <c r="AC640" s="363"/>
      <c r="AD640" s="363"/>
      <c r="AE640" s="362">
        <f>IF(AC640=0,0,(AD640-AC640)/AC640*100)</f>
        <v>0</v>
      </c>
      <c r="AF640" s="363"/>
      <c r="AG640" s="363"/>
      <c r="AH640" s="362">
        <f>IF(AF640=0,0,(AG640-AF640)/AF640*100)</f>
        <v>0</v>
      </c>
      <c r="AI640" s="363"/>
      <c r="AJ640" s="363"/>
      <c r="AK640" s="362">
        <f>IF(AI640=0,0,(AJ640-AI640)/AI640*100)</f>
        <v>0</v>
      </c>
      <c r="AL640" s="363"/>
      <c r="AM640" s="363"/>
      <c r="AN640" s="362">
        <f>IF(AL640=0,0,(AM640-AL640)/AL640*100)</f>
        <v>0</v>
      </c>
      <c r="AO640" s="363"/>
      <c r="AP640" s="363"/>
      <c r="AQ640" s="362">
        <f>IF(AO640=0,0,(AP640-AO640)/AO640*100)</f>
        <v>0</v>
      </c>
      <c r="AR640" s="363"/>
      <c r="AS640" s="363"/>
      <c r="AT640" s="362">
        <f>IF(AR640=0,0,(AS640-AR640)/AR640*100)</f>
        <v>0</v>
      </c>
      <c r="AU640" s="363"/>
      <c r="AV640" s="363"/>
      <c r="AW640" s="362">
        <f>IF(AU640=0,0,(AV640-AU640)/AU640*100)</f>
        <v>0</v>
      </c>
      <c r="AX640" s="363"/>
      <c r="AY640" s="363"/>
      <c r="AZ640" s="362">
        <f>IF(AX640=0,0,(AY640-AX640)/AX640*100)</f>
        <v>0</v>
      </c>
      <c r="BA640" s="363"/>
      <c r="BB640" s="363"/>
      <c r="BC640" s="362">
        <f>IF(BA640=0,0,(BB640-BA640)/BA640*100)</f>
        <v>0</v>
      </c>
      <c r="BD640" s="363"/>
      <c r="BE640" s="363"/>
      <c r="BF640" s="362">
        <f>IF(BD640=0,0,(BE640-BD640)/BD640*100)</f>
        <v>0</v>
      </c>
      <c r="BG640" s="363"/>
      <c r="BH640" s="363"/>
      <c r="BI640" s="362">
        <f>IF(BG640=0,0,(BH640-BG640)/BG640*100)</f>
        <v>0</v>
      </c>
      <c r="BJ640" s="363"/>
      <c r="BK640" s="363"/>
      <c r="BL640" s="362">
        <f>IF(BJ640=0,0,(BK640-BJ640)/BJ640*100)</f>
        <v>0</v>
      </c>
      <c r="BM640" s="363"/>
      <c r="BN640" s="363"/>
      <c r="BO640" s="362">
        <f>IF(BM640=0,0,(BN640-BM640)/BM640*100)</f>
        <v>0</v>
      </c>
      <c r="BP640" s="363"/>
      <c r="BQ640" s="363"/>
      <c r="BR640" s="362">
        <f>IF(BP640=0,0,(BQ640-BP640)/BP640*100)</f>
        <v>0</v>
      </c>
      <c r="BS640" s="363"/>
      <c r="BT640" s="363"/>
      <c r="BU640" s="362">
        <f>IF(BS640=0,0,(BT640-BS640)/BS640*100)</f>
        <v>0</v>
      </c>
      <c r="BV640" s="363"/>
      <c r="BW640" s="363"/>
      <c r="BX640" s="362">
        <f>IF(BV640=0,0,(BW640-BV640)/BV640*100)</f>
        <v>0</v>
      </c>
      <c r="BY640" s="363"/>
      <c r="BZ640" s="363"/>
      <c r="CA640" s="362">
        <f>IF(BY640=0,0,(BZ640-BY640)/BY640*100)</f>
        <v>0</v>
      </c>
      <c r="CB640" s="363"/>
      <c r="CC640" s="363"/>
      <c r="CD640" s="362">
        <f>IF(CB640=0,0,(CC640-CB640)/CB640*100)</f>
        <v>0</v>
      </c>
      <c r="CE640" s="363"/>
      <c r="CF640" s="363"/>
      <c r="CG640" s="362">
        <f>IF(CE640=0,0,(CF640-CE640)/CE640*100)</f>
        <v>0</v>
      </c>
      <c r="CH640" s="363"/>
      <c r="CI640" s="363"/>
      <c r="CJ640" s="362">
        <f>IF(CH640=0,0,(CI640-CH640)/CH640*100)</f>
        <v>0</v>
      </c>
      <c r="CK640" s="363"/>
      <c r="CL640" s="363"/>
      <c r="CM640" s="362">
        <f>IF(CK640=0,0,(CL640-CK640)/CK640*100)</f>
        <v>0</v>
      </c>
      <c r="CN640" s="363"/>
      <c r="CO640" s="363"/>
      <c r="CP640" s="362">
        <f>IF(CN640=0,0,(CO640-CN640)/CN640*100)</f>
        <v>0</v>
      </c>
      <c r="CQ640" s="363"/>
      <c r="CR640" s="363"/>
      <c r="CS640" s="362">
        <f>IF(CQ640=0,0,(CR640-CQ640)/CQ640*100)</f>
        <v>0</v>
      </c>
      <c r="CT640" s="363"/>
      <c r="CU640" s="363"/>
      <c r="CV640" s="362">
        <f>IF(CT640=0,0,(CU640-CT640)/CT640*100)</f>
        <v>0</v>
      </c>
      <c r="CW640" s="363"/>
      <c r="CX640" s="363"/>
      <c r="CY640" s="362">
        <f>IF(CW640=0,0,(CX640-CW640)/CW640*100)</f>
        <v>0</v>
      </c>
      <c r="CZ640" s="363"/>
      <c r="DA640" s="363"/>
      <c r="DB640" s="362">
        <f>IF(CZ640=0,0,(DA640-CZ640)/CZ640*100)</f>
        <v>0</v>
      </c>
      <c r="DC640" s="363"/>
      <c r="DD640" s="363"/>
      <c r="DE640" s="362">
        <f>IF(DC640=0,0,(DD640-DC640)/DC640*100)</f>
        <v>0</v>
      </c>
      <c r="DF640" s="363"/>
      <c r="DG640" s="363"/>
      <c r="DH640" s="362">
        <f>IF(DF640=0,0,(DG640-DF640)/DF640*100)</f>
        <v>0</v>
      </c>
      <c r="DI640" s="363"/>
      <c r="DJ640" s="363"/>
      <c r="DK640" s="362">
        <f>IF(DI640=0,0,(DJ640-DI640)/DI640*100)</f>
        <v>0</v>
      </c>
      <c r="DL640" s="363"/>
      <c r="DM640" s="363"/>
      <c r="DN640" s="362">
        <f>IF(DL640=0,0,(DM640-DL640)/DL640*100)</f>
        <v>0</v>
      </c>
      <c r="DO640" s="363"/>
      <c r="DP640" s="363"/>
      <c r="DQ640" s="362">
        <f>IF(DO640=0,0,(DP640-DO640)/DO640*100)</f>
        <v>0</v>
      </c>
      <c r="DR640" s="363"/>
      <c r="DS640" s="363"/>
      <c r="DT640" s="362">
        <f>IF(DR640=0,0,(DS640-DR640)/DR640*100)</f>
        <v>0</v>
      </c>
      <c r="DU640" s="363"/>
      <c r="DV640" s="363"/>
      <c r="DW640" s="362">
        <f>IF(DU640=0,0,(DV640-DU640)/DU640*100)</f>
        <v>0</v>
      </c>
      <c r="DX640" s="363"/>
      <c r="DY640" s="363"/>
      <c r="DZ640" s="362">
        <f>IF(DX640=0,0,(DY640-DX640)/DX640*100)</f>
        <v>0</v>
      </c>
      <c r="EA640" s="363"/>
      <c r="EB640" s="363"/>
      <c r="EC640" s="362">
        <f>IF(EA640=0,0,(EB640-EA640)/EA640*100)</f>
        <v>0</v>
      </c>
      <c r="ED640" s="363"/>
      <c r="EE640" s="363"/>
      <c r="EF640" s="362">
        <f>IF(ED640=0,0,(EE640-ED640)/ED640*100)</f>
        <v>0</v>
      </c>
      <c r="EG640" s="363"/>
      <c r="EH640" s="363"/>
      <c r="EI640" s="362">
        <f>IF(EG640=0,0,(EH640-EG640)/EG640*100)</f>
        <v>0</v>
      </c>
      <c r="EJ640" s="363"/>
      <c r="EK640" s="363"/>
      <c r="EL640" s="362">
        <f>IF(EJ640=0,0,(EK640-EJ640)/EJ640*100)</f>
        <v>0</v>
      </c>
      <c r="EM640" s="363"/>
      <c r="EN640" s="363"/>
      <c r="EO640" s="362">
        <f>IF(EM640=0,0,(EN640-EM640)/EM640*100)</f>
        <v>0</v>
      </c>
      <c r="EP640" s="363"/>
      <c r="EQ640" s="363"/>
      <c r="ER640" s="362">
        <f>IF(EP640=0,0,(EQ640-EP640)/EP640*100)</f>
        <v>0</v>
      </c>
      <c r="ES640" s="363"/>
      <c r="ET640" s="363"/>
      <c r="EU640" s="362">
        <f>IF(ES640=0,0,(ET640-ES640)/ES640*100)</f>
        <v>0</v>
      </c>
      <c r="EV640" s="363"/>
      <c r="EW640" s="363"/>
      <c r="EX640" s="362">
        <f>IF(EV640=0,0,(EW640-EV640)/EV640*100)</f>
        <v>0</v>
      </c>
      <c r="EY640" s="363"/>
      <c r="EZ640" s="363"/>
      <c r="FA640" s="362">
        <f>IF(EY640=0,0,(EZ640-EY640)/EY640*100)</f>
        <v>0</v>
      </c>
      <c r="FB640" s="363"/>
      <c r="FC640" s="363"/>
      <c r="FD640" s="362">
        <f>IF(FB640=0,0,(FC640-FB640)/FB640*100)</f>
        <v>0</v>
      </c>
      <c r="FE640" s="363"/>
      <c r="FF640" s="363"/>
      <c r="FG640" s="362">
        <f>IF(FE640=0,0,(FF640-FE640)/FE640*100)</f>
        <v>0</v>
      </c>
    </row>
    <row r="641" spans="1:163" s="177" customFormat="1">
      <c r="A641" s="176" t="s">
        <v>1395</v>
      </c>
      <c r="M641" s="3"/>
      <c r="N641" s="3"/>
      <c r="O641" s="3"/>
      <c r="P641" s="3"/>
      <c r="AA641" s="5"/>
    </row>
    <row r="642" spans="1:163" s="295" customFormat="1" ht="15" customHeight="1" outlineLevel="1">
      <c r="A642" s="295" t="str">
        <f ca="1">OFFSET(A642,-1,0)</f>
        <v>et_List16_line_transp</v>
      </c>
      <c r="C642" s="295" t="s">
        <v>1491</v>
      </c>
      <c r="D642" s="295">
        <f>L642</f>
        <v>0</v>
      </c>
      <c r="K642" s="135" t="s">
        <v>264</v>
      </c>
      <c r="L642" s="412"/>
      <c r="M642" s="360" t="s">
        <v>652</v>
      </c>
      <c r="N642" s="363"/>
      <c r="O642" s="364"/>
      <c r="P642" s="362">
        <f>IF(N642=0,0,(O642-N642)/N642*100)</f>
        <v>0</v>
      </c>
      <c r="Q642" s="364"/>
      <c r="R642" s="364"/>
      <c r="S642" s="362">
        <f>IF(Q642=0,0,(R642-Q642)/Q642*100)</f>
        <v>0</v>
      </c>
      <c r="T642" s="364"/>
      <c r="U642" s="364"/>
      <c r="V642" s="362">
        <f>IF(T642=0,0,(U642-T642)/T642*100)</f>
        <v>0</v>
      </c>
      <c r="W642" s="364"/>
      <c r="X642" s="364"/>
      <c r="Y642" s="362">
        <f>IF(W642=0,0,(X642-W642)/W642*100)</f>
        <v>0</v>
      </c>
      <c r="Z642" s="364"/>
      <c r="AA642" s="364"/>
      <c r="AB642" s="362">
        <f>IF(Z642=0,0,(AA642-Z642)/Z642*100)</f>
        <v>0</v>
      </c>
      <c r="AC642" s="364"/>
      <c r="AD642" s="364"/>
      <c r="AE642" s="362">
        <f>IF(AC642=0,0,(AD642-AC642)/AC642*100)</f>
        <v>0</v>
      </c>
      <c r="AF642" s="364"/>
      <c r="AG642" s="364"/>
      <c r="AH642" s="362">
        <f>IF(AF642=0,0,(AG642-AF642)/AF642*100)</f>
        <v>0</v>
      </c>
      <c r="AI642" s="364"/>
      <c r="AJ642" s="364"/>
      <c r="AK642" s="362">
        <f>IF(AI642=0,0,(AJ642-AI642)/AI642*100)</f>
        <v>0</v>
      </c>
      <c r="AL642" s="364"/>
      <c r="AM642" s="364"/>
      <c r="AN642" s="362">
        <f>IF(AL642=0,0,(AM642-AL642)/AL642*100)</f>
        <v>0</v>
      </c>
      <c r="AO642" s="364"/>
      <c r="AP642" s="364"/>
      <c r="AQ642" s="362">
        <f>IF(AO642=0,0,(AP642-AO642)/AO642*100)</f>
        <v>0</v>
      </c>
      <c r="AR642" s="364"/>
      <c r="AS642" s="364"/>
      <c r="AT642" s="362">
        <f>IF(AR642=0,0,(AS642-AR642)/AR642*100)</f>
        <v>0</v>
      </c>
      <c r="AU642" s="364"/>
      <c r="AV642" s="364"/>
      <c r="AW642" s="362">
        <f>IF(AU642=0,0,(AV642-AU642)/AU642*100)</f>
        <v>0</v>
      </c>
      <c r="AX642" s="364"/>
      <c r="AY642" s="364"/>
      <c r="AZ642" s="362">
        <f>IF(AX642=0,0,(AY642-AX642)/AX642*100)</f>
        <v>0</v>
      </c>
      <c r="BA642" s="364"/>
      <c r="BB642" s="364"/>
      <c r="BC642" s="362">
        <f>IF(BA642=0,0,(BB642-BA642)/BA642*100)</f>
        <v>0</v>
      </c>
      <c r="BD642" s="364"/>
      <c r="BE642" s="364"/>
      <c r="BF642" s="362">
        <f>IF(BD642=0,0,(BE642-BD642)/BD642*100)</f>
        <v>0</v>
      </c>
      <c r="BG642" s="364"/>
      <c r="BH642" s="364"/>
      <c r="BI642" s="362">
        <f>IF(BG642=0,0,(BH642-BG642)/BG642*100)</f>
        <v>0</v>
      </c>
      <c r="BJ642" s="364"/>
      <c r="BK642" s="364"/>
      <c r="BL642" s="362">
        <f>IF(BJ642=0,0,(BK642-BJ642)/BJ642*100)</f>
        <v>0</v>
      </c>
      <c r="BM642" s="364"/>
      <c r="BN642" s="364"/>
      <c r="BO642" s="362">
        <f>IF(BM642=0,0,(BN642-BM642)/BM642*100)</f>
        <v>0</v>
      </c>
      <c r="BP642" s="364"/>
      <c r="BQ642" s="364"/>
      <c r="BR642" s="362">
        <f>IF(BP642=0,0,(BQ642-BP642)/BP642*100)</f>
        <v>0</v>
      </c>
      <c r="BS642" s="364"/>
      <c r="BT642" s="364"/>
      <c r="BU642" s="362">
        <f>IF(BS642=0,0,(BT642-BS642)/BS642*100)</f>
        <v>0</v>
      </c>
      <c r="BV642" s="364"/>
      <c r="BW642" s="364"/>
      <c r="BX642" s="362">
        <f>IF(BV642=0,0,(BW642-BV642)/BV642*100)</f>
        <v>0</v>
      </c>
      <c r="BY642" s="364"/>
      <c r="BZ642" s="364"/>
      <c r="CA642" s="362">
        <f>IF(BY642=0,0,(BZ642-BY642)/BY642*100)</f>
        <v>0</v>
      </c>
      <c r="CB642" s="364"/>
      <c r="CC642" s="364"/>
      <c r="CD642" s="362">
        <f>IF(CB642=0,0,(CC642-CB642)/CB642*100)</f>
        <v>0</v>
      </c>
      <c r="CE642" s="364"/>
      <c r="CF642" s="364"/>
      <c r="CG642" s="362">
        <f>IF(CE642=0,0,(CF642-CE642)/CE642*100)</f>
        <v>0</v>
      </c>
      <c r="CH642" s="364"/>
      <c r="CI642" s="364"/>
      <c r="CJ642" s="362">
        <f>IF(CH642=0,0,(CI642-CH642)/CH642*100)</f>
        <v>0</v>
      </c>
      <c r="CK642" s="364"/>
      <c r="CL642" s="364"/>
      <c r="CM642" s="362">
        <f>IF(CK642=0,0,(CL642-CK642)/CK642*100)</f>
        <v>0</v>
      </c>
      <c r="CN642" s="364"/>
      <c r="CO642" s="364"/>
      <c r="CP642" s="362">
        <f>IF(CN642=0,0,(CO642-CN642)/CN642*100)</f>
        <v>0</v>
      </c>
      <c r="CQ642" s="364"/>
      <c r="CR642" s="364"/>
      <c r="CS642" s="362">
        <f>IF(CQ642=0,0,(CR642-CQ642)/CQ642*100)</f>
        <v>0</v>
      </c>
      <c r="CT642" s="364"/>
      <c r="CU642" s="364"/>
      <c r="CV642" s="362">
        <f>IF(CT642=0,0,(CU642-CT642)/CT642*100)</f>
        <v>0</v>
      </c>
      <c r="CW642" s="364"/>
      <c r="CX642" s="364"/>
      <c r="CY642" s="362">
        <f>IF(CW642=0,0,(CX642-CW642)/CW642*100)</f>
        <v>0</v>
      </c>
      <c r="CZ642" s="364"/>
      <c r="DA642" s="364"/>
      <c r="DB642" s="362">
        <f>IF(CZ642=0,0,(DA642-CZ642)/CZ642*100)</f>
        <v>0</v>
      </c>
      <c r="DC642" s="364"/>
      <c r="DD642" s="364"/>
      <c r="DE642" s="362">
        <f>IF(DC642=0,0,(DD642-DC642)/DC642*100)</f>
        <v>0</v>
      </c>
      <c r="DF642" s="364"/>
      <c r="DG642" s="364"/>
      <c r="DH642" s="362">
        <f>IF(DF642=0,0,(DG642-DF642)/DF642*100)</f>
        <v>0</v>
      </c>
      <c r="DI642" s="364"/>
      <c r="DJ642" s="364"/>
      <c r="DK642" s="362">
        <f>IF(DI642=0,0,(DJ642-DI642)/DI642*100)</f>
        <v>0</v>
      </c>
      <c r="DL642" s="364"/>
      <c r="DM642" s="364"/>
      <c r="DN642" s="362">
        <f>IF(DL642=0,0,(DM642-DL642)/DL642*100)</f>
        <v>0</v>
      </c>
      <c r="DO642" s="364"/>
      <c r="DP642" s="364"/>
      <c r="DQ642" s="362">
        <f>IF(DO642=0,0,(DP642-DO642)/DO642*100)</f>
        <v>0</v>
      </c>
      <c r="DR642" s="364"/>
      <c r="DS642" s="364"/>
      <c r="DT642" s="362">
        <f>IF(DR642=0,0,(DS642-DR642)/DR642*100)</f>
        <v>0</v>
      </c>
      <c r="DU642" s="364"/>
      <c r="DV642" s="364"/>
      <c r="DW642" s="362">
        <f>IF(DU642=0,0,(DV642-DU642)/DU642*100)</f>
        <v>0</v>
      </c>
      <c r="DX642" s="364"/>
      <c r="DY642" s="364"/>
      <c r="DZ642" s="362">
        <f>IF(DX642=0,0,(DY642-DX642)/DX642*100)</f>
        <v>0</v>
      </c>
      <c r="EA642" s="364"/>
      <c r="EB642" s="364"/>
      <c r="EC642" s="362">
        <f>IF(EA642=0,0,(EB642-EA642)/EA642*100)</f>
        <v>0</v>
      </c>
      <c r="ED642" s="364"/>
      <c r="EE642" s="364"/>
      <c r="EF642" s="362">
        <f>IF(ED642=0,0,(EE642-ED642)/ED642*100)</f>
        <v>0</v>
      </c>
      <c r="EG642" s="364"/>
      <c r="EH642" s="364"/>
      <c r="EI642" s="362">
        <f>IF(EG642=0,0,(EH642-EG642)/EG642*100)</f>
        <v>0</v>
      </c>
      <c r="EJ642" s="364"/>
      <c r="EK642" s="364"/>
      <c r="EL642" s="362">
        <f>IF(EJ642=0,0,(EK642-EJ642)/EJ642*100)</f>
        <v>0</v>
      </c>
      <c r="EM642" s="364"/>
      <c r="EN642" s="364"/>
      <c r="EO642" s="362">
        <f>IF(EM642=0,0,(EN642-EM642)/EM642*100)</f>
        <v>0</v>
      </c>
      <c r="EP642" s="364"/>
      <c r="EQ642" s="364"/>
      <c r="ER642" s="362">
        <f>IF(EP642=0,0,(EQ642-EP642)/EP642*100)</f>
        <v>0</v>
      </c>
      <c r="ES642" s="364"/>
      <c r="ET642" s="364"/>
      <c r="EU642" s="362">
        <f>IF(ES642=0,0,(ET642-ES642)/ES642*100)</f>
        <v>0</v>
      </c>
      <c r="EV642" s="364"/>
      <c r="EW642" s="364"/>
      <c r="EX642" s="362">
        <f>IF(EV642=0,0,(EW642-EV642)/EV642*100)</f>
        <v>0</v>
      </c>
      <c r="EY642" s="364"/>
      <c r="EZ642" s="364"/>
      <c r="FA642" s="362">
        <f>IF(EY642=0,0,(EZ642-EY642)/EY642*100)</f>
        <v>0</v>
      </c>
      <c r="FB642" s="364"/>
      <c r="FC642" s="364"/>
      <c r="FD642" s="362">
        <f>IF(FB642=0,0,(FC642-FB642)/FB642*100)</f>
        <v>0</v>
      </c>
      <c r="FE642" s="364"/>
      <c r="FF642" s="364"/>
      <c r="FG642" s="362">
        <f>IF(FE642=0,0,(FF642-FE642)/FE642*100)</f>
        <v>0</v>
      </c>
    </row>
    <row r="644" spans="1:163" s="131" customFormat="1" ht="30" customHeight="1">
      <c r="A644" s="130" t="s">
        <v>1181</v>
      </c>
      <c r="M644" s="132"/>
      <c r="N644" s="132"/>
      <c r="O644" s="132"/>
      <c r="P644" s="132"/>
      <c r="AA644" s="133"/>
    </row>
    <row r="645" spans="1:163">
      <c r="A645" s="134" t="s">
        <v>1369</v>
      </c>
    </row>
    <row r="646" spans="1:163" s="101" customFormat="1" ht="15" customHeight="1">
      <c r="A646" s="172" t="s">
        <v>18</v>
      </c>
      <c r="L646" s="268" t="str">
        <f>INDEX('Общие сведения'!$J$114:$J$127,MATCH($A646,'Общие сведения'!$D$114:$D$127,0))</f>
        <v>Тариф 1 (Водоснабжение) - тариф на питьевую воду</v>
      </c>
      <c r="M646" s="269"/>
      <c r="N646" s="269"/>
      <c r="O646" s="269"/>
      <c r="P646" s="269"/>
      <c r="Q646" s="269"/>
      <c r="R646" s="269"/>
      <c r="S646" s="269"/>
      <c r="T646" s="269"/>
      <c r="U646" s="269"/>
      <c r="V646" s="655"/>
    </row>
    <row r="647" spans="1:163" s="104" customFormat="1" ht="15" customHeight="1" outlineLevel="1">
      <c r="A647" s="104" t="str">
        <f t="shared" ref="A647:A696" si="130">A646</f>
        <v>1</v>
      </c>
      <c r="F647" s="104">
        <f>first_year</f>
        <v>2024</v>
      </c>
      <c r="G647" s="104" t="b">
        <f t="shared" ref="G647:G655" si="131">F647&lt;first_year+PERIOD_LENGTH</f>
        <v>1</v>
      </c>
      <c r="L647" s="299" t="str">
        <f t="shared" ref="L647:L655" si="132">F647&amp; " год"</f>
        <v>2024 год</v>
      </c>
      <c r="M647" s="300">
        <f>IFERROR(SUMIFS(INDEX(Калькуляция!$O$15:$AM$141,,MATCH(F647&amp;"Принято органом регулирования",Калькуляция!$O$3:$AM$3,0)),Калькуляция!$A$15:$A$141,A647,Калькуляция!$M$15:$M$141,"Операционные расходы"),0)</f>
        <v>931.37840000000006</v>
      </c>
      <c r="N647" s="428">
        <f>IFERROR(SUMIFS(INDEX(Сценарии!$O$15:$AP$35,,MATCH($F647&amp;"Принято органом регулирования",Сценарии!$O$3:$AP$3,0)),Сценарии!$A$15:$A$35,$A647,Сценарии!$M$15:$M$35,"Индекс эффективности операционных расходов"),0)</f>
        <v>1</v>
      </c>
      <c r="O647" s="300"/>
      <c r="P647" s="300">
        <f>IFERROR(SUMIFS(INDEX(Баланс!$O$16:$AL$67,,MATCH($F647&amp;"Принято органом регулирования",Баланс!$O$3:$AL$3,0)),Баланс!$A$16:$A$67,$A647,Баланс!$M$16:$M$67,"Уровень потерь воды"),0)</f>
        <v>0</v>
      </c>
      <c r="Q647" s="428">
        <f>IFERROR(SUMIFS(INDEX(ЭЭ!$O$15:$AL$27,,MATCH($F647&amp;"Принято органом регулирования",ЭЭ!$O$3:$AL$3,0)),ЭЭ!$A$15:$A$27,$A647,ЭЭ!$M$15:$M$27,"Удельный расход электроэнергии"),0)</f>
        <v>1.4750000000000001</v>
      </c>
      <c r="R647" s="428">
        <f>IFERROR(SUMIFS(INDEX(ЭЭ!$O$15:$AL$27,,MATCH($F647&amp;"Принято органом регулирования",ЭЭ!$O$3:$AL$3,0)),ЭЭ!$A$15:$A$27,$A647,ЭЭ!$M$15:$M$27,"Удельный расход электроэнергии"),0)</f>
        <v>1.4750000000000001</v>
      </c>
      <c r="S647" s="428">
        <f>IFERROR(SUMIFS(INDEX(ЭЭ!$O$15:$AL$27,,MATCH($F647&amp;"Принято органом регулирования",ЭЭ!$O$3:$AL$3,0)),ЭЭ!$A$15:$A$27,$A647,ЭЭ!$M$15:$M$27,"Удельный расход электроэнергии"),0)</f>
        <v>1.4750000000000001</v>
      </c>
      <c r="T647" s="537"/>
      <c r="U647" s="657"/>
      <c r="V647" s="656"/>
    </row>
    <row r="648" spans="1:163" s="104" customFormat="1" ht="15" customHeight="1" outlineLevel="1">
      <c r="A648" s="104" t="str">
        <f t="shared" si="130"/>
        <v>1</v>
      </c>
      <c r="F648" s="104">
        <f>first_year+1</f>
        <v>2025</v>
      </c>
      <c r="G648" s="104" t="b">
        <f t="shared" si="131"/>
        <v>1</v>
      </c>
      <c r="L648" s="299" t="str">
        <f t="shared" si="132"/>
        <v>2025 год</v>
      </c>
      <c r="M648" s="666"/>
      <c r="N648" s="428">
        <f>IFERROR(SUMIFS(INDEX(Сценарии!$O$15:$AP$35,,MATCH(F648&amp;"Принято органом регулирования",Сценарии!$O$3:$AP$3,0)),Сценарии!$A$15:$A$35,A648,Сценарии!$M$15:$M$35,"Индекс эффективности операционных расходов"),0)</f>
        <v>0</v>
      </c>
      <c r="O648" s="300"/>
      <c r="P648" s="300">
        <f>IFERROR(SUMIFS(INDEX(Баланс!$O$16:$AL$67,,MATCH($F648&amp;"Принято органом регулирования",Баланс!$O$3:$AL$3,0)),Баланс!$A$16:$A$67,$A648,Баланс!$M$16:$M$67,"Уровень потерь воды"),0)</f>
        <v>0</v>
      </c>
      <c r="Q648" s="428">
        <f>IFERROR(SUMIFS(INDEX(ЭЭ!$O$15:$AL$27,,MATCH($F648&amp;"Принято органом регулирования",ЭЭ!$O$3:$AL$3,0)),ЭЭ!$A$15:$A$27,$A648,ЭЭ!$M$15:$M$27,"Удельный расход электроэнергии"),0)</f>
        <v>1.4750000000000001</v>
      </c>
      <c r="R648" s="428">
        <f>IFERROR(SUMIFS(INDEX(ЭЭ!$O$15:$AL$27,,MATCH($F648&amp;"Принято органом регулирования",ЭЭ!$O$3:$AL$3,0)),ЭЭ!$A$15:$A$27,$A648,ЭЭ!$M$15:$M$27,"Удельный расход электроэнергии"),0)</f>
        <v>1.4750000000000001</v>
      </c>
      <c r="S648" s="428">
        <f>IFERROR(SUMIFS(INDEX(ЭЭ!$O$15:$AL$27,,MATCH($F648&amp;"Принято органом регулирования",ЭЭ!$O$3:$AL$3,0)),ЭЭ!$A$15:$A$27,$A648,ЭЭ!$M$15:$M$27,"Удельный расход электроэнергии"),0)</f>
        <v>1.4750000000000001</v>
      </c>
      <c r="T648" s="537"/>
      <c r="U648" s="657"/>
      <c r="V648" s="656"/>
    </row>
    <row r="649" spans="1:163" s="104" customFormat="1" ht="15" customHeight="1" outlineLevel="1">
      <c r="A649" s="104" t="str">
        <f t="shared" si="130"/>
        <v>1</v>
      </c>
      <c r="F649" s="104">
        <f>first_year+2</f>
        <v>2026</v>
      </c>
      <c r="G649" s="104" t="b">
        <f t="shared" si="131"/>
        <v>1</v>
      </c>
      <c r="L649" s="299" t="str">
        <f t="shared" si="132"/>
        <v>2026 год</v>
      </c>
      <c r="M649" s="666"/>
      <c r="N649" s="428">
        <f>IFERROR(SUMIFS(INDEX(Сценарии!$O$15:$AP$35,,MATCH(F649&amp;"Принято органом регулирования",Сценарии!$O$3:$AP$3,0)),Сценарии!$A$15:$A$35,A649,Сценарии!$M$15:$M$35,"Индекс эффективности операционных расходов"),0)</f>
        <v>0</v>
      </c>
      <c r="O649" s="300"/>
      <c r="P649" s="300">
        <f>IFERROR(SUMIFS(INDEX(Баланс!$O$16:$AL$67,,MATCH($F649&amp;"Принято органом регулирования",Баланс!$O$3:$AL$3,0)),Баланс!$A$16:$A$67,$A649,Баланс!$M$16:$M$67,"Уровень потерь воды"),0)</f>
        <v>0</v>
      </c>
      <c r="Q649" s="428">
        <f>IFERROR(SUMIFS(INDEX(ЭЭ!$O$15:$AL$27,,MATCH($F649&amp;"Принято органом регулирования",ЭЭ!$O$3:$AL$3,0)),ЭЭ!$A$15:$A$27,$A649,ЭЭ!$M$15:$M$27,"Удельный расход электроэнергии"),0)</f>
        <v>1.4750000000000001</v>
      </c>
      <c r="R649" s="428">
        <f>IFERROR(SUMIFS(INDEX(ЭЭ!$O$15:$AL$27,,MATCH($F649&amp;"Принято органом регулирования",ЭЭ!$O$3:$AL$3,0)),ЭЭ!$A$15:$A$27,$A649,ЭЭ!$M$15:$M$27,"Удельный расход электроэнергии"),0)</f>
        <v>1.4750000000000001</v>
      </c>
      <c r="S649" s="428">
        <f>IFERROR(SUMIFS(INDEX(ЭЭ!$O$15:$AL$27,,MATCH($F649&amp;"Принято органом регулирования",ЭЭ!$O$3:$AL$3,0)),ЭЭ!$A$15:$A$27,$A649,ЭЭ!$M$15:$M$27,"Удельный расход электроэнергии"),0)</f>
        <v>1.4750000000000001</v>
      </c>
      <c r="T649" s="537"/>
      <c r="U649" s="657"/>
      <c r="V649" s="656"/>
    </row>
    <row r="650" spans="1:163" s="104" customFormat="1" ht="15" customHeight="1" outlineLevel="1">
      <c r="A650" s="104" t="str">
        <f t="shared" si="130"/>
        <v>1</v>
      </c>
      <c r="F650" s="104">
        <f>first_year+3</f>
        <v>2027</v>
      </c>
      <c r="G650" s="104" t="b">
        <f t="shared" si="131"/>
        <v>1</v>
      </c>
      <c r="L650" s="299" t="str">
        <f t="shared" si="132"/>
        <v>2027 год</v>
      </c>
      <c r="M650" s="666"/>
      <c r="N650" s="428">
        <f>IFERROR(SUMIFS(INDEX(Сценарии!$O$15:$AP$35,,MATCH(F650&amp;"Принято органом регулирования",Сценарии!$O$3:$AP$3,0)),Сценарии!$A$15:$A$35,A650,Сценарии!$M$15:$M$35,"Индекс эффективности операционных расходов"),0)</f>
        <v>0</v>
      </c>
      <c r="O650" s="300"/>
      <c r="P650" s="300">
        <f>IFERROR(SUMIFS(INDEX(Баланс!$O$16:$AL$67,,MATCH($F650&amp;"Принято органом регулирования",Баланс!$O$3:$AL$3,0)),Баланс!$A$16:$A$67,$A650,Баланс!$M$16:$M$67,"Уровень потерь воды"),0)</f>
        <v>0</v>
      </c>
      <c r="Q650" s="428">
        <f>IFERROR(SUMIFS(INDEX(ЭЭ!$O$15:$AL$27,,MATCH($F650&amp;"Принято органом регулирования",ЭЭ!$O$3:$AL$3,0)),ЭЭ!$A$15:$A$27,$A650,ЭЭ!$M$15:$M$27,"Удельный расход электроэнергии"),0)</f>
        <v>1.4750000000000001</v>
      </c>
      <c r="R650" s="428">
        <f>IFERROR(SUMIFS(INDEX(ЭЭ!$O$15:$AL$27,,MATCH($F650&amp;"Принято органом регулирования",ЭЭ!$O$3:$AL$3,0)),ЭЭ!$A$15:$A$27,$A650,ЭЭ!$M$15:$M$27,"Удельный расход электроэнергии"),0)</f>
        <v>1.4750000000000001</v>
      </c>
      <c r="S650" s="428">
        <f>IFERROR(SUMIFS(INDEX(ЭЭ!$O$15:$AL$27,,MATCH($F650&amp;"Принято органом регулирования",ЭЭ!$O$3:$AL$3,0)),ЭЭ!$A$15:$A$27,$A650,ЭЭ!$M$15:$M$27,"Удельный расход электроэнергии"),0)</f>
        <v>1.4750000000000001</v>
      </c>
      <c r="T650" s="537"/>
      <c r="U650" s="657"/>
      <c r="V650" s="656"/>
    </row>
    <row r="651" spans="1:163" s="104" customFormat="1" ht="15" customHeight="1" outlineLevel="1">
      <c r="A651" s="104" t="str">
        <f t="shared" si="130"/>
        <v>1</v>
      </c>
      <c r="F651" s="104">
        <f>first_year+4</f>
        <v>2028</v>
      </c>
      <c r="G651" s="104" t="b">
        <f t="shared" si="131"/>
        <v>1</v>
      </c>
      <c r="L651" s="299" t="str">
        <f t="shared" si="132"/>
        <v>2028 год</v>
      </c>
      <c r="M651" s="666"/>
      <c r="N651" s="428">
        <f>IFERROR(SUMIFS(INDEX(Сценарии!$O$15:$AP$35,,MATCH(F651&amp;"Принято органом регулирования",Сценарии!$O$3:$AP$3,0)),Сценарии!$A$15:$A$35,A651,Сценарии!$M$15:$M$35,"Индекс эффективности операционных расходов"),0)</f>
        <v>0</v>
      </c>
      <c r="O651" s="300"/>
      <c r="P651" s="300">
        <f>IFERROR(SUMIFS(INDEX(Баланс!$O$16:$AL$67,,MATCH($F651&amp;"Принято органом регулирования",Баланс!$O$3:$AL$3,0)),Баланс!$A$16:$A$67,$A651,Баланс!$M$16:$M$67,"Уровень потерь воды"),0)</f>
        <v>0</v>
      </c>
      <c r="Q651" s="428">
        <f>IFERROR(SUMIFS(INDEX(ЭЭ!$O$15:$AL$27,,MATCH($F651&amp;"Принято органом регулирования",ЭЭ!$O$3:$AL$3,0)),ЭЭ!$A$15:$A$27,$A651,ЭЭ!$M$15:$M$27,"Удельный расход электроэнергии"),0)</f>
        <v>1.4750000000000001</v>
      </c>
      <c r="R651" s="428">
        <f>IFERROR(SUMIFS(INDEX(ЭЭ!$O$15:$AL$27,,MATCH($F651&amp;"Принято органом регулирования",ЭЭ!$O$3:$AL$3,0)),ЭЭ!$A$15:$A$27,$A651,ЭЭ!$M$15:$M$27,"Удельный расход электроэнергии"),0)</f>
        <v>1.4750000000000001</v>
      </c>
      <c r="S651" s="428">
        <f>IFERROR(SUMIFS(INDEX(ЭЭ!$O$15:$AL$27,,MATCH($F651&amp;"Принято органом регулирования",ЭЭ!$O$3:$AL$3,0)),ЭЭ!$A$15:$A$27,$A651,ЭЭ!$M$15:$M$27,"Удельный расход электроэнергии"),0)</f>
        <v>1.4750000000000001</v>
      </c>
      <c r="T651" s="537"/>
      <c r="U651" s="657"/>
      <c r="V651" s="656"/>
    </row>
    <row r="652" spans="1:163" s="104" customFormat="1" ht="15" customHeight="1" outlineLevel="1">
      <c r="A652" s="104" t="str">
        <f t="shared" si="130"/>
        <v>1</v>
      </c>
      <c r="F652" s="104">
        <f>first_year+5</f>
        <v>2029</v>
      </c>
      <c r="G652" s="104" t="b">
        <f t="shared" si="131"/>
        <v>0</v>
      </c>
      <c r="L652" s="299" t="str">
        <f t="shared" si="132"/>
        <v>2029 год</v>
      </c>
      <c r="M652" s="666"/>
      <c r="N652" s="428">
        <f>IFERROR(SUMIFS(INDEX(Сценарии!$O$15:$AP$35,,MATCH(F652&amp;"Принято органом регулирования",Сценарии!$O$3:$AP$3,0)),Сценарии!$A$15:$A$35,A652,Сценарии!$M$15:$M$35,"Индекс эффективности операционных расходов"),0)</f>
        <v>0</v>
      </c>
      <c r="O652" s="300"/>
      <c r="P652" s="300">
        <f>IFERROR(SUMIFS(INDEX(Баланс!$O$16:$AL$67,,MATCH($F652&amp;"Принято органом регулирования",Баланс!$O$3:$AL$3,0)),Баланс!$A$16:$A$67,$A652,Баланс!$M$16:$M$67,"Уровень потерь воды"),0)</f>
        <v>0</v>
      </c>
      <c r="Q652" s="428">
        <f>IFERROR(SUMIFS(INDEX(ЭЭ!$O$15:$AL$27,,MATCH($F652&amp;"Принято органом регулирования",ЭЭ!$O$3:$AL$3,0)),ЭЭ!$A$15:$A$27,$A652,ЭЭ!$M$15:$M$27,"Удельный расход электроэнергии"),0)</f>
        <v>0</v>
      </c>
      <c r="R652" s="428">
        <f>IFERROR(SUMIFS(INDEX(ЭЭ!$O$15:$AL$27,,MATCH($F652&amp;"Принято органом регулирования",ЭЭ!$O$3:$AL$3,0)),ЭЭ!$A$15:$A$27,$A652,ЭЭ!$M$15:$M$27,"Удельный расход электроэнергии"),0)</f>
        <v>0</v>
      </c>
      <c r="S652" s="428">
        <f>IFERROR(SUMIFS(INDEX(ЭЭ!$O$15:$AL$27,,MATCH($F652&amp;"Принято органом регулирования",ЭЭ!$O$3:$AL$3,0)),ЭЭ!$A$15:$A$27,$A652,ЭЭ!$M$15:$M$27,"Удельный расход электроэнергии"),0)</f>
        <v>0</v>
      </c>
      <c r="T652" s="537"/>
      <c r="U652" s="657"/>
      <c r="V652" s="656"/>
    </row>
    <row r="653" spans="1:163" s="104" customFormat="1" ht="15" customHeight="1" outlineLevel="1">
      <c r="A653" s="104" t="str">
        <f t="shared" si="130"/>
        <v>1</v>
      </c>
      <c r="F653" s="104">
        <f>first_year+6</f>
        <v>2030</v>
      </c>
      <c r="G653" s="104" t="b">
        <f t="shared" si="131"/>
        <v>0</v>
      </c>
      <c r="L653" s="299" t="str">
        <f t="shared" si="132"/>
        <v>2030 год</v>
      </c>
      <c r="M653" s="666"/>
      <c r="N653" s="428">
        <f>IFERROR(SUMIFS(INDEX(Сценарии!$O$15:$AP$35,,MATCH(F653&amp;"Принято органом регулирования",Сценарии!$O$3:$AP$3,0)),Сценарии!$A$15:$A$35,A653,Сценарии!$M$15:$M$35,"Индекс эффективности операционных расходов"),0)</f>
        <v>0</v>
      </c>
      <c r="O653" s="300"/>
      <c r="P653" s="300">
        <f>IFERROR(SUMIFS(INDEX(Баланс!$O$16:$AL$67,,MATCH($F653&amp;"Принято органом регулирования",Баланс!$O$3:$AL$3,0)),Баланс!$A$16:$A$67,$A653,Баланс!$M$16:$M$67,"Уровень потерь воды"),0)</f>
        <v>0</v>
      </c>
      <c r="Q653" s="428">
        <f>IFERROR(SUMIFS(INDEX(ЭЭ!$O$15:$AL$27,,MATCH($F653&amp;"Принято органом регулирования",ЭЭ!$O$3:$AL$3,0)),ЭЭ!$A$15:$A$27,$A653,ЭЭ!$M$15:$M$27,"Удельный расход электроэнергии"),0)</f>
        <v>0</v>
      </c>
      <c r="R653" s="428">
        <f>IFERROR(SUMIFS(INDEX(ЭЭ!$O$15:$AL$27,,MATCH($F653&amp;"Принято органом регулирования",ЭЭ!$O$3:$AL$3,0)),ЭЭ!$A$15:$A$27,$A653,ЭЭ!$M$15:$M$27,"Удельный расход электроэнергии"),0)</f>
        <v>0</v>
      </c>
      <c r="S653" s="428">
        <f>IFERROR(SUMIFS(INDEX(ЭЭ!$O$15:$AL$27,,MATCH($F653&amp;"Принято органом регулирования",ЭЭ!$O$3:$AL$3,0)),ЭЭ!$A$15:$A$27,$A653,ЭЭ!$M$15:$M$27,"Удельный расход электроэнергии"),0)</f>
        <v>0</v>
      </c>
      <c r="T653" s="537"/>
      <c r="U653" s="657"/>
      <c r="V653" s="656"/>
    </row>
    <row r="654" spans="1:163" s="104" customFormat="1" ht="15" customHeight="1" outlineLevel="1">
      <c r="A654" s="104" t="str">
        <f t="shared" si="130"/>
        <v>1</v>
      </c>
      <c r="F654" s="104">
        <f>first_year+7</f>
        <v>2031</v>
      </c>
      <c r="G654" s="104" t="b">
        <f t="shared" si="131"/>
        <v>0</v>
      </c>
      <c r="L654" s="299" t="str">
        <f t="shared" si="132"/>
        <v>2031 год</v>
      </c>
      <c r="M654" s="666"/>
      <c r="N654" s="428">
        <f>IFERROR(SUMIFS(INDEX(Сценарии!$O$15:$AP$35,,MATCH(F654&amp;"Принято органом регулирования",Сценарии!$O$3:$AP$3,0)),Сценарии!$A$15:$A$35,A654,Сценарии!$M$15:$M$35,"Индекс эффективности операционных расходов"),0)</f>
        <v>0</v>
      </c>
      <c r="O654" s="300"/>
      <c r="P654" s="300">
        <f>IFERROR(SUMIFS(INDEX(Баланс!$O$16:$AL$67,,MATCH($F654&amp;"Принято органом регулирования",Баланс!$O$3:$AL$3,0)),Баланс!$A$16:$A$67,$A654,Баланс!$M$16:$M$67,"Уровень потерь воды"),0)</f>
        <v>0</v>
      </c>
      <c r="Q654" s="428">
        <f>IFERROR(SUMIFS(INDEX(ЭЭ!$O$15:$AL$27,,MATCH($F654&amp;"Принято органом регулирования",ЭЭ!$O$3:$AL$3,0)),ЭЭ!$A$15:$A$27,$A654,ЭЭ!$M$15:$M$27,"Удельный расход электроэнергии"),0)</f>
        <v>0</v>
      </c>
      <c r="R654" s="428">
        <f>IFERROR(SUMIFS(INDEX(ЭЭ!$O$15:$AL$27,,MATCH($F654&amp;"Принято органом регулирования",ЭЭ!$O$3:$AL$3,0)),ЭЭ!$A$15:$A$27,$A654,ЭЭ!$M$15:$M$27,"Удельный расход электроэнергии"),0)</f>
        <v>0</v>
      </c>
      <c r="S654" s="428">
        <f>IFERROR(SUMIFS(INDEX(ЭЭ!$O$15:$AL$27,,MATCH($F654&amp;"Принято органом регулирования",ЭЭ!$O$3:$AL$3,0)),ЭЭ!$A$15:$A$27,$A654,ЭЭ!$M$15:$M$27,"Удельный расход электроэнергии"),0)</f>
        <v>0</v>
      </c>
      <c r="T654" s="537"/>
      <c r="U654" s="657"/>
      <c r="V654" s="656"/>
    </row>
    <row r="655" spans="1:163" s="104" customFormat="1" ht="15" customHeight="1" outlineLevel="1">
      <c r="A655" s="104" t="str">
        <f t="shared" si="130"/>
        <v>1</v>
      </c>
      <c r="F655" s="104">
        <f>first_year+8</f>
        <v>2032</v>
      </c>
      <c r="G655" s="104" t="b">
        <f t="shared" si="131"/>
        <v>0</v>
      </c>
      <c r="L655" s="299" t="str">
        <f t="shared" si="132"/>
        <v>2032 год</v>
      </c>
      <c r="M655" s="666"/>
      <c r="N655" s="428">
        <f>IFERROR(SUMIFS(INDEX(Сценарии!$O$15:$AP$35,,MATCH(F655&amp;"Принято органом регулирования",Сценарии!$O$3:$AP$3,0)),Сценарии!$A$15:$A$35,A655,Сценарии!$M$15:$M$35,"Индекс эффективности операционных расходов"),0)</f>
        <v>0</v>
      </c>
      <c r="O655" s="300"/>
      <c r="P655" s="300">
        <f>IFERROR(SUMIFS(INDEX(Баланс!$O$16:$AL$67,,MATCH($F655&amp;"Принято органом регулирования",Баланс!$O$3:$AL$3,0)),Баланс!$A$16:$A$67,$A655,Баланс!$M$16:$M$67,"Уровень потерь воды"),0)</f>
        <v>0</v>
      </c>
      <c r="Q655" s="428">
        <f>IFERROR(SUMIFS(INDEX(ЭЭ!$O$15:$AL$27,,MATCH($F655&amp;"Принято органом регулирования",ЭЭ!$O$3:$AL$3,0)),ЭЭ!$A$15:$A$27,$A655,ЭЭ!$M$15:$M$27,"Удельный расход электроэнергии"),0)</f>
        <v>0</v>
      </c>
      <c r="R655" s="428">
        <f>IFERROR(SUMIFS(INDEX(ЭЭ!$O$15:$AL$27,,MATCH($F655&amp;"Принято органом регулирования",ЭЭ!$O$3:$AL$3,0)),ЭЭ!$A$15:$A$27,$A655,ЭЭ!$M$15:$M$27,"Удельный расход электроэнергии"),0)</f>
        <v>0</v>
      </c>
      <c r="S655" s="428">
        <f>IFERROR(SUMIFS(INDEX(ЭЭ!$O$15:$AL$27,,MATCH($F655&amp;"Принято органом регулирования",ЭЭ!$O$3:$AL$3,0)),ЭЭ!$A$15:$A$27,$A655,ЭЭ!$M$15:$M$27,"Удельный расход электроэнергии"),0)</f>
        <v>0</v>
      </c>
      <c r="T655" s="537"/>
      <c r="U655" s="657"/>
      <c r="V655" s="656"/>
    </row>
    <row r="656" spans="1:163" s="104" customFormat="1" ht="15" customHeight="1" outlineLevel="1">
      <c r="A656" s="104" t="str">
        <f t="shared" si="130"/>
        <v>1</v>
      </c>
      <c r="F656" s="104">
        <f>first_year+9</f>
        <v>2033</v>
      </c>
      <c r="G656" s="104" t="b">
        <f t="shared" ref="G656:G695" si="133">F656&lt;first_year+PERIOD_LENGTH</f>
        <v>0</v>
      </c>
      <c r="L656" s="299" t="str">
        <f t="shared" ref="L656:L695" si="134">F656&amp; " год"</f>
        <v>2033 год</v>
      </c>
      <c r="M656" s="666"/>
      <c r="N656" s="428">
        <f>IFERROR(SUMIFS(INDEX(Сценарии!$O$15:$AP$35,,MATCH(F656&amp;"Принято органом регулирования",Сценарии!$O$3:$AP$3,0)),Сценарии!$A$15:$A$35,A656,Сценарии!$M$15:$M$35,"Индекс эффективности операционных расходов"),0)</f>
        <v>0</v>
      </c>
      <c r="O656" s="300"/>
      <c r="P656" s="300">
        <f>IFERROR(SUMIFS(INDEX(Баланс!$O$16:$AL$67,,MATCH($F656&amp;"Принято органом регулирования",Баланс!$O$3:$AL$3,0)),Баланс!$A$16:$A$67,$A656,Баланс!$M$16:$M$67,"Уровень потерь воды"),0)</f>
        <v>0</v>
      </c>
      <c r="Q656" s="428">
        <f>IFERROR(SUMIFS(INDEX(ЭЭ!$O$15:$AL$27,,MATCH($F656&amp;"Принято органом регулирования",ЭЭ!$O$3:$AL$3,0)),ЭЭ!$A$15:$A$27,$A656,ЭЭ!$M$15:$M$27,"Удельный расход электроэнергии"),0)</f>
        <v>0</v>
      </c>
      <c r="R656" s="428">
        <f>IFERROR(SUMIFS(INDEX(ЭЭ!$O$15:$AL$27,,MATCH($F656&amp;"Принято органом регулирования",ЭЭ!$O$3:$AL$3,0)),ЭЭ!$A$15:$A$27,$A656,ЭЭ!$M$15:$M$27,"Удельный расход электроэнергии"),0)</f>
        <v>0</v>
      </c>
      <c r="S656" s="428">
        <f>IFERROR(SUMIFS(INDEX(ЭЭ!$O$15:$AL$27,,MATCH($F656&amp;"Принято органом регулирования",ЭЭ!$O$3:$AL$3,0)),ЭЭ!$A$15:$A$27,$A656,ЭЭ!$M$15:$M$27,"Удельный расход электроэнергии"),0)</f>
        <v>0</v>
      </c>
      <c r="T656" s="537"/>
      <c r="U656" s="657"/>
      <c r="V656" s="656"/>
    </row>
    <row r="657" spans="1:22" s="104" customFormat="1" ht="15" customHeight="1" outlineLevel="1">
      <c r="A657" s="104" t="str">
        <f t="shared" si="130"/>
        <v>1</v>
      </c>
      <c r="F657" s="104">
        <f>first_year+10</f>
        <v>2034</v>
      </c>
      <c r="G657" s="104" t="b">
        <f t="shared" si="133"/>
        <v>0</v>
      </c>
      <c r="L657" s="299" t="str">
        <f t="shared" si="134"/>
        <v>2034 год</v>
      </c>
      <c r="M657" s="666"/>
      <c r="N657" s="428"/>
      <c r="O657" s="300"/>
      <c r="P657" s="300"/>
      <c r="Q657" s="428"/>
      <c r="R657" s="428"/>
      <c r="S657" s="428"/>
      <c r="T657" s="537"/>
      <c r="U657" s="657"/>
      <c r="V657" s="656"/>
    </row>
    <row r="658" spans="1:22" s="104" customFormat="1" ht="15" customHeight="1" outlineLevel="1">
      <c r="A658" s="104" t="str">
        <f t="shared" si="130"/>
        <v>1</v>
      </c>
      <c r="F658" s="104">
        <f>first_year+11</f>
        <v>2035</v>
      </c>
      <c r="G658" s="104" t="b">
        <f t="shared" si="133"/>
        <v>0</v>
      </c>
      <c r="L658" s="299" t="str">
        <f t="shared" si="134"/>
        <v>2035 год</v>
      </c>
      <c r="M658" s="666"/>
      <c r="N658" s="428"/>
      <c r="O658" s="300"/>
      <c r="P658" s="300"/>
      <c r="Q658" s="428"/>
      <c r="R658" s="428"/>
      <c r="S658" s="428"/>
      <c r="T658" s="537"/>
      <c r="U658" s="657"/>
      <c r="V658" s="656"/>
    </row>
    <row r="659" spans="1:22" s="104" customFormat="1" ht="15" customHeight="1" outlineLevel="1">
      <c r="A659" s="104" t="str">
        <f t="shared" si="130"/>
        <v>1</v>
      </c>
      <c r="F659" s="104">
        <f>first_year+12</f>
        <v>2036</v>
      </c>
      <c r="G659" s="104" t="b">
        <f t="shared" si="133"/>
        <v>0</v>
      </c>
      <c r="L659" s="299" t="str">
        <f t="shared" si="134"/>
        <v>2036 год</v>
      </c>
      <c r="M659" s="666"/>
      <c r="N659" s="428"/>
      <c r="O659" s="300"/>
      <c r="P659" s="300"/>
      <c r="Q659" s="428"/>
      <c r="R659" s="428"/>
      <c r="S659" s="428"/>
      <c r="T659" s="537"/>
      <c r="U659" s="657"/>
      <c r="V659" s="656"/>
    </row>
    <row r="660" spans="1:22" s="104" customFormat="1" ht="15" customHeight="1" outlineLevel="1">
      <c r="A660" s="104" t="str">
        <f t="shared" si="130"/>
        <v>1</v>
      </c>
      <c r="F660" s="104">
        <f>first_year+13</f>
        <v>2037</v>
      </c>
      <c r="G660" s="104" t="b">
        <f t="shared" si="133"/>
        <v>0</v>
      </c>
      <c r="L660" s="299" t="str">
        <f t="shared" si="134"/>
        <v>2037 год</v>
      </c>
      <c r="M660" s="666"/>
      <c r="N660" s="428"/>
      <c r="O660" s="300"/>
      <c r="P660" s="300"/>
      <c r="Q660" s="428"/>
      <c r="R660" s="428"/>
      <c r="S660" s="428"/>
      <c r="T660" s="537"/>
      <c r="U660" s="657"/>
      <c r="V660" s="656"/>
    </row>
    <row r="661" spans="1:22" s="104" customFormat="1" ht="15" customHeight="1" outlineLevel="1">
      <c r="A661" s="104" t="str">
        <f t="shared" si="130"/>
        <v>1</v>
      </c>
      <c r="F661" s="104">
        <f>first_year+14</f>
        <v>2038</v>
      </c>
      <c r="G661" s="104" t="b">
        <f t="shared" si="133"/>
        <v>0</v>
      </c>
      <c r="L661" s="299" t="str">
        <f t="shared" si="134"/>
        <v>2038 год</v>
      </c>
      <c r="M661" s="666"/>
      <c r="N661" s="428"/>
      <c r="O661" s="300"/>
      <c r="P661" s="300"/>
      <c r="Q661" s="428"/>
      <c r="R661" s="428"/>
      <c r="S661" s="428"/>
      <c r="T661" s="537"/>
      <c r="U661" s="657"/>
      <c r="V661" s="656"/>
    </row>
    <row r="662" spans="1:22" s="104" customFormat="1" ht="15" customHeight="1" outlineLevel="1">
      <c r="A662" s="104" t="str">
        <f t="shared" si="130"/>
        <v>1</v>
      </c>
      <c r="F662" s="104">
        <f>first_year+15</f>
        <v>2039</v>
      </c>
      <c r="G662" s="104" t="b">
        <f t="shared" si="133"/>
        <v>0</v>
      </c>
      <c r="L662" s="299" t="str">
        <f t="shared" si="134"/>
        <v>2039 год</v>
      </c>
      <c r="M662" s="666"/>
      <c r="N662" s="428"/>
      <c r="O662" s="300"/>
      <c r="P662" s="300"/>
      <c r="Q662" s="428"/>
      <c r="R662" s="428"/>
      <c r="S662" s="428"/>
      <c r="T662" s="537"/>
      <c r="U662" s="657"/>
      <c r="V662" s="656"/>
    </row>
    <row r="663" spans="1:22" s="104" customFormat="1" ht="15" customHeight="1" outlineLevel="1">
      <c r="A663" s="104" t="str">
        <f t="shared" si="130"/>
        <v>1</v>
      </c>
      <c r="F663" s="104">
        <f>first_year+16</f>
        <v>2040</v>
      </c>
      <c r="G663" s="104" t="b">
        <f t="shared" si="133"/>
        <v>0</v>
      </c>
      <c r="L663" s="299" t="str">
        <f t="shared" si="134"/>
        <v>2040 год</v>
      </c>
      <c r="M663" s="666"/>
      <c r="N663" s="428"/>
      <c r="O663" s="300"/>
      <c r="P663" s="300"/>
      <c r="Q663" s="428"/>
      <c r="R663" s="428"/>
      <c r="S663" s="428"/>
      <c r="T663" s="537"/>
      <c r="U663" s="657"/>
      <c r="V663" s="656"/>
    </row>
    <row r="664" spans="1:22" s="104" customFormat="1" ht="15" customHeight="1" outlineLevel="1">
      <c r="A664" s="104" t="str">
        <f t="shared" si="130"/>
        <v>1</v>
      </c>
      <c r="F664" s="104">
        <f>first_year+17</f>
        <v>2041</v>
      </c>
      <c r="G664" s="104" t="b">
        <f t="shared" si="133"/>
        <v>0</v>
      </c>
      <c r="L664" s="299" t="str">
        <f t="shared" si="134"/>
        <v>2041 год</v>
      </c>
      <c r="M664" s="666"/>
      <c r="N664" s="428"/>
      <c r="O664" s="300"/>
      <c r="P664" s="300"/>
      <c r="Q664" s="428"/>
      <c r="R664" s="428"/>
      <c r="S664" s="428"/>
      <c r="T664" s="537"/>
      <c r="U664" s="657"/>
      <c r="V664" s="656"/>
    </row>
    <row r="665" spans="1:22" s="104" customFormat="1" ht="15" customHeight="1" outlineLevel="1">
      <c r="A665" s="104" t="str">
        <f t="shared" si="130"/>
        <v>1</v>
      </c>
      <c r="F665" s="104">
        <f>first_year+18</f>
        <v>2042</v>
      </c>
      <c r="G665" s="104" t="b">
        <f t="shared" si="133"/>
        <v>0</v>
      </c>
      <c r="L665" s="299" t="str">
        <f t="shared" si="134"/>
        <v>2042 год</v>
      </c>
      <c r="M665" s="666"/>
      <c r="N665" s="428"/>
      <c r="O665" s="300"/>
      <c r="P665" s="300"/>
      <c r="Q665" s="428"/>
      <c r="R665" s="428"/>
      <c r="S665" s="428"/>
      <c r="T665" s="537"/>
      <c r="U665" s="657"/>
      <c r="V665" s="656"/>
    </row>
    <row r="666" spans="1:22" s="104" customFormat="1" ht="15" customHeight="1" outlineLevel="1">
      <c r="A666" s="104" t="str">
        <f t="shared" si="130"/>
        <v>1</v>
      </c>
      <c r="F666" s="104">
        <f>first_year+19</f>
        <v>2043</v>
      </c>
      <c r="G666" s="104" t="b">
        <f t="shared" si="133"/>
        <v>0</v>
      </c>
      <c r="L666" s="299" t="str">
        <f t="shared" si="134"/>
        <v>2043 год</v>
      </c>
      <c r="M666" s="666"/>
      <c r="N666" s="428"/>
      <c r="O666" s="300"/>
      <c r="P666" s="300"/>
      <c r="Q666" s="428"/>
      <c r="R666" s="428"/>
      <c r="S666" s="428"/>
      <c r="T666" s="537"/>
      <c r="U666" s="657"/>
      <c r="V666" s="656"/>
    </row>
    <row r="667" spans="1:22" s="104" customFormat="1" ht="15" customHeight="1" outlineLevel="1">
      <c r="A667" s="104" t="str">
        <f t="shared" si="130"/>
        <v>1</v>
      </c>
      <c r="F667" s="104">
        <f>first_year+20</f>
        <v>2044</v>
      </c>
      <c r="G667" s="104" t="b">
        <f t="shared" si="133"/>
        <v>0</v>
      </c>
      <c r="L667" s="299" t="str">
        <f t="shared" si="134"/>
        <v>2044 год</v>
      </c>
      <c r="M667" s="666"/>
      <c r="N667" s="428"/>
      <c r="O667" s="300"/>
      <c r="P667" s="300"/>
      <c r="Q667" s="428"/>
      <c r="R667" s="428"/>
      <c r="S667" s="428"/>
      <c r="T667" s="537"/>
      <c r="U667" s="657"/>
      <c r="V667" s="656"/>
    </row>
    <row r="668" spans="1:22" s="104" customFormat="1" ht="15" customHeight="1" outlineLevel="1">
      <c r="A668" s="104" t="str">
        <f t="shared" si="130"/>
        <v>1</v>
      </c>
      <c r="F668" s="104">
        <f>first_year+21</f>
        <v>2045</v>
      </c>
      <c r="G668" s="104" t="b">
        <f t="shared" si="133"/>
        <v>0</v>
      </c>
      <c r="L668" s="299" t="str">
        <f t="shared" si="134"/>
        <v>2045 год</v>
      </c>
      <c r="M668" s="666"/>
      <c r="N668" s="428"/>
      <c r="O668" s="300"/>
      <c r="P668" s="300"/>
      <c r="Q668" s="428"/>
      <c r="R668" s="428"/>
      <c r="S668" s="428"/>
      <c r="T668" s="537"/>
      <c r="U668" s="657"/>
      <c r="V668" s="656"/>
    </row>
    <row r="669" spans="1:22" s="104" customFormat="1" ht="15" customHeight="1" outlineLevel="1">
      <c r="A669" s="104" t="str">
        <f t="shared" si="130"/>
        <v>1</v>
      </c>
      <c r="F669" s="104">
        <f>first_year+22</f>
        <v>2046</v>
      </c>
      <c r="G669" s="104" t="b">
        <f t="shared" si="133"/>
        <v>0</v>
      </c>
      <c r="L669" s="299" t="str">
        <f t="shared" si="134"/>
        <v>2046 год</v>
      </c>
      <c r="M669" s="666"/>
      <c r="N669" s="428"/>
      <c r="O669" s="300"/>
      <c r="P669" s="300"/>
      <c r="Q669" s="428"/>
      <c r="R669" s="428"/>
      <c r="S669" s="428"/>
      <c r="T669" s="537"/>
      <c r="U669" s="657"/>
      <c r="V669" s="656"/>
    </row>
    <row r="670" spans="1:22" s="104" customFormat="1" ht="15" customHeight="1" outlineLevel="1">
      <c r="A670" s="104" t="str">
        <f t="shared" si="130"/>
        <v>1</v>
      </c>
      <c r="F670" s="104">
        <f>first_year+23</f>
        <v>2047</v>
      </c>
      <c r="G670" s="104" t="b">
        <f t="shared" si="133"/>
        <v>0</v>
      </c>
      <c r="L670" s="299" t="str">
        <f t="shared" si="134"/>
        <v>2047 год</v>
      </c>
      <c r="M670" s="666"/>
      <c r="N670" s="428"/>
      <c r="O670" s="300"/>
      <c r="P670" s="300"/>
      <c r="Q670" s="428"/>
      <c r="R670" s="428"/>
      <c r="S670" s="428"/>
      <c r="T670" s="537"/>
      <c r="U670" s="657"/>
      <c r="V670" s="656"/>
    </row>
    <row r="671" spans="1:22" s="104" customFormat="1" ht="15" customHeight="1" outlineLevel="1">
      <c r="A671" s="104" t="str">
        <f t="shared" si="130"/>
        <v>1</v>
      </c>
      <c r="F671" s="104">
        <f>first_year+24</f>
        <v>2048</v>
      </c>
      <c r="G671" s="104" t="b">
        <f t="shared" si="133"/>
        <v>0</v>
      </c>
      <c r="L671" s="299" t="str">
        <f t="shared" si="134"/>
        <v>2048 год</v>
      </c>
      <c r="M671" s="666"/>
      <c r="N671" s="428"/>
      <c r="O671" s="300"/>
      <c r="P671" s="300"/>
      <c r="Q671" s="428"/>
      <c r="R671" s="428"/>
      <c r="S671" s="428"/>
      <c r="T671" s="537"/>
      <c r="U671" s="657"/>
      <c r="V671" s="656"/>
    </row>
    <row r="672" spans="1:22" s="104" customFormat="1" ht="15" customHeight="1" outlineLevel="1">
      <c r="A672" s="104" t="str">
        <f t="shared" si="130"/>
        <v>1</v>
      </c>
      <c r="F672" s="104">
        <f>first_year+25</f>
        <v>2049</v>
      </c>
      <c r="G672" s="104" t="b">
        <f t="shared" si="133"/>
        <v>0</v>
      </c>
      <c r="L672" s="299" t="str">
        <f t="shared" si="134"/>
        <v>2049 год</v>
      </c>
      <c r="M672" s="666"/>
      <c r="N672" s="428"/>
      <c r="O672" s="300"/>
      <c r="P672" s="300"/>
      <c r="Q672" s="428"/>
      <c r="R672" s="428"/>
      <c r="S672" s="428"/>
      <c r="T672" s="537"/>
      <c r="U672" s="657"/>
      <c r="V672" s="656"/>
    </row>
    <row r="673" spans="1:22" s="104" customFormat="1" ht="15" customHeight="1" outlineLevel="1">
      <c r="A673" s="104" t="str">
        <f t="shared" si="130"/>
        <v>1</v>
      </c>
      <c r="F673" s="104">
        <f>first_year+26</f>
        <v>2050</v>
      </c>
      <c r="G673" s="104" t="b">
        <f t="shared" si="133"/>
        <v>0</v>
      </c>
      <c r="L673" s="299" t="str">
        <f t="shared" si="134"/>
        <v>2050 год</v>
      </c>
      <c r="M673" s="666"/>
      <c r="N673" s="428"/>
      <c r="O673" s="300"/>
      <c r="P673" s="300"/>
      <c r="Q673" s="428"/>
      <c r="R673" s="428"/>
      <c r="S673" s="428"/>
      <c r="T673" s="537"/>
      <c r="U673" s="657"/>
      <c r="V673" s="656"/>
    </row>
    <row r="674" spans="1:22" s="104" customFormat="1" ht="15" customHeight="1" outlineLevel="1">
      <c r="A674" s="104" t="str">
        <f t="shared" si="130"/>
        <v>1</v>
      </c>
      <c r="F674" s="104">
        <f>first_year+27</f>
        <v>2051</v>
      </c>
      <c r="G674" s="104" t="b">
        <f t="shared" si="133"/>
        <v>0</v>
      </c>
      <c r="L674" s="299" t="str">
        <f t="shared" si="134"/>
        <v>2051 год</v>
      </c>
      <c r="M674" s="666"/>
      <c r="N674" s="428"/>
      <c r="O674" s="300"/>
      <c r="P674" s="300"/>
      <c r="Q674" s="428"/>
      <c r="R674" s="428"/>
      <c r="S674" s="428"/>
      <c r="T674" s="537"/>
      <c r="U674" s="657"/>
      <c r="V674" s="656"/>
    </row>
    <row r="675" spans="1:22" s="104" customFormat="1" ht="15" customHeight="1" outlineLevel="1">
      <c r="A675" s="104" t="str">
        <f t="shared" si="130"/>
        <v>1</v>
      </c>
      <c r="F675" s="104">
        <f>first_year+28</f>
        <v>2052</v>
      </c>
      <c r="G675" s="104" t="b">
        <f t="shared" si="133"/>
        <v>0</v>
      </c>
      <c r="L675" s="299" t="str">
        <f t="shared" si="134"/>
        <v>2052 год</v>
      </c>
      <c r="M675" s="666"/>
      <c r="N675" s="428"/>
      <c r="O675" s="300"/>
      <c r="P675" s="300"/>
      <c r="Q675" s="428"/>
      <c r="R675" s="428"/>
      <c r="S675" s="428"/>
      <c r="T675" s="537"/>
      <c r="U675" s="657"/>
      <c r="V675" s="656"/>
    </row>
    <row r="676" spans="1:22" s="104" customFormat="1" ht="15" customHeight="1" outlineLevel="1">
      <c r="A676" s="104" t="str">
        <f t="shared" si="130"/>
        <v>1</v>
      </c>
      <c r="F676" s="104">
        <f>first_year+29</f>
        <v>2053</v>
      </c>
      <c r="G676" s="104" t="b">
        <f t="shared" si="133"/>
        <v>0</v>
      </c>
      <c r="L676" s="299" t="str">
        <f t="shared" si="134"/>
        <v>2053 год</v>
      </c>
      <c r="M676" s="666"/>
      <c r="N676" s="428"/>
      <c r="O676" s="300"/>
      <c r="P676" s="300"/>
      <c r="Q676" s="428"/>
      <c r="R676" s="428"/>
      <c r="S676" s="428"/>
      <c r="T676" s="537"/>
      <c r="U676" s="657"/>
      <c r="V676" s="656"/>
    </row>
    <row r="677" spans="1:22" s="104" customFormat="1" ht="15" customHeight="1" outlineLevel="1">
      <c r="A677" s="104" t="str">
        <f t="shared" si="130"/>
        <v>1</v>
      </c>
      <c r="F677" s="104">
        <f>first_year+30</f>
        <v>2054</v>
      </c>
      <c r="G677" s="104" t="b">
        <f t="shared" si="133"/>
        <v>0</v>
      </c>
      <c r="L677" s="299" t="str">
        <f t="shared" si="134"/>
        <v>2054 год</v>
      </c>
      <c r="M677" s="666"/>
      <c r="N677" s="428"/>
      <c r="O677" s="300"/>
      <c r="P677" s="300"/>
      <c r="Q677" s="428"/>
      <c r="R677" s="428"/>
      <c r="S677" s="428"/>
      <c r="T677" s="537"/>
      <c r="U677" s="657"/>
      <c r="V677" s="656"/>
    </row>
    <row r="678" spans="1:22" s="104" customFormat="1" ht="15" customHeight="1" outlineLevel="1">
      <c r="A678" s="104" t="str">
        <f t="shared" si="130"/>
        <v>1</v>
      </c>
      <c r="F678" s="104">
        <f>first_year+31</f>
        <v>2055</v>
      </c>
      <c r="G678" s="104" t="b">
        <f t="shared" si="133"/>
        <v>0</v>
      </c>
      <c r="L678" s="299" t="str">
        <f t="shared" si="134"/>
        <v>2055 год</v>
      </c>
      <c r="M678" s="666"/>
      <c r="N678" s="428"/>
      <c r="O678" s="300"/>
      <c r="P678" s="300"/>
      <c r="Q678" s="428"/>
      <c r="R678" s="428"/>
      <c r="S678" s="428"/>
      <c r="T678" s="537"/>
      <c r="U678" s="657"/>
      <c r="V678" s="656"/>
    </row>
    <row r="679" spans="1:22" s="104" customFormat="1" ht="15" customHeight="1" outlineLevel="1">
      <c r="A679" s="104" t="str">
        <f t="shared" si="130"/>
        <v>1</v>
      </c>
      <c r="F679" s="104">
        <f>first_year+32</f>
        <v>2056</v>
      </c>
      <c r="G679" s="104" t="b">
        <f t="shared" si="133"/>
        <v>0</v>
      </c>
      <c r="L679" s="299" t="str">
        <f t="shared" si="134"/>
        <v>2056 год</v>
      </c>
      <c r="M679" s="666"/>
      <c r="N679" s="428"/>
      <c r="O679" s="300"/>
      <c r="P679" s="300"/>
      <c r="Q679" s="428"/>
      <c r="R679" s="428"/>
      <c r="S679" s="428"/>
      <c r="T679" s="537"/>
      <c r="U679" s="657"/>
      <c r="V679" s="656"/>
    </row>
    <row r="680" spans="1:22" s="104" customFormat="1" ht="15" customHeight="1" outlineLevel="1">
      <c r="A680" s="104" t="str">
        <f t="shared" si="130"/>
        <v>1</v>
      </c>
      <c r="F680" s="104">
        <f>first_year+33</f>
        <v>2057</v>
      </c>
      <c r="G680" s="104" t="b">
        <f t="shared" si="133"/>
        <v>0</v>
      </c>
      <c r="L680" s="299" t="str">
        <f t="shared" si="134"/>
        <v>2057 год</v>
      </c>
      <c r="M680" s="666"/>
      <c r="N680" s="428"/>
      <c r="O680" s="300"/>
      <c r="P680" s="300"/>
      <c r="Q680" s="428"/>
      <c r="R680" s="428"/>
      <c r="S680" s="428"/>
      <c r="T680" s="537"/>
      <c r="U680" s="657"/>
      <c r="V680" s="656"/>
    </row>
    <row r="681" spans="1:22" s="104" customFormat="1" ht="15" customHeight="1" outlineLevel="1">
      <c r="A681" s="104" t="str">
        <f t="shared" si="130"/>
        <v>1</v>
      </c>
      <c r="F681" s="104">
        <f>first_year+34</f>
        <v>2058</v>
      </c>
      <c r="G681" s="104" t="b">
        <f t="shared" si="133"/>
        <v>0</v>
      </c>
      <c r="L681" s="299" t="str">
        <f t="shared" si="134"/>
        <v>2058 год</v>
      </c>
      <c r="M681" s="666"/>
      <c r="N681" s="428"/>
      <c r="O681" s="300"/>
      <c r="P681" s="300"/>
      <c r="Q681" s="428"/>
      <c r="R681" s="428"/>
      <c r="S681" s="428"/>
      <c r="T681" s="537"/>
      <c r="U681" s="657"/>
      <c r="V681" s="656"/>
    </row>
    <row r="682" spans="1:22" s="104" customFormat="1" ht="15" customHeight="1" outlineLevel="1">
      <c r="A682" s="104" t="str">
        <f t="shared" si="130"/>
        <v>1</v>
      </c>
      <c r="F682" s="104">
        <f>first_year+35</f>
        <v>2059</v>
      </c>
      <c r="G682" s="104" t="b">
        <f t="shared" si="133"/>
        <v>0</v>
      </c>
      <c r="L682" s="299" t="str">
        <f t="shared" si="134"/>
        <v>2059 год</v>
      </c>
      <c r="M682" s="666"/>
      <c r="N682" s="428"/>
      <c r="O682" s="300"/>
      <c r="P682" s="300"/>
      <c r="Q682" s="428"/>
      <c r="R682" s="428"/>
      <c r="S682" s="428"/>
      <c r="T682" s="537"/>
      <c r="U682" s="657"/>
      <c r="V682" s="656"/>
    </row>
    <row r="683" spans="1:22" s="104" customFormat="1" ht="15" customHeight="1" outlineLevel="1">
      <c r="A683" s="104" t="str">
        <f t="shared" si="130"/>
        <v>1</v>
      </c>
      <c r="F683" s="104">
        <f>first_year+36</f>
        <v>2060</v>
      </c>
      <c r="G683" s="104" t="b">
        <f t="shared" si="133"/>
        <v>0</v>
      </c>
      <c r="L683" s="299" t="str">
        <f t="shared" si="134"/>
        <v>2060 год</v>
      </c>
      <c r="M683" s="666"/>
      <c r="N683" s="428"/>
      <c r="O683" s="300"/>
      <c r="P683" s="300"/>
      <c r="Q683" s="428"/>
      <c r="R683" s="428"/>
      <c r="S683" s="428"/>
      <c r="T683" s="537"/>
      <c r="U683" s="657"/>
      <c r="V683" s="656"/>
    </row>
    <row r="684" spans="1:22" s="104" customFormat="1" ht="15" customHeight="1" outlineLevel="1">
      <c r="A684" s="104" t="str">
        <f t="shared" si="130"/>
        <v>1</v>
      </c>
      <c r="F684" s="104">
        <f>first_year+37</f>
        <v>2061</v>
      </c>
      <c r="G684" s="104" t="b">
        <f t="shared" si="133"/>
        <v>0</v>
      </c>
      <c r="L684" s="299" t="str">
        <f t="shared" si="134"/>
        <v>2061 год</v>
      </c>
      <c r="M684" s="666"/>
      <c r="N684" s="428"/>
      <c r="O684" s="300"/>
      <c r="P684" s="300"/>
      <c r="Q684" s="428"/>
      <c r="R684" s="428"/>
      <c r="S684" s="428"/>
      <c r="T684" s="537"/>
      <c r="U684" s="657"/>
      <c r="V684" s="656"/>
    </row>
    <row r="685" spans="1:22" s="104" customFormat="1" ht="15" customHeight="1" outlineLevel="1">
      <c r="A685" s="104" t="str">
        <f t="shared" si="130"/>
        <v>1</v>
      </c>
      <c r="F685" s="104">
        <f>first_year+38</f>
        <v>2062</v>
      </c>
      <c r="G685" s="104" t="b">
        <f t="shared" si="133"/>
        <v>0</v>
      </c>
      <c r="L685" s="299" t="str">
        <f t="shared" si="134"/>
        <v>2062 год</v>
      </c>
      <c r="M685" s="666"/>
      <c r="N685" s="428"/>
      <c r="O685" s="300"/>
      <c r="P685" s="300"/>
      <c r="Q685" s="428"/>
      <c r="R685" s="428"/>
      <c r="S685" s="428"/>
      <c r="T685" s="537"/>
      <c r="U685" s="657"/>
      <c r="V685" s="656"/>
    </row>
    <row r="686" spans="1:22" s="104" customFormat="1" ht="15" customHeight="1" outlineLevel="1">
      <c r="A686" s="104" t="str">
        <f t="shared" si="130"/>
        <v>1</v>
      </c>
      <c r="F686" s="104">
        <f>first_year+39</f>
        <v>2063</v>
      </c>
      <c r="G686" s="104" t="b">
        <f t="shared" si="133"/>
        <v>0</v>
      </c>
      <c r="L686" s="299" t="str">
        <f t="shared" si="134"/>
        <v>2063 год</v>
      </c>
      <c r="M686" s="666"/>
      <c r="N686" s="428"/>
      <c r="O686" s="300"/>
      <c r="P686" s="300"/>
      <c r="Q686" s="428"/>
      <c r="R686" s="428"/>
      <c r="S686" s="428"/>
      <c r="T686" s="537"/>
      <c r="U686" s="657"/>
      <c r="V686" s="656"/>
    </row>
    <row r="687" spans="1:22" s="104" customFormat="1" ht="15" customHeight="1" outlineLevel="1">
      <c r="A687" s="104" t="str">
        <f t="shared" si="130"/>
        <v>1</v>
      </c>
      <c r="F687" s="104">
        <f>first_year+40</f>
        <v>2064</v>
      </c>
      <c r="G687" s="104" t="b">
        <f t="shared" si="133"/>
        <v>0</v>
      </c>
      <c r="L687" s="299" t="str">
        <f t="shared" si="134"/>
        <v>2064 год</v>
      </c>
      <c r="M687" s="666"/>
      <c r="N687" s="428"/>
      <c r="O687" s="300"/>
      <c r="P687" s="300"/>
      <c r="Q687" s="428"/>
      <c r="R687" s="428"/>
      <c r="S687" s="428"/>
      <c r="T687" s="537"/>
      <c r="U687" s="657"/>
      <c r="V687" s="656"/>
    </row>
    <row r="688" spans="1:22" s="104" customFormat="1" ht="15" customHeight="1" outlineLevel="1">
      <c r="A688" s="104" t="str">
        <f t="shared" si="130"/>
        <v>1</v>
      </c>
      <c r="F688" s="104">
        <f>first_year+41</f>
        <v>2065</v>
      </c>
      <c r="G688" s="104" t="b">
        <f t="shared" si="133"/>
        <v>0</v>
      </c>
      <c r="L688" s="299" t="str">
        <f t="shared" si="134"/>
        <v>2065 год</v>
      </c>
      <c r="M688" s="666"/>
      <c r="N688" s="428"/>
      <c r="O688" s="300"/>
      <c r="P688" s="300"/>
      <c r="Q688" s="428"/>
      <c r="R688" s="428"/>
      <c r="S688" s="428"/>
      <c r="T688" s="537"/>
      <c r="U688" s="657"/>
      <c r="V688" s="656"/>
    </row>
    <row r="689" spans="1:22" s="104" customFormat="1" ht="15" customHeight="1" outlineLevel="1">
      <c r="A689" s="104" t="str">
        <f t="shared" si="130"/>
        <v>1</v>
      </c>
      <c r="F689" s="104">
        <f>first_year+42</f>
        <v>2066</v>
      </c>
      <c r="G689" s="104" t="b">
        <f t="shared" si="133"/>
        <v>0</v>
      </c>
      <c r="L689" s="299" t="str">
        <f t="shared" si="134"/>
        <v>2066 год</v>
      </c>
      <c r="M689" s="666"/>
      <c r="N689" s="428"/>
      <c r="O689" s="300"/>
      <c r="P689" s="300"/>
      <c r="Q689" s="428"/>
      <c r="R689" s="428"/>
      <c r="S689" s="428"/>
      <c r="T689" s="537"/>
      <c r="U689" s="657"/>
      <c r="V689" s="656"/>
    </row>
    <row r="690" spans="1:22" s="104" customFormat="1" ht="15" customHeight="1" outlineLevel="1">
      <c r="A690" s="104" t="str">
        <f t="shared" si="130"/>
        <v>1</v>
      </c>
      <c r="F690" s="104">
        <f>first_year+43</f>
        <v>2067</v>
      </c>
      <c r="G690" s="104" t="b">
        <f t="shared" si="133"/>
        <v>0</v>
      </c>
      <c r="L690" s="299" t="str">
        <f t="shared" si="134"/>
        <v>2067 год</v>
      </c>
      <c r="M690" s="666"/>
      <c r="N690" s="428"/>
      <c r="O690" s="300"/>
      <c r="P690" s="300"/>
      <c r="Q690" s="428"/>
      <c r="R690" s="428"/>
      <c r="S690" s="428"/>
      <c r="T690" s="537"/>
      <c r="U690" s="657"/>
      <c r="V690" s="656"/>
    </row>
    <row r="691" spans="1:22" s="104" customFormat="1" ht="15" customHeight="1" outlineLevel="1">
      <c r="A691" s="104" t="str">
        <f t="shared" si="130"/>
        <v>1</v>
      </c>
      <c r="F691" s="104">
        <f>first_year+44</f>
        <v>2068</v>
      </c>
      <c r="G691" s="104" t="b">
        <f t="shared" si="133"/>
        <v>0</v>
      </c>
      <c r="L691" s="299" t="str">
        <f t="shared" si="134"/>
        <v>2068 год</v>
      </c>
      <c r="M691" s="666"/>
      <c r="N691" s="428"/>
      <c r="O691" s="300"/>
      <c r="P691" s="300"/>
      <c r="Q691" s="428"/>
      <c r="R691" s="428"/>
      <c r="S691" s="428"/>
      <c r="T691" s="537"/>
      <c r="U691" s="657"/>
      <c r="V691" s="656"/>
    </row>
    <row r="692" spans="1:22" s="104" customFormat="1" ht="15" customHeight="1" outlineLevel="1">
      <c r="A692" s="104" t="str">
        <f t="shared" si="130"/>
        <v>1</v>
      </c>
      <c r="F692" s="104">
        <f>first_year+45</f>
        <v>2069</v>
      </c>
      <c r="G692" s="104" t="b">
        <f t="shared" si="133"/>
        <v>0</v>
      </c>
      <c r="L692" s="299" t="str">
        <f t="shared" si="134"/>
        <v>2069 год</v>
      </c>
      <c r="M692" s="666"/>
      <c r="N692" s="428"/>
      <c r="O692" s="300"/>
      <c r="P692" s="300"/>
      <c r="Q692" s="428"/>
      <c r="R692" s="428"/>
      <c r="S692" s="428"/>
      <c r="T692" s="537"/>
      <c r="U692" s="657"/>
      <c r="V692" s="656"/>
    </row>
    <row r="693" spans="1:22" s="104" customFormat="1" ht="15" customHeight="1" outlineLevel="1">
      <c r="A693" s="104" t="str">
        <f t="shared" si="130"/>
        <v>1</v>
      </c>
      <c r="F693" s="104">
        <f>first_year+46</f>
        <v>2070</v>
      </c>
      <c r="G693" s="104" t="b">
        <f t="shared" si="133"/>
        <v>0</v>
      </c>
      <c r="L693" s="299" t="str">
        <f t="shared" si="134"/>
        <v>2070 год</v>
      </c>
      <c r="M693" s="666"/>
      <c r="N693" s="428"/>
      <c r="O693" s="300"/>
      <c r="P693" s="300"/>
      <c r="Q693" s="428"/>
      <c r="R693" s="428"/>
      <c r="S693" s="428"/>
      <c r="T693" s="537"/>
      <c r="U693" s="657"/>
      <c r="V693" s="656"/>
    </row>
    <row r="694" spans="1:22" s="104" customFormat="1" ht="15" customHeight="1" outlineLevel="1">
      <c r="A694" s="104" t="str">
        <f t="shared" si="130"/>
        <v>1</v>
      </c>
      <c r="F694" s="104">
        <f>first_year+47</f>
        <v>2071</v>
      </c>
      <c r="G694" s="104" t="b">
        <f t="shared" si="133"/>
        <v>0</v>
      </c>
      <c r="L694" s="299" t="str">
        <f t="shared" si="134"/>
        <v>2071 год</v>
      </c>
      <c r="M694" s="666"/>
      <c r="N694" s="428"/>
      <c r="O694" s="300"/>
      <c r="P694" s="300"/>
      <c r="Q694" s="428"/>
      <c r="R694" s="428"/>
      <c r="S694" s="428"/>
      <c r="T694" s="537"/>
      <c r="U694" s="657"/>
      <c r="V694" s="656"/>
    </row>
    <row r="695" spans="1:22" s="104" customFormat="1" ht="15" customHeight="1" outlineLevel="1">
      <c r="A695" s="104" t="str">
        <f t="shared" si="130"/>
        <v>1</v>
      </c>
      <c r="F695" s="104">
        <f>first_year+48</f>
        <v>2072</v>
      </c>
      <c r="G695" s="104" t="b">
        <f t="shared" si="133"/>
        <v>0</v>
      </c>
      <c r="L695" s="299" t="str">
        <f t="shared" si="134"/>
        <v>2072 год</v>
      </c>
      <c r="M695" s="666"/>
      <c r="N695" s="428"/>
      <c r="O695" s="300"/>
      <c r="P695" s="300"/>
      <c r="Q695" s="428"/>
      <c r="R695" s="428"/>
      <c r="S695" s="428"/>
      <c r="T695" s="537"/>
      <c r="U695" s="657"/>
      <c r="V695" s="656"/>
    </row>
    <row r="696" spans="1:22" s="104" customFormat="1" ht="15" customHeight="1" outlineLevel="1">
      <c r="A696" s="104" t="str">
        <f t="shared" si="130"/>
        <v>1</v>
      </c>
      <c r="F696" s="104">
        <f>first_year+49</f>
        <v>2073</v>
      </c>
      <c r="G696" s="104" t="b">
        <f>F696&lt;first_year+PERIOD_LENGTH</f>
        <v>0</v>
      </c>
      <c r="L696" s="299" t="str">
        <f>F696&amp; " год"</f>
        <v>2073 год</v>
      </c>
      <c r="M696" s="666"/>
      <c r="N696" s="428"/>
      <c r="O696" s="300"/>
      <c r="P696" s="300"/>
      <c r="Q696" s="428"/>
      <c r="R696" s="428"/>
      <c r="S696" s="428"/>
      <c r="T696" s="537"/>
      <c r="U696" s="657"/>
      <c r="V696" s="656"/>
    </row>
    <row r="697" spans="1:22">
      <c r="A697" s="134" t="s">
        <v>1370</v>
      </c>
    </row>
    <row r="698" spans="1:22" s="101" customFormat="1" ht="15" customHeight="1">
      <c r="A698" s="172" t="s">
        <v>18</v>
      </c>
      <c r="L698" s="268" t="str">
        <f>INDEX('Общие сведения'!$J$114:$J$127,MATCH($A698,'Общие сведения'!$D$114:$D$127,0))</f>
        <v>Тариф 1 (Водоснабжение) - тариф на питьевую воду</v>
      </c>
      <c r="M698" s="269"/>
      <c r="N698" s="269"/>
      <c r="O698" s="269"/>
      <c r="P698" s="269"/>
      <c r="Q698" s="269"/>
      <c r="R698" s="269"/>
      <c r="S698" s="269"/>
      <c r="T698" s="269"/>
      <c r="U698" s="269"/>
      <c r="V698" s="655"/>
    </row>
    <row r="699" spans="1:22" s="104" customFormat="1" ht="15" customHeight="1" outlineLevel="1">
      <c r="A699" s="104" t="str">
        <f t="shared" ref="A699:A748" si="135">A698</f>
        <v>1</v>
      </c>
      <c r="F699" s="104">
        <f>first_year</f>
        <v>2024</v>
      </c>
      <c r="G699" s="104" t="b">
        <f t="shared" ref="G699:G707" si="136">F699&lt;first_year+PERIOD_LENGTH</f>
        <v>1</v>
      </c>
      <c r="L699" s="299" t="str">
        <f t="shared" ref="L699:L707" si="137">F699&amp; " год"</f>
        <v>2024 год</v>
      </c>
      <c r="M699" s="300">
        <f>IFERROR(SUMIFS(INDEX(Калькуляция!$O$15:$AM$141,,MATCH(F699&amp;"Принято органом регулирования",Калькуляция!$O$3:$AM$3,0)),Калькуляция!$A$15:$A$141,A699,Калькуляция!$M$15:$M$141,"Операционные расходы"),0)</f>
        <v>931.37840000000006</v>
      </c>
      <c r="N699" s="428">
        <f>IFERROR(SUMIFS(INDEX(Сценарии!$O$15:$AP$35,,MATCH($F699&amp;"Принято органом регулирования",Сценарии!$O$3:$AP$3,0)),Сценарии!$A$15:$A$35,$A699,Сценарии!$M$15:$M$35,"Индекс эффективности операционных расходов"),0)</f>
        <v>1</v>
      </c>
      <c r="O699" s="300"/>
      <c r="P699" s="537"/>
      <c r="Q699" s="428">
        <f>IFERROR(SUMIFS(INDEX(ЭЭ!$O$15:$AL$27,,MATCH($F699&amp;"Принято органом регулирования",ЭЭ!$O$3:$AL$3,0)),ЭЭ!$A$15:$A$27,$A699,ЭЭ!$M$15:$M$27,"Удельный расход электроэнергии"),0)</f>
        <v>1.4750000000000001</v>
      </c>
      <c r="R699" s="537"/>
      <c r="S699" s="537"/>
      <c r="T699" s="428">
        <f>IFERROR(SUMIFS(INDEX(ЭЭ!$O$15:$AL$27,,MATCH($F699&amp;"Принято органом регулирования",ЭЭ!$O$3:$AL$3,0)),ЭЭ!$A$15:$A$27,$A699,ЭЭ!$M$15:$M$27,"Удельный расход электроэнергии"),0)</f>
        <v>1.4750000000000001</v>
      </c>
      <c r="U699" s="428">
        <f>IFERROR(SUMIFS(INDEX(ЭЭ!$O$15:$AL$27,,MATCH($F699&amp;"Принято органом регулирования",ЭЭ!$O$3:$AL$3,0)),ЭЭ!$A$15:$A$27,$A699,ЭЭ!$M$15:$M$27,"Удельный расход электроэнергии"),0)</f>
        <v>1.4750000000000001</v>
      </c>
      <c r="V699" s="656"/>
    </row>
    <row r="700" spans="1:22" s="104" customFormat="1" ht="15" customHeight="1" outlineLevel="1">
      <c r="A700" s="104" t="str">
        <f t="shared" si="135"/>
        <v>1</v>
      </c>
      <c r="F700" s="104">
        <f>first_year+1</f>
        <v>2025</v>
      </c>
      <c r="G700" s="104" t="b">
        <f t="shared" si="136"/>
        <v>1</v>
      </c>
      <c r="L700" s="299" t="str">
        <f t="shared" si="137"/>
        <v>2025 год</v>
      </c>
      <c r="M700" s="666"/>
      <c r="N700" s="428">
        <f>IFERROR(SUMIFS(INDEX(Сценарии!$O$15:$AP$35,,MATCH(F700&amp;"Принято органом регулирования",Сценарии!$O$3:$AP$3,0)),Сценарии!$A$15:$A$35,A700,Сценарии!$M$15:$M$35,"Индекс эффективности операционных расходов"),0)</f>
        <v>0</v>
      </c>
      <c r="O700" s="300"/>
      <c r="P700" s="537"/>
      <c r="Q700" s="428">
        <f>IFERROR(SUMIFS(INDEX(ЭЭ!$O$15:$AL$27,,MATCH($F700&amp;"Принято органом регулирования",ЭЭ!$O$3:$AL$3,0)),ЭЭ!$A$15:$A$27,$A700,ЭЭ!$M$15:$M$27,"Удельный расход электроэнергии"),0)</f>
        <v>1.4750000000000001</v>
      </c>
      <c r="R700" s="537"/>
      <c r="S700" s="537"/>
      <c r="T700" s="428">
        <f>IFERROR(SUMIFS(INDEX(ЭЭ!$O$15:$AL$27,,MATCH($F700&amp;"Принято органом регулирования",ЭЭ!$O$3:$AL$3,0)),ЭЭ!$A$15:$A$27,$A700,ЭЭ!$M$15:$M$27,"Удельный расход электроэнергии"),0)</f>
        <v>1.4750000000000001</v>
      </c>
      <c r="U700" s="428">
        <f>IFERROR(SUMIFS(INDEX(ЭЭ!$O$15:$AL$27,,MATCH($F700&amp;"Принято органом регулирования",ЭЭ!$O$3:$AL$3,0)),ЭЭ!$A$15:$A$27,$A700,ЭЭ!$M$15:$M$27,"Удельный расход электроэнергии"),0)</f>
        <v>1.4750000000000001</v>
      </c>
      <c r="V700" s="656"/>
    </row>
    <row r="701" spans="1:22" s="104" customFormat="1" ht="15" customHeight="1" outlineLevel="1">
      <c r="A701" s="104" t="str">
        <f t="shared" si="135"/>
        <v>1</v>
      </c>
      <c r="F701" s="104">
        <f>first_year+2</f>
        <v>2026</v>
      </c>
      <c r="G701" s="104" t="b">
        <f t="shared" si="136"/>
        <v>1</v>
      </c>
      <c r="L701" s="299" t="str">
        <f t="shared" si="137"/>
        <v>2026 год</v>
      </c>
      <c r="M701" s="666"/>
      <c r="N701" s="428">
        <f>IFERROR(SUMIFS(INDEX(Сценарии!$O$15:$AP$35,,MATCH(F701&amp;"Принято органом регулирования",Сценарии!$O$3:$AP$3,0)),Сценарии!$A$15:$A$35,A701,Сценарии!$M$15:$M$35,"Индекс эффективности операционных расходов"),0)</f>
        <v>0</v>
      </c>
      <c r="O701" s="300"/>
      <c r="P701" s="537"/>
      <c r="Q701" s="428">
        <f>IFERROR(SUMIFS(INDEX(ЭЭ!$O$15:$AL$27,,MATCH($F701&amp;"Принято органом регулирования",ЭЭ!$O$3:$AL$3,0)),ЭЭ!$A$15:$A$27,$A701,ЭЭ!$M$15:$M$27,"Удельный расход электроэнергии"),0)</f>
        <v>1.4750000000000001</v>
      </c>
      <c r="R701" s="537"/>
      <c r="S701" s="537"/>
      <c r="T701" s="428">
        <f>IFERROR(SUMIFS(INDEX(ЭЭ!$O$15:$AL$27,,MATCH($F701&amp;"Принято органом регулирования",ЭЭ!$O$3:$AL$3,0)),ЭЭ!$A$15:$A$27,$A701,ЭЭ!$M$15:$M$27,"Удельный расход электроэнергии"),0)</f>
        <v>1.4750000000000001</v>
      </c>
      <c r="U701" s="428">
        <f>IFERROR(SUMIFS(INDEX(ЭЭ!$O$15:$AL$27,,MATCH($F701&amp;"Принято органом регулирования",ЭЭ!$O$3:$AL$3,0)),ЭЭ!$A$15:$A$27,$A701,ЭЭ!$M$15:$M$27,"Удельный расход электроэнергии"),0)</f>
        <v>1.4750000000000001</v>
      </c>
      <c r="V701" s="656"/>
    </row>
    <row r="702" spans="1:22" s="104" customFormat="1" ht="15" customHeight="1" outlineLevel="1">
      <c r="A702" s="104" t="str">
        <f t="shared" si="135"/>
        <v>1</v>
      </c>
      <c r="F702" s="104">
        <f>first_year+3</f>
        <v>2027</v>
      </c>
      <c r="G702" s="104" t="b">
        <f t="shared" si="136"/>
        <v>1</v>
      </c>
      <c r="L702" s="299" t="str">
        <f t="shared" si="137"/>
        <v>2027 год</v>
      </c>
      <c r="M702" s="666"/>
      <c r="N702" s="428">
        <f>IFERROR(SUMIFS(INDEX(Сценарии!$O$15:$AP$35,,MATCH(F702&amp;"Принято органом регулирования",Сценарии!$O$3:$AP$3,0)),Сценарии!$A$15:$A$35,A702,Сценарии!$M$15:$M$35,"Индекс эффективности операционных расходов"),0)</f>
        <v>0</v>
      </c>
      <c r="O702" s="300"/>
      <c r="P702" s="537"/>
      <c r="Q702" s="428">
        <f>IFERROR(SUMIFS(INDEX(ЭЭ!$O$15:$AL$27,,MATCH($F702&amp;"Принято органом регулирования",ЭЭ!$O$3:$AL$3,0)),ЭЭ!$A$15:$A$27,$A702,ЭЭ!$M$15:$M$27,"Удельный расход электроэнергии"),0)</f>
        <v>1.4750000000000001</v>
      </c>
      <c r="R702" s="537"/>
      <c r="S702" s="537"/>
      <c r="T702" s="428">
        <f>IFERROR(SUMIFS(INDEX(ЭЭ!$O$15:$AL$27,,MATCH($F702&amp;"Принято органом регулирования",ЭЭ!$O$3:$AL$3,0)),ЭЭ!$A$15:$A$27,$A702,ЭЭ!$M$15:$M$27,"Удельный расход электроэнергии"),0)</f>
        <v>1.4750000000000001</v>
      </c>
      <c r="U702" s="428">
        <f>IFERROR(SUMIFS(INDEX(ЭЭ!$O$15:$AL$27,,MATCH($F702&amp;"Принято органом регулирования",ЭЭ!$O$3:$AL$3,0)),ЭЭ!$A$15:$A$27,$A702,ЭЭ!$M$15:$M$27,"Удельный расход электроэнергии"),0)</f>
        <v>1.4750000000000001</v>
      </c>
      <c r="V702" s="656"/>
    </row>
    <row r="703" spans="1:22" s="104" customFormat="1" ht="15" customHeight="1" outlineLevel="1">
      <c r="A703" s="104" t="str">
        <f t="shared" si="135"/>
        <v>1</v>
      </c>
      <c r="F703" s="104">
        <f>first_year+4</f>
        <v>2028</v>
      </c>
      <c r="G703" s="104" t="b">
        <f t="shared" si="136"/>
        <v>1</v>
      </c>
      <c r="L703" s="299" t="str">
        <f t="shared" si="137"/>
        <v>2028 год</v>
      </c>
      <c r="M703" s="666"/>
      <c r="N703" s="428">
        <f>IFERROR(SUMIFS(INDEX(Сценарии!$O$15:$AP$35,,MATCH(F703&amp;"Принято органом регулирования",Сценарии!$O$3:$AP$3,0)),Сценарии!$A$15:$A$35,A703,Сценарии!$M$15:$M$35,"Индекс эффективности операционных расходов"),0)</f>
        <v>0</v>
      </c>
      <c r="O703" s="300"/>
      <c r="P703" s="537"/>
      <c r="Q703" s="428">
        <f>IFERROR(SUMIFS(INDEX(ЭЭ!$O$15:$AL$27,,MATCH($F703&amp;"Принято органом регулирования",ЭЭ!$O$3:$AL$3,0)),ЭЭ!$A$15:$A$27,$A703,ЭЭ!$M$15:$M$27,"Удельный расход электроэнергии"),0)</f>
        <v>1.4750000000000001</v>
      </c>
      <c r="R703" s="537"/>
      <c r="S703" s="537"/>
      <c r="T703" s="428">
        <f>IFERROR(SUMIFS(INDEX(ЭЭ!$O$15:$AL$27,,MATCH($F703&amp;"Принято органом регулирования",ЭЭ!$O$3:$AL$3,0)),ЭЭ!$A$15:$A$27,$A703,ЭЭ!$M$15:$M$27,"Удельный расход электроэнергии"),0)</f>
        <v>1.4750000000000001</v>
      </c>
      <c r="U703" s="428">
        <f>IFERROR(SUMIFS(INDEX(ЭЭ!$O$15:$AL$27,,MATCH($F703&amp;"Принято органом регулирования",ЭЭ!$O$3:$AL$3,0)),ЭЭ!$A$15:$A$27,$A703,ЭЭ!$M$15:$M$27,"Удельный расход электроэнергии"),0)</f>
        <v>1.4750000000000001</v>
      </c>
      <c r="V703" s="656"/>
    </row>
    <row r="704" spans="1:22" s="104" customFormat="1" ht="15" customHeight="1" outlineLevel="1">
      <c r="A704" s="104" t="str">
        <f t="shared" si="135"/>
        <v>1</v>
      </c>
      <c r="F704" s="104">
        <f>first_year+5</f>
        <v>2029</v>
      </c>
      <c r="G704" s="104" t="b">
        <f t="shared" si="136"/>
        <v>0</v>
      </c>
      <c r="L704" s="299" t="str">
        <f t="shared" si="137"/>
        <v>2029 год</v>
      </c>
      <c r="M704" s="666"/>
      <c r="N704" s="428">
        <f>IFERROR(SUMIFS(INDEX(Сценарии!$O$15:$AP$35,,MATCH(F704&amp;"Принято органом регулирования",Сценарии!$O$3:$AP$3,0)),Сценарии!$A$15:$A$35,A704,Сценарии!$M$15:$M$35,"Индекс эффективности операционных расходов"),0)</f>
        <v>0</v>
      </c>
      <c r="O704" s="300"/>
      <c r="P704" s="537"/>
      <c r="Q704" s="428">
        <f>IFERROR(SUMIFS(INDEX(ЭЭ!$O$15:$AL$27,,MATCH($F704&amp;"Принято органом регулирования",ЭЭ!$O$3:$AL$3,0)),ЭЭ!$A$15:$A$27,$A704,ЭЭ!$M$15:$M$27,"Удельный расход электроэнергии"),0)</f>
        <v>0</v>
      </c>
      <c r="R704" s="537"/>
      <c r="S704" s="537"/>
      <c r="T704" s="428">
        <f>IFERROR(SUMIFS(INDEX(ЭЭ!$O$15:$AL$27,,MATCH($F704&amp;"Принято органом регулирования",ЭЭ!$O$3:$AL$3,0)),ЭЭ!$A$15:$A$27,$A704,ЭЭ!$M$15:$M$27,"Удельный расход электроэнергии"),0)</f>
        <v>0</v>
      </c>
      <c r="U704" s="428">
        <f>IFERROR(SUMIFS(INDEX(ЭЭ!$O$15:$AL$27,,MATCH($F704&amp;"Принято органом регулирования",ЭЭ!$O$3:$AL$3,0)),ЭЭ!$A$15:$A$27,$A704,ЭЭ!$M$15:$M$27,"Удельный расход электроэнергии"),0)</f>
        <v>0</v>
      </c>
      <c r="V704" s="656"/>
    </row>
    <row r="705" spans="1:22" s="104" customFormat="1" ht="15" customHeight="1" outlineLevel="1">
      <c r="A705" s="104" t="str">
        <f t="shared" si="135"/>
        <v>1</v>
      </c>
      <c r="F705" s="104">
        <f>first_year+6</f>
        <v>2030</v>
      </c>
      <c r="G705" s="104" t="b">
        <f t="shared" si="136"/>
        <v>0</v>
      </c>
      <c r="L705" s="299" t="str">
        <f t="shared" si="137"/>
        <v>2030 год</v>
      </c>
      <c r="M705" s="666"/>
      <c r="N705" s="428">
        <f>IFERROR(SUMIFS(INDEX(Сценарии!$O$15:$AP$35,,MATCH(F705&amp;"Принято органом регулирования",Сценарии!$O$3:$AP$3,0)),Сценарии!$A$15:$A$35,A705,Сценарии!$M$15:$M$35,"Индекс эффективности операционных расходов"),0)</f>
        <v>0</v>
      </c>
      <c r="O705" s="300"/>
      <c r="P705" s="537"/>
      <c r="Q705" s="428">
        <f>IFERROR(SUMIFS(INDEX(ЭЭ!$O$15:$AL$27,,MATCH($F705&amp;"Принято органом регулирования",ЭЭ!$O$3:$AL$3,0)),ЭЭ!$A$15:$A$27,$A705,ЭЭ!$M$15:$M$27,"Удельный расход электроэнергии"),0)</f>
        <v>0</v>
      </c>
      <c r="R705" s="537"/>
      <c r="S705" s="537"/>
      <c r="T705" s="428">
        <f>IFERROR(SUMIFS(INDEX(ЭЭ!$O$15:$AL$27,,MATCH($F705&amp;"Принято органом регулирования",ЭЭ!$O$3:$AL$3,0)),ЭЭ!$A$15:$A$27,$A705,ЭЭ!$M$15:$M$27,"Удельный расход электроэнергии"),0)</f>
        <v>0</v>
      </c>
      <c r="U705" s="428">
        <f>IFERROR(SUMIFS(INDEX(ЭЭ!$O$15:$AL$27,,MATCH($F705&amp;"Принято органом регулирования",ЭЭ!$O$3:$AL$3,0)),ЭЭ!$A$15:$A$27,$A705,ЭЭ!$M$15:$M$27,"Удельный расход электроэнергии"),0)</f>
        <v>0</v>
      </c>
      <c r="V705" s="656"/>
    </row>
    <row r="706" spans="1:22" s="104" customFormat="1" ht="15" customHeight="1" outlineLevel="1">
      <c r="A706" s="104" t="str">
        <f t="shared" si="135"/>
        <v>1</v>
      </c>
      <c r="F706" s="104">
        <f>first_year+7</f>
        <v>2031</v>
      </c>
      <c r="G706" s="104" t="b">
        <f t="shared" si="136"/>
        <v>0</v>
      </c>
      <c r="L706" s="299" t="str">
        <f t="shared" si="137"/>
        <v>2031 год</v>
      </c>
      <c r="M706" s="666"/>
      <c r="N706" s="428">
        <f>IFERROR(SUMIFS(INDEX(Сценарии!$O$15:$AP$35,,MATCH(F706&amp;"Принято органом регулирования",Сценарии!$O$3:$AP$3,0)),Сценарии!$A$15:$A$35,A706,Сценарии!$M$15:$M$35,"Индекс эффективности операционных расходов"),0)</f>
        <v>0</v>
      </c>
      <c r="O706" s="300"/>
      <c r="P706" s="537"/>
      <c r="Q706" s="428">
        <f>IFERROR(SUMIFS(INDEX(ЭЭ!$O$15:$AL$27,,MATCH($F706&amp;"Принято органом регулирования",ЭЭ!$O$3:$AL$3,0)),ЭЭ!$A$15:$A$27,$A706,ЭЭ!$M$15:$M$27,"Удельный расход электроэнергии"),0)</f>
        <v>0</v>
      </c>
      <c r="R706" s="537"/>
      <c r="S706" s="537"/>
      <c r="T706" s="428">
        <f>IFERROR(SUMIFS(INDEX(ЭЭ!$O$15:$AL$27,,MATCH($F706&amp;"Принято органом регулирования",ЭЭ!$O$3:$AL$3,0)),ЭЭ!$A$15:$A$27,$A706,ЭЭ!$M$15:$M$27,"Удельный расход электроэнергии"),0)</f>
        <v>0</v>
      </c>
      <c r="U706" s="428">
        <f>IFERROR(SUMIFS(INDEX(ЭЭ!$O$15:$AL$27,,MATCH($F706&amp;"Принято органом регулирования",ЭЭ!$O$3:$AL$3,0)),ЭЭ!$A$15:$A$27,$A706,ЭЭ!$M$15:$M$27,"Удельный расход электроэнергии"),0)</f>
        <v>0</v>
      </c>
      <c r="V706" s="656"/>
    </row>
    <row r="707" spans="1:22" s="104" customFormat="1" ht="15" customHeight="1" outlineLevel="1">
      <c r="A707" s="104" t="str">
        <f t="shared" si="135"/>
        <v>1</v>
      </c>
      <c r="F707" s="104">
        <f>first_year+8</f>
        <v>2032</v>
      </c>
      <c r="G707" s="104" t="b">
        <f t="shared" si="136"/>
        <v>0</v>
      </c>
      <c r="L707" s="299" t="str">
        <f t="shared" si="137"/>
        <v>2032 год</v>
      </c>
      <c r="M707" s="666"/>
      <c r="N707" s="428">
        <f>IFERROR(SUMIFS(INDEX(Сценарии!$O$15:$AP$35,,MATCH(F707&amp;"Принято органом регулирования",Сценарии!$O$3:$AP$3,0)),Сценарии!$A$15:$A$35,A707,Сценарии!$M$15:$M$35,"Индекс эффективности операционных расходов"),0)</f>
        <v>0</v>
      </c>
      <c r="O707" s="300"/>
      <c r="P707" s="537"/>
      <c r="Q707" s="428">
        <f>IFERROR(SUMIFS(INDEX(ЭЭ!$O$15:$AL$27,,MATCH($F707&amp;"Принято органом регулирования",ЭЭ!$O$3:$AL$3,0)),ЭЭ!$A$15:$A$27,$A707,ЭЭ!$M$15:$M$27,"Удельный расход электроэнергии"),0)</f>
        <v>0</v>
      </c>
      <c r="R707" s="537"/>
      <c r="S707" s="537"/>
      <c r="T707" s="428">
        <f>IFERROR(SUMIFS(INDEX(ЭЭ!$O$15:$AL$27,,MATCH($F707&amp;"Принято органом регулирования",ЭЭ!$O$3:$AL$3,0)),ЭЭ!$A$15:$A$27,$A707,ЭЭ!$M$15:$M$27,"Удельный расход электроэнергии"),0)</f>
        <v>0</v>
      </c>
      <c r="U707" s="428">
        <f>IFERROR(SUMIFS(INDEX(ЭЭ!$O$15:$AL$27,,MATCH($F707&amp;"Принято органом регулирования",ЭЭ!$O$3:$AL$3,0)),ЭЭ!$A$15:$A$27,$A707,ЭЭ!$M$15:$M$27,"Удельный расход электроэнергии"),0)</f>
        <v>0</v>
      </c>
      <c r="V707" s="656"/>
    </row>
    <row r="708" spans="1:22" s="104" customFormat="1" ht="15" customHeight="1" outlineLevel="1">
      <c r="A708" s="104" t="str">
        <f t="shared" si="135"/>
        <v>1</v>
      </c>
      <c r="F708" s="104">
        <f>first_year+9</f>
        <v>2033</v>
      </c>
      <c r="G708" s="104" t="b">
        <f t="shared" ref="G708:G747" si="138">F708&lt;first_year+PERIOD_LENGTH</f>
        <v>0</v>
      </c>
      <c r="L708" s="299" t="str">
        <f t="shared" ref="L708:L747" si="139">F708&amp; " год"</f>
        <v>2033 год</v>
      </c>
      <c r="M708" s="666"/>
      <c r="N708" s="428">
        <f>IFERROR(SUMIFS(INDEX(Сценарии!$O$15:$AP$35,,MATCH(F708&amp;"Принято органом регулирования",Сценарии!$O$3:$AP$3,0)),Сценарии!$A$15:$A$35,A708,Сценарии!$M$15:$M$35,"Индекс эффективности операционных расходов"),0)</f>
        <v>0</v>
      </c>
      <c r="O708" s="300"/>
      <c r="P708" s="537"/>
      <c r="Q708" s="428">
        <f>IFERROR(SUMIFS(INDEX(ЭЭ!$O$15:$AL$27,,MATCH($F708&amp;"Принято органом регулирования",ЭЭ!$O$3:$AL$3,0)),ЭЭ!$A$15:$A$27,$A708,ЭЭ!$M$15:$M$27,"Удельный расход электроэнергии"),0)</f>
        <v>0</v>
      </c>
      <c r="R708" s="537"/>
      <c r="S708" s="537"/>
      <c r="T708" s="428">
        <f>IFERROR(SUMIFS(INDEX(ЭЭ!$O$15:$AL$27,,MATCH($F708&amp;"Принято органом регулирования",ЭЭ!$O$3:$AL$3,0)),ЭЭ!$A$15:$A$27,$A708,ЭЭ!$M$15:$M$27,"Удельный расход электроэнергии"),0)</f>
        <v>0</v>
      </c>
      <c r="U708" s="428">
        <f>IFERROR(SUMIFS(INDEX(ЭЭ!$O$15:$AL$27,,MATCH($F708&amp;"Принято органом регулирования",ЭЭ!$O$3:$AL$3,0)),ЭЭ!$A$15:$A$27,$A708,ЭЭ!$M$15:$M$27,"Удельный расход электроэнергии"),0)</f>
        <v>0</v>
      </c>
      <c r="V708" s="656"/>
    </row>
    <row r="709" spans="1:22" s="104" customFormat="1" ht="15" customHeight="1" outlineLevel="1">
      <c r="A709" s="104" t="str">
        <f t="shared" si="135"/>
        <v>1</v>
      </c>
      <c r="F709" s="104">
        <f>first_year+10</f>
        <v>2034</v>
      </c>
      <c r="G709" s="104" t="b">
        <f t="shared" si="138"/>
        <v>0</v>
      </c>
      <c r="L709" s="299" t="str">
        <f t="shared" si="139"/>
        <v>2034 год</v>
      </c>
      <c r="M709" s="666"/>
      <c r="N709" s="428"/>
      <c r="O709" s="300"/>
      <c r="P709" s="537"/>
      <c r="Q709" s="428"/>
      <c r="R709" s="537"/>
      <c r="S709" s="537"/>
      <c r="T709" s="428"/>
      <c r="U709" s="428"/>
      <c r="V709" s="656"/>
    </row>
    <row r="710" spans="1:22" s="104" customFormat="1" ht="15" customHeight="1" outlineLevel="1">
      <c r="A710" s="104" t="str">
        <f t="shared" si="135"/>
        <v>1</v>
      </c>
      <c r="F710" s="104">
        <f>first_year+11</f>
        <v>2035</v>
      </c>
      <c r="G710" s="104" t="b">
        <f t="shared" si="138"/>
        <v>0</v>
      </c>
      <c r="L710" s="299" t="str">
        <f t="shared" si="139"/>
        <v>2035 год</v>
      </c>
      <c r="M710" s="666"/>
      <c r="N710" s="428"/>
      <c r="O710" s="300"/>
      <c r="P710" s="537"/>
      <c r="Q710" s="428"/>
      <c r="R710" s="537"/>
      <c r="S710" s="537"/>
      <c r="T710" s="428"/>
      <c r="U710" s="428"/>
      <c r="V710" s="656"/>
    </row>
    <row r="711" spans="1:22" s="104" customFormat="1" ht="15" customHeight="1" outlineLevel="1">
      <c r="A711" s="104" t="str">
        <f t="shared" si="135"/>
        <v>1</v>
      </c>
      <c r="F711" s="104">
        <f>first_year+12</f>
        <v>2036</v>
      </c>
      <c r="G711" s="104" t="b">
        <f t="shared" si="138"/>
        <v>0</v>
      </c>
      <c r="L711" s="299" t="str">
        <f t="shared" si="139"/>
        <v>2036 год</v>
      </c>
      <c r="M711" s="666"/>
      <c r="N711" s="428"/>
      <c r="O711" s="300"/>
      <c r="P711" s="537"/>
      <c r="Q711" s="428"/>
      <c r="R711" s="537"/>
      <c r="S711" s="537"/>
      <c r="T711" s="428"/>
      <c r="U711" s="428"/>
      <c r="V711" s="656"/>
    </row>
    <row r="712" spans="1:22" s="104" customFormat="1" ht="15" customHeight="1" outlineLevel="1">
      <c r="A712" s="104" t="str">
        <f t="shared" si="135"/>
        <v>1</v>
      </c>
      <c r="F712" s="104">
        <f>first_year+13</f>
        <v>2037</v>
      </c>
      <c r="G712" s="104" t="b">
        <f t="shared" si="138"/>
        <v>0</v>
      </c>
      <c r="L712" s="299" t="str">
        <f t="shared" si="139"/>
        <v>2037 год</v>
      </c>
      <c r="M712" s="666"/>
      <c r="N712" s="428"/>
      <c r="O712" s="300"/>
      <c r="P712" s="537"/>
      <c r="Q712" s="428"/>
      <c r="R712" s="537"/>
      <c r="S712" s="537"/>
      <c r="T712" s="428"/>
      <c r="U712" s="428"/>
      <c r="V712" s="656"/>
    </row>
    <row r="713" spans="1:22" s="104" customFormat="1" ht="15" customHeight="1" outlineLevel="1">
      <c r="A713" s="104" t="str">
        <f t="shared" si="135"/>
        <v>1</v>
      </c>
      <c r="F713" s="104">
        <f>first_year+14</f>
        <v>2038</v>
      </c>
      <c r="G713" s="104" t="b">
        <f t="shared" si="138"/>
        <v>0</v>
      </c>
      <c r="L713" s="299" t="str">
        <f t="shared" si="139"/>
        <v>2038 год</v>
      </c>
      <c r="M713" s="666"/>
      <c r="N713" s="428"/>
      <c r="O713" s="300"/>
      <c r="P713" s="537"/>
      <c r="Q713" s="428"/>
      <c r="R713" s="537"/>
      <c r="S713" s="537"/>
      <c r="T713" s="428"/>
      <c r="U713" s="428"/>
      <c r="V713" s="656"/>
    </row>
    <row r="714" spans="1:22" s="104" customFormat="1" ht="15" customHeight="1" outlineLevel="1">
      <c r="A714" s="104" t="str">
        <f t="shared" si="135"/>
        <v>1</v>
      </c>
      <c r="F714" s="104">
        <f>first_year+15</f>
        <v>2039</v>
      </c>
      <c r="G714" s="104" t="b">
        <f t="shared" si="138"/>
        <v>0</v>
      </c>
      <c r="L714" s="299" t="str">
        <f t="shared" si="139"/>
        <v>2039 год</v>
      </c>
      <c r="M714" s="666"/>
      <c r="N714" s="428"/>
      <c r="O714" s="300"/>
      <c r="P714" s="537"/>
      <c r="Q714" s="428"/>
      <c r="R714" s="537"/>
      <c r="S714" s="537"/>
      <c r="T714" s="428"/>
      <c r="U714" s="428"/>
      <c r="V714" s="656"/>
    </row>
    <row r="715" spans="1:22" s="104" customFormat="1" ht="15" customHeight="1" outlineLevel="1">
      <c r="A715" s="104" t="str">
        <f t="shared" si="135"/>
        <v>1</v>
      </c>
      <c r="F715" s="104">
        <f>first_year+16</f>
        <v>2040</v>
      </c>
      <c r="G715" s="104" t="b">
        <f t="shared" si="138"/>
        <v>0</v>
      </c>
      <c r="L715" s="299" t="str">
        <f t="shared" si="139"/>
        <v>2040 год</v>
      </c>
      <c r="M715" s="666"/>
      <c r="N715" s="428"/>
      <c r="O715" s="300"/>
      <c r="P715" s="537"/>
      <c r="Q715" s="428"/>
      <c r="R715" s="537"/>
      <c r="S715" s="537"/>
      <c r="T715" s="428"/>
      <c r="U715" s="428"/>
      <c r="V715" s="656"/>
    </row>
    <row r="716" spans="1:22" s="104" customFormat="1" ht="15" customHeight="1" outlineLevel="1">
      <c r="A716" s="104" t="str">
        <f t="shared" si="135"/>
        <v>1</v>
      </c>
      <c r="F716" s="104">
        <f>first_year+17</f>
        <v>2041</v>
      </c>
      <c r="G716" s="104" t="b">
        <f t="shared" si="138"/>
        <v>0</v>
      </c>
      <c r="L716" s="299" t="str">
        <f t="shared" si="139"/>
        <v>2041 год</v>
      </c>
      <c r="M716" s="666"/>
      <c r="N716" s="428"/>
      <c r="O716" s="300"/>
      <c r="P716" s="537"/>
      <c r="Q716" s="428"/>
      <c r="R716" s="537"/>
      <c r="S716" s="537"/>
      <c r="T716" s="428"/>
      <c r="U716" s="428"/>
      <c r="V716" s="656"/>
    </row>
    <row r="717" spans="1:22" s="104" customFormat="1" ht="15" customHeight="1" outlineLevel="1">
      <c r="A717" s="104" t="str">
        <f t="shared" si="135"/>
        <v>1</v>
      </c>
      <c r="F717" s="104">
        <f>first_year+18</f>
        <v>2042</v>
      </c>
      <c r="G717" s="104" t="b">
        <f t="shared" si="138"/>
        <v>0</v>
      </c>
      <c r="L717" s="299" t="str">
        <f t="shared" si="139"/>
        <v>2042 год</v>
      </c>
      <c r="M717" s="666"/>
      <c r="N717" s="428"/>
      <c r="O717" s="300"/>
      <c r="P717" s="537"/>
      <c r="Q717" s="428"/>
      <c r="R717" s="537"/>
      <c r="S717" s="537"/>
      <c r="T717" s="428"/>
      <c r="U717" s="428"/>
      <c r="V717" s="656"/>
    </row>
    <row r="718" spans="1:22" s="104" customFormat="1" ht="15" customHeight="1" outlineLevel="1">
      <c r="A718" s="104" t="str">
        <f t="shared" si="135"/>
        <v>1</v>
      </c>
      <c r="F718" s="104">
        <f>first_year+19</f>
        <v>2043</v>
      </c>
      <c r="G718" s="104" t="b">
        <f t="shared" si="138"/>
        <v>0</v>
      </c>
      <c r="L718" s="299" t="str">
        <f t="shared" si="139"/>
        <v>2043 год</v>
      </c>
      <c r="M718" s="666"/>
      <c r="N718" s="428"/>
      <c r="O718" s="300"/>
      <c r="P718" s="537"/>
      <c r="Q718" s="428"/>
      <c r="R718" s="537"/>
      <c r="S718" s="537"/>
      <c r="T718" s="428"/>
      <c r="U718" s="428"/>
      <c r="V718" s="656"/>
    </row>
    <row r="719" spans="1:22" s="104" customFormat="1" ht="15" customHeight="1" outlineLevel="1">
      <c r="A719" s="104" t="str">
        <f t="shared" si="135"/>
        <v>1</v>
      </c>
      <c r="F719" s="104">
        <f>first_year+20</f>
        <v>2044</v>
      </c>
      <c r="G719" s="104" t="b">
        <f t="shared" si="138"/>
        <v>0</v>
      </c>
      <c r="L719" s="299" t="str">
        <f t="shared" si="139"/>
        <v>2044 год</v>
      </c>
      <c r="M719" s="666"/>
      <c r="N719" s="428"/>
      <c r="O719" s="300"/>
      <c r="P719" s="537"/>
      <c r="Q719" s="428"/>
      <c r="R719" s="537"/>
      <c r="S719" s="537"/>
      <c r="T719" s="428"/>
      <c r="U719" s="428"/>
      <c r="V719" s="656"/>
    </row>
    <row r="720" spans="1:22" s="104" customFormat="1" ht="15" customHeight="1" outlineLevel="1">
      <c r="A720" s="104" t="str">
        <f t="shared" si="135"/>
        <v>1</v>
      </c>
      <c r="F720" s="104">
        <f>first_year+21</f>
        <v>2045</v>
      </c>
      <c r="G720" s="104" t="b">
        <f t="shared" si="138"/>
        <v>0</v>
      </c>
      <c r="L720" s="299" t="str">
        <f t="shared" si="139"/>
        <v>2045 год</v>
      </c>
      <c r="M720" s="666"/>
      <c r="N720" s="428"/>
      <c r="O720" s="300"/>
      <c r="P720" s="537"/>
      <c r="Q720" s="428"/>
      <c r="R720" s="537"/>
      <c r="S720" s="537"/>
      <c r="T720" s="428"/>
      <c r="U720" s="428"/>
      <c r="V720" s="656"/>
    </row>
    <row r="721" spans="1:22" s="104" customFormat="1" ht="15" customHeight="1" outlineLevel="1">
      <c r="A721" s="104" t="str">
        <f t="shared" si="135"/>
        <v>1</v>
      </c>
      <c r="F721" s="104">
        <f>first_year+22</f>
        <v>2046</v>
      </c>
      <c r="G721" s="104" t="b">
        <f t="shared" si="138"/>
        <v>0</v>
      </c>
      <c r="L721" s="299" t="str">
        <f t="shared" si="139"/>
        <v>2046 год</v>
      </c>
      <c r="M721" s="666"/>
      <c r="N721" s="428"/>
      <c r="O721" s="300"/>
      <c r="P721" s="537"/>
      <c r="Q721" s="428"/>
      <c r="R721" s="537"/>
      <c r="S721" s="537"/>
      <c r="T721" s="428"/>
      <c r="U721" s="428"/>
      <c r="V721" s="656"/>
    </row>
    <row r="722" spans="1:22" s="104" customFormat="1" ht="15" customHeight="1" outlineLevel="1">
      <c r="A722" s="104" t="str">
        <f t="shared" si="135"/>
        <v>1</v>
      </c>
      <c r="F722" s="104">
        <f>first_year+23</f>
        <v>2047</v>
      </c>
      <c r="G722" s="104" t="b">
        <f t="shared" si="138"/>
        <v>0</v>
      </c>
      <c r="L722" s="299" t="str">
        <f t="shared" si="139"/>
        <v>2047 год</v>
      </c>
      <c r="M722" s="666"/>
      <c r="N722" s="428"/>
      <c r="O722" s="300"/>
      <c r="P722" s="537"/>
      <c r="Q722" s="428"/>
      <c r="R722" s="537"/>
      <c r="S722" s="537"/>
      <c r="T722" s="428"/>
      <c r="U722" s="428"/>
      <c r="V722" s="656"/>
    </row>
    <row r="723" spans="1:22" s="104" customFormat="1" ht="15" customHeight="1" outlineLevel="1">
      <c r="A723" s="104" t="str">
        <f t="shared" si="135"/>
        <v>1</v>
      </c>
      <c r="F723" s="104">
        <f>first_year+24</f>
        <v>2048</v>
      </c>
      <c r="G723" s="104" t="b">
        <f t="shared" si="138"/>
        <v>0</v>
      </c>
      <c r="L723" s="299" t="str">
        <f t="shared" si="139"/>
        <v>2048 год</v>
      </c>
      <c r="M723" s="666"/>
      <c r="N723" s="428"/>
      <c r="O723" s="300"/>
      <c r="P723" s="537"/>
      <c r="Q723" s="428"/>
      <c r="R723" s="537"/>
      <c r="S723" s="537"/>
      <c r="T723" s="428"/>
      <c r="U723" s="428"/>
      <c r="V723" s="656"/>
    </row>
    <row r="724" spans="1:22" s="104" customFormat="1" ht="15" customHeight="1" outlineLevel="1">
      <c r="A724" s="104" t="str">
        <f t="shared" si="135"/>
        <v>1</v>
      </c>
      <c r="F724" s="104">
        <f>first_year+25</f>
        <v>2049</v>
      </c>
      <c r="G724" s="104" t="b">
        <f t="shared" si="138"/>
        <v>0</v>
      </c>
      <c r="L724" s="299" t="str">
        <f t="shared" si="139"/>
        <v>2049 год</v>
      </c>
      <c r="M724" s="666"/>
      <c r="N724" s="428"/>
      <c r="O724" s="300"/>
      <c r="P724" s="537"/>
      <c r="Q724" s="428"/>
      <c r="R724" s="537"/>
      <c r="S724" s="537"/>
      <c r="T724" s="428"/>
      <c r="U724" s="428"/>
      <c r="V724" s="656"/>
    </row>
    <row r="725" spans="1:22" s="104" customFormat="1" ht="15" customHeight="1" outlineLevel="1">
      <c r="A725" s="104" t="str">
        <f t="shared" si="135"/>
        <v>1</v>
      </c>
      <c r="F725" s="104">
        <f>first_year+26</f>
        <v>2050</v>
      </c>
      <c r="G725" s="104" t="b">
        <f t="shared" si="138"/>
        <v>0</v>
      </c>
      <c r="L725" s="299" t="str">
        <f t="shared" si="139"/>
        <v>2050 год</v>
      </c>
      <c r="M725" s="666"/>
      <c r="N725" s="428"/>
      <c r="O725" s="300"/>
      <c r="P725" s="537"/>
      <c r="Q725" s="428"/>
      <c r="R725" s="537"/>
      <c r="S725" s="537"/>
      <c r="T725" s="428"/>
      <c r="U725" s="428"/>
      <c r="V725" s="656"/>
    </row>
    <row r="726" spans="1:22" s="104" customFormat="1" ht="15" customHeight="1" outlineLevel="1">
      <c r="A726" s="104" t="str">
        <f t="shared" si="135"/>
        <v>1</v>
      </c>
      <c r="F726" s="104">
        <f>first_year+27</f>
        <v>2051</v>
      </c>
      <c r="G726" s="104" t="b">
        <f t="shared" si="138"/>
        <v>0</v>
      </c>
      <c r="L726" s="299" t="str">
        <f t="shared" si="139"/>
        <v>2051 год</v>
      </c>
      <c r="M726" s="666"/>
      <c r="N726" s="428"/>
      <c r="O726" s="300"/>
      <c r="P726" s="537"/>
      <c r="Q726" s="428"/>
      <c r="R726" s="537"/>
      <c r="S726" s="537"/>
      <c r="T726" s="428"/>
      <c r="U726" s="428"/>
      <c r="V726" s="656"/>
    </row>
    <row r="727" spans="1:22" s="104" customFormat="1" ht="15" customHeight="1" outlineLevel="1">
      <c r="A727" s="104" t="str">
        <f t="shared" si="135"/>
        <v>1</v>
      </c>
      <c r="F727" s="104">
        <f>first_year+28</f>
        <v>2052</v>
      </c>
      <c r="G727" s="104" t="b">
        <f t="shared" si="138"/>
        <v>0</v>
      </c>
      <c r="L727" s="299" t="str">
        <f t="shared" si="139"/>
        <v>2052 год</v>
      </c>
      <c r="M727" s="666"/>
      <c r="N727" s="428"/>
      <c r="O727" s="300"/>
      <c r="P727" s="537"/>
      <c r="Q727" s="428"/>
      <c r="R727" s="537"/>
      <c r="S727" s="537"/>
      <c r="T727" s="428"/>
      <c r="U727" s="428"/>
      <c r="V727" s="656"/>
    </row>
    <row r="728" spans="1:22" s="104" customFormat="1" ht="15" customHeight="1" outlineLevel="1">
      <c r="A728" s="104" t="str">
        <f t="shared" si="135"/>
        <v>1</v>
      </c>
      <c r="F728" s="104">
        <f>first_year+29</f>
        <v>2053</v>
      </c>
      <c r="G728" s="104" t="b">
        <f t="shared" si="138"/>
        <v>0</v>
      </c>
      <c r="L728" s="299" t="str">
        <f t="shared" si="139"/>
        <v>2053 год</v>
      </c>
      <c r="M728" s="666"/>
      <c r="N728" s="428"/>
      <c r="O728" s="300"/>
      <c r="P728" s="537"/>
      <c r="Q728" s="428"/>
      <c r="R728" s="537"/>
      <c r="S728" s="537"/>
      <c r="T728" s="428"/>
      <c r="U728" s="428"/>
      <c r="V728" s="656"/>
    </row>
    <row r="729" spans="1:22" s="104" customFormat="1" ht="15" customHeight="1" outlineLevel="1">
      <c r="A729" s="104" t="str">
        <f t="shared" si="135"/>
        <v>1</v>
      </c>
      <c r="F729" s="104">
        <f>first_year+30</f>
        <v>2054</v>
      </c>
      <c r="G729" s="104" t="b">
        <f t="shared" si="138"/>
        <v>0</v>
      </c>
      <c r="L729" s="299" t="str">
        <f t="shared" si="139"/>
        <v>2054 год</v>
      </c>
      <c r="M729" s="666"/>
      <c r="N729" s="428"/>
      <c r="O729" s="300"/>
      <c r="P729" s="537"/>
      <c r="Q729" s="428"/>
      <c r="R729" s="537"/>
      <c r="S729" s="537"/>
      <c r="T729" s="428"/>
      <c r="U729" s="428"/>
      <c r="V729" s="656"/>
    </row>
    <row r="730" spans="1:22" s="104" customFormat="1" ht="15" customHeight="1" outlineLevel="1">
      <c r="A730" s="104" t="str">
        <f t="shared" si="135"/>
        <v>1</v>
      </c>
      <c r="F730" s="104">
        <f>first_year+31</f>
        <v>2055</v>
      </c>
      <c r="G730" s="104" t="b">
        <f t="shared" si="138"/>
        <v>0</v>
      </c>
      <c r="L730" s="299" t="str">
        <f t="shared" si="139"/>
        <v>2055 год</v>
      </c>
      <c r="M730" s="666"/>
      <c r="N730" s="428"/>
      <c r="O730" s="300"/>
      <c r="P730" s="537"/>
      <c r="Q730" s="428"/>
      <c r="R730" s="537"/>
      <c r="S730" s="537"/>
      <c r="T730" s="428"/>
      <c r="U730" s="428"/>
      <c r="V730" s="656"/>
    </row>
    <row r="731" spans="1:22" s="104" customFormat="1" ht="15" customHeight="1" outlineLevel="1">
      <c r="A731" s="104" t="str">
        <f t="shared" si="135"/>
        <v>1</v>
      </c>
      <c r="F731" s="104">
        <f>first_year+32</f>
        <v>2056</v>
      </c>
      <c r="G731" s="104" t="b">
        <f t="shared" si="138"/>
        <v>0</v>
      </c>
      <c r="L731" s="299" t="str">
        <f t="shared" si="139"/>
        <v>2056 год</v>
      </c>
      <c r="M731" s="666"/>
      <c r="N731" s="428"/>
      <c r="O731" s="300"/>
      <c r="P731" s="537"/>
      <c r="Q731" s="428"/>
      <c r="R731" s="537"/>
      <c r="S731" s="537"/>
      <c r="T731" s="428"/>
      <c r="U731" s="428"/>
      <c r="V731" s="656"/>
    </row>
    <row r="732" spans="1:22" s="104" customFormat="1" ht="15" customHeight="1" outlineLevel="1">
      <c r="A732" s="104" t="str">
        <f t="shared" si="135"/>
        <v>1</v>
      </c>
      <c r="F732" s="104">
        <f>first_year+33</f>
        <v>2057</v>
      </c>
      <c r="G732" s="104" t="b">
        <f t="shared" si="138"/>
        <v>0</v>
      </c>
      <c r="L732" s="299" t="str">
        <f t="shared" si="139"/>
        <v>2057 год</v>
      </c>
      <c r="M732" s="666"/>
      <c r="N732" s="428"/>
      <c r="O732" s="300"/>
      <c r="P732" s="537"/>
      <c r="Q732" s="428"/>
      <c r="R732" s="537"/>
      <c r="S732" s="537"/>
      <c r="T732" s="428"/>
      <c r="U732" s="428"/>
      <c r="V732" s="656"/>
    </row>
    <row r="733" spans="1:22" s="104" customFormat="1" ht="15" customHeight="1" outlineLevel="1">
      <c r="A733" s="104" t="str">
        <f t="shared" si="135"/>
        <v>1</v>
      </c>
      <c r="F733" s="104">
        <f>first_year+34</f>
        <v>2058</v>
      </c>
      <c r="G733" s="104" t="b">
        <f t="shared" si="138"/>
        <v>0</v>
      </c>
      <c r="L733" s="299" t="str">
        <f t="shared" si="139"/>
        <v>2058 год</v>
      </c>
      <c r="M733" s="666"/>
      <c r="N733" s="428"/>
      <c r="O733" s="300"/>
      <c r="P733" s="537"/>
      <c r="Q733" s="428"/>
      <c r="R733" s="537"/>
      <c r="S733" s="537"/>
      <c r="T733" s="428"/>
      <c r="U733" s="428"/>
      <c r="V733" s="656"/>
    </row>
    <row r="734" spans="1:22" s="104" customFormat="1" ht="15" customHeight="1" outlineLevel="1">
      <c r="A734" s="104" t="str">
        <f t="shared" si="135"/>
        <v>1</v>
      </c>
      <c r="F734" s="104">
        <f>first_year+35</f>
        <v>2059</v>
      </c>
      <c r="G734" s="104" t="b">
        <f t="shared" si="138"/>
        <v>0</v>
      </c>
      <c r="L734" s="299" t="str">
        <f t="shared" si="139"/>
        <v>2059 год</v>
      </c>
      <c r="M734" s="666"/>
      <c r="N734" s="428"/>
      <c r="O734" s="300"/>
      <c r="P734" s="537"/>
      <c r="Q734" s="428"/>
      <c r="R734" s="537"/>
      <c r="S734" s="537"/>
      <c r="T734" s="428"/>
      <c r="U734" s="428"/>
      <c r="V734" s="656"/>
    </row>
    <row r="735" spans="1:22" s="104" customFormat="1" ht="15" customHeight="1" outlineLevel="1">
      <c r="A735" s="104" t="str">
        <f t="shared" si="135"/>
        <v>1</v>
      </c>
      <c r="F735" s="104">
        <f>first_year+36</f>
        <v>2060</v>
      </c>
      <c r="G735" s="104" t="b">
        <f t="shared" si="138"/>
        <v>0</v>
      </c>
      <c r="L735" s="299" t="str">
        <f t="shared" si="139"/>
        <v>2060 год</v>
      </c>
      <c r="M735" s="666"/>
      <c r="N735" s="428"/>
      <c r="O735" s="300"/>
      <c r="P735" s="537"/>
      <c r="Q735" s="428"/>
      <c r="R735" s="537"/>
      <c r="S735" s="537"/>
      <c r="T735" s="428"/>
      <c r="U735" s="428"/>
      <c r="V735" s="656"/>
    </row>
    <row r="736" spans="1:22" s="104" customFormat="1" ht="15" customHeight="1" outlineLevel="1">
      <c r="A736" s="104" t="str">
        <f t="shared" si="135"/>
        <v>1</v>
      </c>
      <c r="F736" s="104">
        <f>first_year+37</f>
        <v>2061</v>
      </c>
      <c r="G736" s="104" t="b">
        <f t="shared" si="138"/>
        <v>0</v>
      </c>
      <c r="L736" s="299" t="str">
        <f t="shared" si="139"/>
        <v>2061 год</v>
      </c>
      <c r="M736" s="666"/>
      <c r="N736" s="428"/>
      <c r="O736" s="300"/>
      <c r="P736" s="537"/>
      <c r="Q736" s="428"/>
      <c r="R736" s="537"/>
      <c r="S736" s="537"/>
      <c r="T736" s="428"/>
      <c r="U736" s="428"/>
      <c r="V736" s="656"/>
    </row>
    <row r="737" spans="1:27" s="104" customFormat="1" ht="15" customHeight="1" outlineLevel="1">
      <c r="A737" s="104" t="str">
        <f t="shared" si="135"/>
        <v>1</v>
      </c>
      <c r="F737" s="104">
        <f>first_year+38</f>
        <v>2062</v>
      </c>
      <c r="G737" s="104" t="b">
        <f t="shared" si="138"/>
        <v>0</v>
      </c>
      <c r="L737" s="299" t="str">
        <f t="shared" si="139"/>
        <v>2062 год</v>
      </c>
      <c r="M737" s="666"/>
      <c r="N737" s="428"/>
      <c r="O737" s="300"/>
      <c r="P737" s="537"/>
      <c r="Q737" s="428"/>
      <c r="R737" s="537"/>
      <c r="S737" s="537"/>
      <c r="T737" s="428"/>
      <c r="U737" s="428"/>
      <c r="V737" s="656"/>
    </row>
    <row r="738" spans="1:27" s="104" customFormat="1" ht="15" customHeight="1" outlineLevel="1">
      <c r="A738" s="104" t="str">
        <f t="shared" si="135"/>
        <v>1</v>
      </c>
      <c r="F738" s="104">
        <f>first_year+39</f>
        <v>2063</v>
      </c>
      <c r="G738" s="104" t="b">
        <f t="shared" si="138"/>
        <v>0</v>
      </c>
      <c r="L738" s="299" t="str">
        <f t="shared" si="139"/>
        <v>2063 год</v>
      </c>
      <c r="M738" s="666"/>
      <c r="N738" s="428"/>
      <c r="O738" s="300"/>
      <c r="P738" s="537"/>
      <c r="Q738" s="428"/>
      <c r="R738" s="537"/>
      <c r="S738" s="537"/>
      <c r="T738" s="428"/>
      <c r="U738" s="428"/>
      <c r="V738" s="656"/>
    </row>
    <row r="739" spans="1:27" s="104" customFormat="1" ht="15" customHeight="1" outlineLevel="1">
      <c r="A739" s="104" t="str">
        <f t="shared" si="135"/>
        <v>1</v>
      </c>
      <c r="F739" s="104">
        <f>first_year+40</f>
        <v>2064</v>
      </c>
      <c r="G739" s="104" t="b">
        <f t="shared" si="138"/>
        <v>0</v>
      </c>
      <c r="L739" s="299" t="str">
        <f t="shared" si="139"/>
        <v>2064 год</v>
      </c>
      <c r="M739" s="666"/>
      <c r="N739" s="428"/>
      <c r="O739" s="300"/>
      <c r="P739" s="537"/>
      <c r="Q739" s="428"/>
      <c r="R739" s="537"/>
      <c r="S739" s="537"/>
      <c r="T739" s="428"/>
      <c r="U739" s="428"/>
      <c r="V739" s="656"/>
    </row>
    <row r="740" spans="1:27" s="104" customFormat="1" ht="15" customHeight="1" outlineLevel="1">
      <c r="A740" s="104" t="str">
        <f t="shared" si="135"/>
        <v>1</v>
      </c>
      <c r="F740" s="104">
        <f>first_year+41</f>
        <v>2065</v>
      </c>
      <c r="G740" s="104" t="b">
        <f t="shared" si="138"/>
        <v>0</v>
      </c>
      <c r="L740" s="299" t="str">
        <f t="shared" si="139"/>
        <v>2065 год</v>
      </c>
      <c r="M740" s="666"/>
      <c r="N740" s="428"/>
      <c r="O740" s="300"/>
      <c r="P740" s="537"/>
      <c r="Q740" s="428"/>
      <c r="R740" s="537"/>
      <c r="S740" s="537"/>
      <c r="T740" s="428"/>
      <c r="U740" s="428"/>
      <c r="V740" s="656"/>
    </row>
    <row r="741" spans="1:27" s="104" customFormat="1" ht="15" customHeight="1" outlineLevel="1">
      <c r="A741" s="104" t="str">
        <f t="shared" si="135"/>
        <v>1</v>
      </c>
      <c r="F741" s="104">
        <f>first_year+42</f>
        <v>2066</v>
      </c>
      <c r="G741" s="104" t="b">
        <f t="shared" si="138"/>
        <v>0</v>
      </c>
      <c r="L741" s="299" t="str">
        <f t="shared" si="139"/>
        <v>2066 год</v>
      </c>
      <c r="M741" s="666"/>
      <c r="N741" s="428"/>
      <c r="O741" s="300"/>
      <c r="P741" s="537"/>
      <c r="Q741" s="428"/>
      <c r="R741" s="537"/>
      <c r="S741" s="537"/>
      <c r="T741" s="428"/>
      <c r="U741" s="428"/>
      <c r="V741" s="656"/>
    </row>
    <row r="742" spans="1:27" s="104" customFormat="1" ht="15" customHeight="1" outlineLevel="1">
      <c r="A742" s="104" t="str">
        <f t="shared" si="135"/>
        <v>1</v>
      </c>
      <c r="F742" s="104">
        <f>first_year+43</f>
        <v>2067</v>
      </c>
      <c r="G742" s="104" t="b">
        <f t="shared" si="138"/>
        <v>0</v>
      </c>
      <c r="L742" s="299" t="str">
        <f t="shared" si="139"/>
        <v>2067 год</v>
      </c>
      <c r="M742" s="666"/>
      <c r="N742" s="428"/>
      <c r="O742" s="300"/>
      <c r="P742" s="537"/>
      <c r="Q742" s="428"/>
      <c r="R742" s="537"/>
      <c r="S742" s="537"/>
      <c r="T742" s="428"/>
      <c r="U742" s="428"/>
      <c r="V742" s="656"/>
    </row>
    <row r="743" spans="1:27" s="104" customFormat="1" ht="15" customHeight="1" outlineLevel="1">
      <c r="A743" s="104" t="str">
        <f t="shared" si="135"/>
        <v>1</v>
      </c>
      <c r="F743" s="104">
        <f>first_year+44</f>
        <v>2068</v>
      </c>
      <c r="G743" s="104" t="b">
        <f t="shared" si="138"/>
        <v>0</v>
      </c>
      <c r="L743" s="299" t="str">
        <f t="shared" si="139"/>
        <v>2068 год</v>
      </c>
      <c r="M743" s="666"/>
      <c r="N743" s="428"/>
      <c r="O743" s="300"/>
      <c r="P743" s="537"/>
      <c r="Q743" s="428"/>
      <c r="R743" s="537"/>
      <c r="S743" s="537"/>
      <c r="T743" s="428"/>
      <c r="U743" s="428"/>
      <c r="V743" s="656"/>
    </row>
    <row r="744" spans="1:27" s="104" customFormat="1" ht="15" customHeight="1" outlineLevel="1">
      <c r="A744" s="104" t="str">
        <f t="shared" si="135"/>
        <v>1</v>
      </c>
      <c r="F744" s="104">
        <f>first_year+45</f>
        <v>2069</v>
      </c>
      <c r="G744" s="104" t="b">
        <f t="shared" si="138"/>
        <v>0</v>
      </c>
      <c r="L744" s="299" t="str">
        <f t="shared" si="139"/>
        <v>2069 год</v>
      </c>
      <c r="M744" s="666"/>
      <c r="N744" s="428"/>
      <c r="O744" s="300"/>
      <c r="P744" s="537"/>
      <c r="Q744" s="428"/>
      <c r="R744" s="537"/>
      <c r="S744" s="537"/>
      <c r="T744" s="428"/>
      <c r="U744" s="428"/>
      <c r="V744" s="656"/>
    </row>
    <row r="745" spans="1:27" s="104" customFormat="1" ht="15" customHeight="1" outlineLevel="1">
      <c r="A745" s="104" t="str">
        <f t="shared" si="135"/>
        <v>1</v>
      </c>
      <c r="F745" s="104">
        <f>first_year+46</f>
        <v>2070</v>
      </c>
      <c r="G745" s="104" t="b">
        <f t="shared" si="138"/>
        <v>0</v>
      </c>
      <c r="L745" s="299" t="str">
        <f t="shared" si="139"/>
        <v>2070 год</v>
      </c>
      <c r="M745" s="666"/>
      <c r="N745" s="428"/>
      <c r="O745" s="300"/>
      <c r="P745" s="537"/>
      <c r="Q745" s="428"/>
      <c r="R745" s="537"/>
      <c r="S745" s="537"/>
      <c r="T745" s="428"/>
      <c r="U745" s="428"/>
      <c r="V745" s="656"/>
    </row>
    <row r="746" spans="1:27" s="104" customFormat="1" ht="15" customHeight="1" outlineLevel="1">
      <c r="A746" s="104" t="str">
        <f t="shared" si="135"/>
        <v>1</v>
      </c>
      <c r="F746" s="104">
        <f>first_year+47</f>
        <v>2071</v>
      </c>
      <c r="G746" s="104" t="b">
        <f t="shared" si="138"/>
        <v>0</v>
      </c>
      <c r="L746" s="299" t="str">
        <f t="shared" si="139"/>
        <v>2071 год</v>
      </c>
      <c r="M746" s="666"/>
      <c r="N746" s="428"/>
      <c r="O746" s="300"/>
      <c r="P746" s="537"/>
      <c r="Q746" s="428"/>
      <c r="R746" s="537"/>
      <c r="S746" s="537"/>
      <c r="T746" s="428"/>
      <c r="U746" s="428"/>
      <c r="V746" s="656"/>
    </row>
    <row r="747" spans="1:27" s="104" customFormat="1" ht="15" customHeight="1" outlineLevel="1">
      <c r="A747" s="104" t="str">
        <f t="shared" si="135"/>
        <v>1</v>
      </c>
      <c r="F747" s="104">
        <f>first_year+48</f>
        <v>2072</v>
      </c>
      <c r="G747" s="104" t="b">
        <f t="shared" si="138"/>
        <v>0</v>
      </c>
      <c r="L747" s="299" t="str">
        <f t="shared" si="139"/>
        <v>2072 год</v>
      </c>
      <c r="M747" s="666"/>
      <c r="N747" s="428"/>
      <c r="O747" s="300"/>
      <c r="P747" s="537"/>
      <c r="Q747" s="428"/>
      <c r="R747" s="537"/>
      <c r="S747" s="537"/>
      <c r="T747" s="428"/>
      <c r="U747" s="428"/>
      <c r="V747" s="656"/>
    </row>
    <row r="748" spans="1:27" s="104" customFormat="1" ht="15" customHeight="1" outlineLevel="1">
      <c r="A748" s="104" t="str">
        <f t="shared" si="135"/>
        <v>1</v>
      </c>
      <c r="F748" s="104">
        <f>first_year+49</f>
        <v>2073</v>
      </c>
      <c r="G748" s="104" t="b">
        <f>F748&lt;first_year+PERIOD_LENGTH</f>
        <v>0</v>
      </c>
      <c r="L748" s="299" t="str">
        <f>F748&amp; " год"</f>
        <v>2073 год</v>
      </c>
      <c r="M748" s="666"/>
      <c r="N748" s="428"/>
      <c r="O748" s="300"/>
      <c r="P748" s="537"/>
      <c r="Q748" s="428"/>
      <c r="R748" s="537"/>
      <c r="S748" s="537"/>
      <c r="T748" s="428"/>
      <c r="U748" s="428"/>
      <c r="V748" s="656"/>
    </row>
    <row r="750" spans="1:27" s="131" customFormat="1" ht="30" customHeight="1">
      <c r="A750" s="130" t="s">
        <v>1182</v>
      </c>
      <c r="M750" s="132"/>
      <c r="N750" s="132"/>
      <c r="O750" s="132"/>
      <c r="P750" s="132"/>
      <c r="AA750" s="133"/>
    </row>
    <row r="751" spans="1:27">
      <c r="A751" s="134" t="s">
        <v>1183</v>
      </c>
    </row>
    <row r="752" spans="1:27" s="101" customFormat="1" ht="15" customHeight="1">
      <c r="A752" s="172" t="s">
        <v>18</v>
      </c>
      <c r="L752" s="268" t="str">
        <f>INDEX('Общие сведения'!$J$114:$J$127,MATCH($A752,'Общие сведения'!$D$114:$D$127,0))</f>
        <v>Тариф 1 (Водоснабжение) - тариф на питьевую воду</v>
      </c>
      <c r="M752" s="269"/>
      <c r="N752" s="269"/>
      <c r="O752" s="269"/>
      <c r="P752" s="269"/>
      <c r="Q752" s="269"/>
      <c r="R752" s="269"/>
      <c r="S752" s="269"/>
      <c r="T752" s="269"/>
      <c r="U752" s="269"/>
      <c r="V752" s="655"/>
    </row>
    <row r="753" spans="1:22" s="104" customFormat="1" ht="15" customHeight="1" outlineLevel="1">
      <c r="A753" s="104" t="str">
        <f>A752</f>
        <v>1</v>
      </c>
      <c r="B753" s="104" t="str">
        <f>A753&amp;"pIns"</f>
        <v>1pIns</v>
      </c>
      <c r="L753" s="312" t="s">
        <v>352</v>
      </c>
      <c r="M753" s="418"/>
      <c r="N753" s="418"/>
      <c r="O753" s="418"/>
      <c r="P753" s="418"/>
      <c r="Q753" s="418"/>
      <c r="R753" s="418"/>
      <c r="S753" s="418"/>
      <c r="T753" s="418"/>
      <c r="U753" s="418"/>
      <c r="V753" s="656"/>
    </row>
    <row r="754" spans="1:22">
      <c r="A754" s="134" t="s">
        <v>1184</v>
      </c>
    </row>
    <row r="755" spans="1:22" s="101" customFormat="1" ht="15" customHeight="1" outlineLevel="1">
      <c r="A755" s="579" t="str">
        <f ca="1">OFFSET(B755,-1,-1)</f>
        <v>et_List18_block</v>
      </c>
      <c r="B755" s="628">
        <f>L755</f>
        <v>0</v>
      </c>
      <c r="K755" s="719" t="s">
        <v>264</v>
      </c>
      <c r="L755" s="724"/>
      <c r="M755" s="724"/>
      <c r="N755" s="724"/>
      <c r="O755" s="724"/>
      <c r="P755" s="724"/>
      <c r="Q755" s="724"/>
      <c r="R755" s="724"/>
      <c r="S755" s="724"/>
      <c r="T755" s="724"/>
      <c r="U755" s="725"/>
      <c r="V755" s="655"/>
    </row>
    <row r="756" spans="1:22" s="104" customFormat="1" ht="15" customHeight="1" outlineLevel="1">
      <c r="A756" s="579" t="str">
        <f t="shared" ref="A756:A805" ca="1" si="140">OFFSET(B756,-1,-1)</f>
        <v>et_List18_block</v>
      </c>
      <c r="B756" s="627">
        <f>B755</f>
        <v>0</v>
      </c>
      <c r="F756" s="104">
        <f>first_year</f>
        <v>2024</v>
      </c>
      <c r="G756" s="104" t="b">
        <f t="shared" ref="G756:G764" si="141">F756&lt;first_year+PERIOD_LENGTH</f>
        <v>1</v>
      </c>
      <c r="K756" s="719"/>
      <c r="L756" s="416" t="str">
        <f>F756&amp; " год"</f>
        <v>2024 год</v>
      </c>
      <c r="M756" s="417"/>
      <c r="N756" s="429"/>
      <c r="O756" s="417"/>
      <c r="P756" s="417"/>
      <c r="Q756" s="429"/>
      <c r="R756" s="417"/>
      <c r="S756" s="429"/>
      <c r="T756" s="417"/>
      <c r="U756" s="658"/>
      <c r="V756" s="656"/>
    </row>
    <row r="757" spans="1:22" s="104" customFormat="1" ht="15" customHeight="1" outlineLevel="1">
      <c r="A757" s="579" t="str">
        <f t="shared" ca="1" si="140"/>
        <v>et_List18_block</v>
      </c>
      <c r="B757" s="627">
        <f t="shared" ref="B757:B805" si="142">B756</f>
        <v>0</v>
      </c>
      <c r="F757" s="104">
        <f>first_year+1</f>
        <v>2025</v>
      </c>
      <c r="G757" s="104" t="b">
        <f t="shared" si="141"/>
        <v>1</v>
      </c>
      <c r="K757" s="719"/>
      <c r="L757" s="299" t="str">
        <f t="shared" ref="L757:L764" si="143">F757&amp; " год"</f>
        <v>2025 год</v>
      </c>
      <c r="M757" s="667"/>
      <c r="N757" s="429"/>
      <c r="O757" s="417"/>
      <c r="P757" s="417"/>
      <c r="Q757" s="429"/>
      <c r="R757" s="417"/>
      <c r="S757" s="429"/>
      <c r="T757" s="417"/>
      <c r="U757" s="658"/>
      <c r="V757" s="656"/>
    </row>
    <row r="758" spans="1:22" s="104" customFormat="1" ht="15" customHeight="1" outlineLevel="1">
      <c r="A758" s="579" t="str">
        <f t="shared" ca="1" si="140"/>
        <v>et_List18_block</v>
      </c>
      <c r="B758" s="627">
        <f t="shared" si="142"/>
        <v>0</v>
      </c>
      <c r="F758" s="104">
        <f>first_year+2</f>
        <v>2026</v>
      </c>
      <c r="G758" s="104" t="b">
        <f t="shared" si="141"/>
        <v>1</v>
      </c>
      <c r="K758" s="719"/>
      <c r="L758" s="299" t="str">
        <f t="shared" si="143"/>
        <v>2026 год</v>
      </c>
      <c r="M758" s="667"/>
      <c r="N758" s="429"/>
      <c r="O758" s="417"/>
      <c r="P758" s="417"/>
      <c r="Q758" s="429"/>
      <c r="R758" s="417"/>
      <c r="S758" s="429"/>
      <c r="T758" s="417"/>
      <c r="U758" s="658"/>
      <c r="V758" s="656"/>
    </row>
    <row r="759" spans="1:22" s="104" customFormat="1" ht="15" customHeight="1" outlineLevel="1">
      <c r="A759" s="579" t="str">
        <f t="shared" ca="1" si="140"/>
        <v>et_List18_block</v>
      </c>
      <c r="B759" s="627">
        <f t="shared" si="142"/>
        <v>0</v>
      </c>
      <c r="F759" s="104">
        <f>first_year+3</f>
        <v>2027</v>
      </c>
      <c r="G759" s="104" t="b">
        <f t="shared" si="141"/>
        <v>1</v>
      </c>
      <c r="K759" s="719"/>
      <c r="L759" s="299" t="str">
        <f t="shared" si="143"/>
        <v>2027 год</v>
      </c>
      <c r="M759" s="667"/>
      <c r="N759" s="429"/>
      <c r="O759" s="417"/>
      <c r="P759" s="417"/>
      <c r="Q759" s="429"/>
      <c r="R759" s="417"/>
      <c r="S759" s="429"/>
      <c r="T759" s="417"/>
      <c r="U759" s="658"/>
      <c r="V759" s="656"/>
    </row>
    <row r="760" spans="1:22" s="104" customFormat="1" ht="15" customHeight="1" outlineLevel="1">
      <c r="A760" s="579" t="str">
        <f t="shared" ca="1" si="140"/>
        <v>et_List18_block</v>
      </c>
      <c r="B760" s="627">
        <f t="shared" si="142"/>
        <v>0</v>
      </c>
      <c r="F760" s="104">
        <f>first_year+4</f>
        <v>2028</v>
      </c>
      <c r="G760" s="104" t="b">
        <f t="shared" si="141"/>
        <v>1</v>
      </c>
      <c r="K760" s="719"/>
      <c r="L760" s="299" t="str">
        <f t="shared" si="143"/>
        <v>2028 год</v>
      </c>
      <c r="M760" s="667"/>
      <c r="N760" s="429"/>
      <c r="O760" s="417"/>
      <c r="P760" s="417"/>
      <c r="Q760" s="429"/>
      <c r="R760" s="417"/>
      <c r="S760" s="429"/>
      <c r="T760" s="417"/>
      <c r="U760" s="658"/>
      <c r="V760" s="656"/>
    </row>
    <row r="761" spans="1:22" s="104" customFormat="1" ht="15" customHeight="1" outlineLevel="1">
      <c r="A761" s="579" t="str">
        <f t="shared" ca="1" si="140"/>
        <v>et_List18_block</v>
      </c>
      <c r="B761" s="627">
        <f t="shared" si="142"/>
        <v>0</v>
      </c>
      <c r="F761" s="104">
        <f>first_year+5</f>
        <v>2029</v>
      </c>
      <c r="G761" s="104" t="b">
        <f t="shared" si="141"/>
        <v>0</v>
      </c>
      <c r="K761" s="719"/>
      <c r="L761" s="299" t="str">
        <f t="shared" si="143"/>
        <v>2029 год</v>
      </c>
      <c r="M761" s="667"/>
      <c r="N761" s="429"/>
      <c r="O761" s="417"/>
      <c r="P761" s="417"/>
      <c r="Q761" s="429"/>
      <c r="R761" s="417"/>
      <c r="S761" s="429"/>
      <c r="T761" s="417"/>
      <c r="U761" s="658"/>
      <c r="V761" s="656"/>
    </row>
    <row r="762" spans="1:22" s="104" customFormat="1" ht="15" customHeight="1" outlineLevel="1">
      <c r="A762" s="579" t="str">
        <f t="shared" ca="1" si="140"/>
        <v>et_List18_block</v>
      </c>
      <c r="B762" s="627">
        <f t="shared" si="142"/>
        <v>0</v>
      </c>
      <c r="F762" s="104">
        <f>first_year+6</f>
        <v>2030</v>
      </c>
      <c r="G762" s="104" t="b">
        <f t="shared" si="141"/>
        <v>0</v>
      </c>
      <c r="K762" s="719"/>
      <c r="L762" s="299" t="str">
        <f t="shared" si="143"/>
        <v>2030 год</v>
      </c>
      <c r="M762" s="667"/>
      <c r="N762" s="429"/>
      <c r="O762" s="417"/>
      <c r="P762" s="417"/>
      <c r="Q762" s="429"/>
      <c r="R762" s="417"/>
      <c r="S762" s="429"/>
      <c r="T762" s="417"/>
      <c r="U762" s="658"/>
      <c r="V762" s="656"/>
    </row>
    <row r="763" spans="1:22" s="104" customFormat="1" ht="15" customHeight="1" outlineLevel="1">
      <c r="A763" s="579" t="str">
        <f t="shared" ca="1" si="140"/>
        <v>et_List18_block</v>
      </c>
      <c r="B763" s="627">
        <f t="shared" si="142"/>
        <v>0</v>
      </c>
      <c r="F763" s="104">
        <f>first_year+7</f>
        <v>2031</v>
      </c>
      <c r="G763" s="104" t="b">
        <f t="shared" si="141"/>
        <v>0</v>
      </c>
      <c r="K763" s="719"/>
      <c r="L763" s="299" t="str">
        <f t="shared" si="143"/>
        <v>2031 год</v>
      </c>
      <c r="M763" s="667"/>
      <c r="N763" s="429"/>
      <c r="O763" s="417"/>
      <c r="P763" s="417"/>
      <c r="Q763" s="429"/>
      <c r="R763" s="417"/>
      <c r="S763" s="429"/>
      <c r="T763" s="417"/>
      <c r="U763" s="658"/>
      <c r="V763" s="656"/>
    </row>
    <row r="764" spans="1:22" s="104" customFormat="1" ht="15" customHeight="1" outlineLevel="1">
      <c r="A764" s="579" t="str">
        <f t="shared" ca="1" si="140"/>
        <v>et_List18_block</v>
      </c>
      <c r="B764" s="627">
        <f t="shared" si="142"/>
        <v>0</v>
      </c>
      <c r="F764" s="104">
        <f>first_year+8</f>
        <v>2032</v>
      </c>
      <c r="G764" s="104" t="b">
        <f t="shared" si="141"/>
        <v>0</v>
      </c>
      <c r="K764" s="719"/>
      <c r="L764" s="299" t="str">
        <f t="shared" si="143"/>
        <v>2032 год</v>
      </c>
      <c r="M764" s="667"/>
      <c r="N764" s="429"/>
      <c r="O764" s="417"/>
      <c r="P764" s="417"/>
      <c r="Q764" s="429"/>
      <c r="R764" s="417"/>
      <c r="S764" s="429"/>
      <c r="T764" s="417"/>
      <c r="U764" s="658"/>
      <c r="V764" s="656"/>
    </row>
    <row r="765" spans="1:22" s="104" customFormat="1" ht="15" customHeight="1" outlineLevel="1">
      <c r="A765" s="579" t="str">
        <f t="shared" ca="1" si="140"/>
        <v>et_List18_block</v>
      </c>
      <c r="B765" s="627">
        <f t="shared" si="142"/>
        <v>0</v>
      </c>
      <c r="F765" s="104">
        <f>first_year+9</f>
        <v>2033</v>
      </c>
      <c r="G765" s="104" t="b">
        <f t="shared" ref="G765:G805" si="144">F765&lt;first_year+PERIOD_LENGTH</f>
        <v>0</v>
      </c>
      <c r="K765" s="719"/>
      <c r="L765" s="299" t="str">
        <f t="shared" ref="L765:L804" si="145">F765&amp; " год"</f>
        <v>2033 год</v>
      </c>
      <c r="M765" s="667"/>
      <c r="N765" s="429"/>
      <c r="O765" s="417"/>
      <c r="P765" s="417"/>
      <c r="Q765" s="429"/>
      <c r="R765" s="417"/>
      <c r="S765" s="429"/>
      <c r="T765" s="417"/>
      <c r="U765" s="658"/>
      <c r="V765" s="656"/>
    </row>
    <row r="766" spans="1:22" s="104" customFormat="1" ht="15" customHeight="1" outlineLevel="1">
      <c r="A766" s="579" t="str">
        <f t="shared" ca="1" si="140"/>
        <v>et_List18_block</v>
      </c>
      <c r="B766" s="627">
        <f t="shared" si="142"/>
        <v>0</v>
      </c>
      <c r="F766" s="104">
        <f>first_year+10</f>
        <v>2034</v>
      </c>
      <c r="G766" s="104" t="b">
        <f t="shared" si="144"/>
        <v>0</v>
      </c>
      <c r="K766" s="719"/>
      <c r="L766" s="299" t="str">
        <f t="shared" si="145"/>
        <v>2034 год</v>
      </c>
      <c r="M766" s="667"/>
      <c r="N766" s="429"/>
      <c r="O766" s="417"/>
      <c r="P766" s="417"/>
      <c r="Q766" s="429"/>
      <c r="R766" s="417"/>
      <c r="S766" s="429"/>
      <c r="T766" s="417"/>
      <c r="U766" s="658"/>
      <c r="V766" s="656"/>
    </row>
    <row r="767" spans="1:22" s="104" customFormat="1" ht="15" customHeight="1" outlineLevel="1">
      <c r="A767" s="579" t="str">
        <f t="shared" ca="1" si="140"/>
        <v>et_List18_block</v>
      </c>
      <c r="B767" s="627">
        <f t="shared" si="142"/>
        <v>0</v>
      </c>
      <c r="F767" s="104">
        <f>first_year+11</f>
        <v>2035</v>
      </c>
      <c r="G767" s="104" t="b">
        <f t="shared" si="144"/>
        <v>0</v>
      </c>
      <c r="K767" s="719"/>
      <c r="L767" s="299" t="str">
        <f t="shared" si="145"/>
        <v>2035 год</v>
      </c>
      <c r="M767" s="667"/>
      <c r="N767" s="429"/>
      <c r="O767" s="417"/>
      <c r="P767" s="417"/>
      <c r="Q767" s="429"/>
      <c r="R767" s="417"/>
      <c r="S767" s="429"/>
      <c r="T767" s="417"/>
      <c r="U767" s="658"/>
      <c r="V767" s="656"/>
    </row>
    <row r="768" spans="1:22" s="104" customFormat="1" ht="15" customHeight="1" outlineLevel="1">
      <c r="A768" s="579" t="str">
        <f t="shared" ca="1" si="140"/>
        <v>et_List18_block</v>
      </c>
      <c r="B768" s="627">
        <f t="shared" si="142"/>
        <v>0</v>
      </c>
      <c r="F768" s="104">
        <f>first_year+12</f>
        <v>2036</v>
      </c>
      <c r="G768" s="104" t="b">
        <f t="shared" si="144"/>
        <v>0</v>
      </c>
      <c r="K768" s="719"/>
      <c r="L768" s="299" t="str">
        <f t="shared" si="145"/>
        <v>2036 год</v>
      </c>
      <c r="M768" s="667"/>
      <c r="N768" s="429"/>
      <c r="O768" s="417"/>
      <c r="P768" s="417"/>
      <c r="Q768" s="429"/>
      <c r="R768" s="417"/>
      <c r="S768" s="429"/>
      <c r="T768" s="417"/>
      <c r="U768" s="658"/>
      <c r="V768" s="656"/>
    </row>
    <row r="769" spans="1:22" s="104" customFormat="1" ht="15" customHeight="1" outlineLevel="1">
      <c r="A769" s="579" t="str">
        <f t="shared" ca="1" si="140"/>
        <v>et_List18_block</v>
      </c>
      <c r="B769" s="627">
        <f t="shared" si="142"/>
        <v>0</v>
      </c>
      <c r="F769" s="104">
        <f>first_year+13</f>
        <v>2037</v>
      </c>
      <c r="G769" s="104" t="b">
        <f t="shared" si="144"/>
        <v>0</v>
      </c>
      <c r="K769" s="719"/>
      <c r="L769" s="299" t="str">
        <f t="shared" si="145"/>
        <v>2037 год</v>
      </c>
      <c r="M769" s="667"/>
      <c r="N769" s="429"/>
      <c r="O769" s="417"/>
      <c r="P769" s="417"/>
      <c r="Q769" s="429"/>
      <c r="R769" s="417"/>
      <c r="S769" s="429"/>
      <c r="T769" s="417"/>
      <c r="U769" s="658"/>
      <c r="V769" s="656"/>
    </row>
    <row r="770" spans="1:22" s="104" customFormat="1" ht="15" customHeight="1" outlineLevel="1">
      <c r="A770" s="579" t="str">
        <f t="shared" ca="1" si="140"/>
        <v>et_List18_block</v>
      </c>
      <c r="B770" s="627">
        <f t="shared" si="142"/>
        <v>0</v>
      </c>
      <c r="F770" s="104">
        <f>first_year+14</f>
        <v>2038</v>
      </c>
      <c r="G770" s="104" t="b">
        <f t="shared" si="144"/>
        <v>0</v>
      </c>
      <c r="K770" s="719"/>
      <c r="L770" s="299" t="str">
        <f t="shared" si="145"/>
        <v>2038 год</v>
      </c>
      <c r="M770" s="667"/>
      <c r="N770" s="429"/>
      <c r="O770" s="417"/>
      <c r="P770" s="417"/>
      <c r="Q770" s="429"/>
      <c r="R770" s="417"/>
      <c r="S770" s="429"/>
      <c r="T770" s="417"/>
      <c r="U770" s="658"/>
      <c r="V770" s="656"/>
    </row>
    <row r="771" spans="1:22" s="104" customFormat="1" ht="15" customHeight="1" outlineLevel="1">
      <c r="A771" s="579" t="str">
        <f t="shared" ca="1" si="140"/>
        <v>et_List18_block</v>
      </c>
      <c r="B771" s="627">
        <f t="shared" si="142"/>
        <v>0</v>
      </c>
      <c r="F771" s="104">
        <f>first_year+15</f>
        <v>2039</v>
      </c>
      <c r="G771" s="104" t="b">
        <f t="shared" si="144"/>
        <v>0</v>
      </c>
      <c r="K771" s="719"/>
      <c r="L771" s="299" t="str">
        <f t="shared" si="145"/>
        <v>2039 год</v>
      </c>
      <c r="M771" s="667"/>
      <c r="N771" s="429"/>
      <c r="O771" s="417"/>
      <c r="P771" s="417"/>
      <c r="Q771" s="429"/>
      <c r="R771" s="417"/>
      <c r="S771" s="429"/>
      <c r="T771" s="417"/>
      <c r="U771" s="658"/>
      <c r="V771" s="656"/>
    </row>
    <row r="772" spans="1:22" s="104" customFormat="1" ht="15" customHeight="1" outlineLevel="1">
      <c r="A772" s="579" t="str">
        <f t="shared" ca="1" si="140"/>
        <v>et_List18_block</v>
      </c>
      <c r="B772" s="627">
        <f t="shared" si="142"/>
        <v>0</v>
      </c>
      <c r="F772" s="104">
        <f>first_year+16</f>
        <v>2040</v>
      </c>
      <c r="G772" s="104" t="b">
        <f t="shared" si="144"/>
        <v>0</v>
      </c>
      <c r="K772" s="719"/>
      <c r="L772" s="299" t="str">
        <f t="shared" si="145"/>
        <v>2040 год</v>
      </c>
      <c r="M772" s="667"/>
      <c r="N772" s="429"/>
      <c r="O772" s="417"/>
      <c r="P772" s="417"/>
      <c r="Q772" s="429"/>
      <c r="R772" s="417"/>
      <c r="S772" s="429"/>
      <c r="T772" s="417"/>
      <c r="U772" s="658"/>
      <c r="V772" s="656"/>
    </row>
    <row r="773" spans="1:22" s="104" customFormat="1" ht="15" customHeight="1" outlineLevel="1">
      <c r="A773" s="579" t="str">
        <f t="shared" ca="1" si="140"/>
        <v>et_List18_block</v>
      </c>
      <c r="B773" s="627">
        <f t="shared" si="142"/>
        <v>0</v>
      </c>
      <c r="F773" s="104">
        <f>first_year+17</f>
        <v>2041</v>
      </c>
      <c r="G773" s="104" t="b">
        <f t="shared" si="144"/>
        <v>0</v>
      </c>
      <c r="K773" s="719"/>
      <c r="L773" s="299" t="str">
        <f t="shared" si="145"/>
        <v>2041 год</v>
      </c>
      <c r="M773" s="667"/>
      <c r="N773" s="429"/>
      <c r="O773" s="417"/>
      <c r="P773" s="417"/>
      <c r="Q773" s="429"/>
      <c r="R773" s="417"/>
      <c r="S773" s="429"/>
      <c r="T773" s="417"/>
      <c r="U773" s="658"/>
      <c r="V773" s="656"/>
    </row>
    <row r="774" spans="1:22" s="104" customFormat="1" ht="15" customHeight="1" outlineLevel="1">
      <c r="A774" s="579" t="str">
        <f t="shared" ca="1" si="140"/>
        <v>et_List18_block</v>
      </c>
      <c r="B774" s="627">
        <f t="shared" si="142"/>
        <v>0</v>
      </c>
      <c r="F774" s="104">
        <f>first_year+18</f>
        <v>2042</v>
      </c>
      <c r="G774" s="104" t="b">
        <f t="shared" si="144"/>
        <v>0</v>
      </c>
      <c r="K774" s="719"/>
      <c r="L774" s="299" t="str">
        <f t="shared" si="145"/>
        <v>2042 год</v>
      </c>
      <c r="M774" s="667"/>
      <c r="N774" s="429"/>
      <c r="O774" s="417"/>
      <c r="P774" s="417"/>
      <c r="Q774" s="429"/>
      <c r="R774" s="417"/>
      <c r="S774" s="429"/>
      <c r="T774" s="417"/>
      <c r="U774" s="658"/>
      <c r="V774" s="656"/>
    </row>
    <row r="775" spans="1:22" s="104" customFormat="1" ht="15" customHeight="1" outlineLevel="1">
      <c r="A775" s="579" t="str">
        <f t="shared" ca="1" si="140"/>
        <v>et_List18_block</v>
      </c>
      <c r="B775" s="627">
        <f t="shared" si="142"/>
        <v>0</v>
      </c>
      <c r="F775" s="104">
        <f>first_year+19</f>
        <v>2043</v>
      </c>
      <c r="G775" s="104" t="b">
        <f t="shared" si="144"/>
        <v>0</v>
      </c>
      <c r="K775" s="719"/>
      <c r="L775" s="299" t="str">
        <f t="shared" si="145"/>
        <v>2043 год</v>
      </c>
      <c r="M775" s="667"/>
      <c r="N775" s="429"/>
      <c r="O775" s="417"/>
      <c r="P775" s="417"/>
      <c r="Q775" s="429"/>
      <c r="R775" s="417"/>
      <c r="S775" s="429"/>
      <c r="T775" s="417"/>
      <c r="U775" s="658"/>
      <c r="V775" s="656"/>
    </row>
    <row r="776" spans="1:22" s="104" customFormat="1" ht="15" customHeight="1" outlineLevel="1">
      <c r="A776" s="579" t="str">
        <f t="shared" ca="1" si="140"/>
        <v>et_List18_block</v>
      </c>
      <c r="B776" s="627">
        <f t="shared" si="142"/>
        <v>0</v>
      </c>
      <c r="F776" s="104">
        <f>first_year+20</f>
        <v>2044</v>
      </c>
      <c r="G776" s="104" t="b">
        <f t="shared" si="144"/>
        <v>0</v>
      </c>
      <c r="K776" s="719"/>
      <c r="L776" s="299" t="str">
        <f t="shared" si="145"/>
        <v>2044 год</v>
      </c>
      <c r="M776" s="667"/>
      <c r="N776" s="429"/>
      <c r="O776" s="417"/>
      <c r="P776" s="417"/>
      <c r="Q776" s="429"/>
      <c r="R776" s="417"/>
      <c r="S776" s="429"/>
      <c r="T776" s="417"/>
      <c r="U776" s="658"/>
      <c r="V776" s="656"/>
    </row>
    <row r="777" spans="1:22" s="104" customFormat="1" ht="15" customHeight="1" outlineLevel="1">
      <c r="A777" s="579" t="str">
        <f t="shared" ca="1" si="140"/>
        <v>et_List18_block</v>
      </c>
      <c r="B777" s="627">
        <f t="shared" si="142"/>
        <v>0</v>
      </c>
      <c r="F777" s="104">
        <f>first_year+21</f>
        <v>2045</v>
      </c>
      <c r="G777" s="104" t="b">
        <f t="shared" si="144"/>
        <v>0</v>
      </c>
      <c r="K777" s="719"/>
      <c r="L777" s="299" t="str">
        <f t="shared" si="145"/>
        <v>2045 год</v>
      </c>
      <c r="M777" s="667"/>
      <c r="N777" s="429"/>
      <c r="O777" s="417"/>
      <c r="P777" s="417"/>
      <c r="Q777" s="429"/>
      <c r="R777" s="417"/>
      <c r="S777" s="429"/>
      <c r="T777" s="417"/>
      <c r="U777" s="658"/>
      <c r="V777" s="656"/>
    </row>
    <row r="778" spans="1:22" s="104" customFormat="1" ht="15" customHeight="1" outlineLevel="1">
      <c r="A778" s="579" t="str">
        <f t="shared" ca="1" si="140"/>
        <v>et_List18_block</v>
      </c>
      <c r="B778" s="627">
        <f t="shared" si="142"/>
        <v>0</v>
      </c>
      <c r="F778" s="104">
        <f>first_year+22</f>
        <v>2046</v>
      </c>
      <c r="G778" s="104" t="b">
        <f t="shared" si="144"/>
        <v>0</v>
      </c>
      <c r="K778" s="719"/>
      <c r="L778" s="299" t="str">
        <f t="shared" si="145"/>
        <v>2046 год</v>
      </c>
      <c r="M778" s="667"/>
      <c r="N778" s="429"/>
      <c r="O778" s="417"/>
      <c r="P778" s="417"/>
      <c r="Q778" s="429"/>
      <c r="R778" s="417"/>
      <c r="S778" s="429"/>
      <c r="T778" s="417"/>
      <c r="U778" s="658"/>
      <c r="V778" s="656"/>
    </row>
    <row r="779" spans="1:22" s="104" customFormat="1" ht="15" customHeight="1" outlineLevel="1">
      <c r="A779" s="579" t="str">
        <f t="shared" ca="1" si="140"/>
        <v>et_List18_block</v>
      </c>
      <c r="B779" s="627">
        <f t="shared" si="142"/>
        <v>0</v>
      </c>
      <c r="F779" s="104">
        <f>first_year+23</f>
        <v>2047</v>
      </c>
      <c r="G779" s="104" t="b">
        <f t="shared" si="144"/>
        <v>0</v>
      </c>
      <c r="K779" s="719"/>
      <c r="L779" s="299" t="str">
        <f t="shared" si="145"/>
        <v>2047 год</v>
      </c>
      <c r="M779" s="667"/>
      <c r="N779" s="429"/>
      <c r="O779" s="417"/>
      <c r="P779" s="417"/>
      <c r="Q779" s="429"/>
      <c r="R779" s="417"/>
      <c r="S779" s="429"/>
      <c r="T779" s="417"/>
      <c r="U779" s="658"/>
      <c r="V779" s="656"/>
    </row>
    <row r="780" spans="1:22" s="104" customFormat="1" ht="15" customHeight="1" outlineLevel="1">
      <c r="A780" s="579" t="str">
        <f t="shared" ca="1" si="140"/>
        <v>et_List18_block</v>
      </c>
      <c r="B780" s="627">
        <f t="shared" si="142"/>
        <v>0</v>
      </c>
      <c r="F780" s="104">
        <f>first_year+24</f>
        <v>2048</v>
      </c>
      <c r="G780" s="104" t="b">
        <f t="shared" si="144"/>
        <v>0</v>
      </c>
      <c r="K780" s="719"/>
      <c r="L780" s="299" t="str">
        <f t="shared" si="145"/>
        <v>2048 год</v>
      </c>
      <c r="M780" s="667"/>
      <c r="N780" s="429"/>
      <c r="O780" s="417"/>
      <c r="P780" s="417"/>
      <c r="Q780" s="429"/>
      <c r="R780" s="417"/>
      <c r="S780" s="429"/>
      <c r="T780" s="417"/>
      <c r="U780" s="658"/>
      <c r="V780" s="656"/>
    </row>
    <row r="781" spans="1:22" s="104" customFormat="1" ht="15" customHeight="1" outlineLevel="1">
      <c r="A781" s="579" t="str">
        <f t="shared" ca="1" si="140"/>
        <v>et_List18_block</v>
      </c>
      <c r="B781" s="627">
        <f t="shared" si="142"/>
        <v>0</v>
      </c>
      <c r="F781" s="104">
        <f>first_year+25</f>
        <v>2049</v>
      </c>
      <c r="G781" s="104" t="b">
        <f t="shared" si="144"/>
        <v>0</v>
      </c>
      <c r="K781" s="719"/>
      <c r="L781" s="299" t="str">
        <f t="shared" si="145"/>
        <v>2049 год</v>
      </c>
      <c r="M781" s="667"/>
      <c r="N781" s="429"/>
      <c r="O781" s="417"/>
      <c r="P781" s="417"/>
      <c r="Q781" s="429"/>
      <c r="R781" s="417"/>
      <c r="S781" s="429"/>
      <c r="T781" s="417"/>
      <c r="U781" s="658"/>
      <c r="V781" s="656"/>
    </row>
    <row r="782" spans="1:22" s="104" customFormat="1" ht="15" customHeight="1" outlineLevel="1">
      <c r="A782" s="579" t="str">
        <f t="shared" ca="1" si="140"/>
        <v>et_List18_block</v>
      </c>
      <c r="B782" s="627">
        <f t="shared" si="142"/>
        <v>0</v>
      </c>
      <c r="F782" s="104">
        <f>first_year+26</f>
        <v>2050</v>
      </c>
      <c r="G782" s="104" t="b">
        <f t="shared" si="144"/>
        <v>0</v>
      </c>
      <c r="K782" s="719"/>
      <c r="L782" s="299" t="str">
        <f t="shared" si="145"/>
        <v>2050 год</v>
      </c>
      <c r="M782" s="667"/>
      <c r="N782" s="429"/>
      <c r="O782" s="417"/>
      <c r="P782" s="417"/>
      <c r="Q782" s="429"/>
      <c r="R782" s="417"/>
      <c r="S782" s="429"/>
      <c r="T782" s="417"/>
      <c r="U782" s="658"/>
      <c r="V782" s="656"/>
    </row>
    <row r="783" spans="1:22" s="104" customFormat="1" ht="15" customHeight="1" outlineLevel="1">
      <c r="A783" s="579" t="str">
        <f t="shared" ca="1" si="140"/>
        <v>et_List18_block</v>
      </c>
      <c r="B783" s="627">
        <f t="shared" si="142"/>
        <v>0</v>
      </c>
      <c r="F783" s="104">
        <f>first_year+27</f>
        <v>2051</v>
      </c>
      <c r="G783" s="104" t="b">
        <f t="shared" si="144"/>
        <v>0</v>
      </c>
      <c r="K783" s="719"/>
      <c r="L783" s="299" t="str">
        <f t="shared" si="145"/>
        <v>2051 год</v>
      </c>
      <c r="M783" s="667"/>
      <c r="N783" s="429"/>
      <c r="O783" s="417"/>
      <c r="P783" s="417"/>
      <c r="Q783" s="429"/>
      <c r="R783" s="417"/>
      <c r="S783" s="429"/>
      <c r="T783" s="417"/>
      <c r="U783" s="658"/>
      <c r="V783" s="656"/>
    </row>
    <row r="784" spans="1:22" s="104" customFormat="1" ht="15" customHeight="1" outlineLevel="1">
      <c r="A784" s="579" t="str">
        <f t="shared" ca="1" si="140"/>
        <v>et_List18_block</v>
      </c>
      <c r="B784" s="627">
        <f t="shared" si="142"/>
        <v>0</v>
      </c>
      <c r="F784" s="104">
        <f>first_year+28</f>
        <v>2052</v>
      </c>
      <c r="G784" s="104" t="b">
        <f t="shared" si="144"/>
        <v>0</v>
      </c>
      <c r="K784" s="719"/>
      <c r="L784" s="299" t="str">
        <f t="shared" si="145"/>
        <v>2052 год</v>
      </c>
      <c r="M784" s="667"/>
      <c r="N784" s="429"/>
      <c r="O784" s="417"/>
      <c r="P784" s="417"/>
      <c r="Q784" s="429"/>
      <c r="R784" s="417"/>
      <c r="S784" s="429"/>
      <c r="T784" s="417"/>
      <c r="U784" s="658"/>
      <c r="V784" s="656"/>
    </row>
    <row r="785" spans="1:22" s="104" customFormat="1" ht="15" customHeight="1" outlineLevel="1">
      <c r="A785" s="579" t="str">
        <f t="shared" ca="1" si="140"/>
        <v>et_List18_block</v>
      </c>
      <c r="B785" s="627">
        <f t="shared" si="142"/>
        <v>0</v>
      </c>
      <c r="F785" s="104">
        <f>first_year+29</f>
        <v>2053</v>
      </c>
      <c r="G785" s="104" t="b">
        <f t="shared" si="144"/>
        <v>0</v>
      </c>
      <c r="K785" s="719"/>
      <c r="L785" s="299" t="str">
        <f t="shared" si="145"/>
        <v>2053 год</v>
      </c>
      <c r="M785" s="667"/>
      <c r="N785" s="429"/>
      <c r="O785" s="417"/>
      <c r="P785" s="417"/>
      <c r="Q785" s="429"/>
      <c r="R785" s="417"/>
      <c r="S785" s="429"/>
      <c r="T785" s="417"/>
      <c r="U785" s="658"/>
      <c r="V785" s="656"/>
    </row>
    <row r="786" spans="1:22" s="104" customFormat="1" ht="15" customHeight="1" outlineLevel="1">
      <c r="A786" s="579" t="str">
        <f t="shared" ca="1" si="140"/>
        <v>et_List18_block</v>
      </c>
      <c r="B786" s="627">
        <f t="shared" si="142"/>
        <v>0</v>
      </c>
      <c r="F786" s="104">
        <f>first_year+30</f>
        <v>2054</v>
      </c>
      <c r="G786" s="104" t="b">
        <f t="shared" si="144"/>
        <v>0</v>
      </c>
      <c r="K786" s="719"/>
      <c r="L786" s="299" t="str">
        <f t="shared" si="145"/>
        <v>2054 год</v>
      </c>
      <c r="M786" s="667"/>
      <c r="N786" s="429"/>
      <c r="O786" s="417"/>
      <c r="P786" s="417"/>
      <c r="Q786" s="429"/>
      <c r="R786" s="417"/>
      <c r="S786" s="429"/>
      <c r="T786" s="417"/>
      <c r="U786" s="658"/>
      <c r="V786" s="656"/>
    </row>
    <row r="787" spans="1:22" s="104" customFormat="1" ht="15" customHeight="1" outlineLevel="1">
      <c r="A787" s="579" t="str">
        <f t="shared" ca="1" si="140"/>
        <v>et_List18_block</v>
      </c>
      <c r="B787" s="627">
        <f t="shared" si="142"/>
        <v>0</v>
      </c>
      <c r="F787" s="104">
        <f>first_year+31</f>
        <v>2055</v>
      </c>
      <c r="G787" s="104" t="b">
        <f t="shared" si="144"/>
        <v>0</v>
      </c>
      <c r="K787" s="719"/>
      <c r="L787" s="299" t="str">
        <f t="shared" si="145"/>
        <v>2055 год</v>
      </c>
      <c r="M787" s="667"/>
      <c r="N787" s="429"/>
      <c r="O787" s="417"/>
      <c r="P787" s="417"/>
      <c r="Q787" s="429"/>
      <c r="R787" s="417"/>
      <c r="S787" s="429"/>
      <c r="T787" s="417"/>
      <c r="U787" s="658"/>
      <c r="V787" s="656"/>
    </row>
    <row r="788" spans="1:22" s="104" customFormat="1" ht="15" customHeight="1" outlineLevel="1">
      <c r="A788" s="579" t="str">
        <f t="shared" ca="1" si="140"/>
        <v>et_List18_block</v>
      </c>
      <c r="B788" s="627">
        <f t="shared" si="142"/>
        <v>0</v>
      </c>
      <c r="F788" s="104">
        <f>first_year+32</f>
        <v>2056</v>
      </c>
      <c r="G788" s="104" t="b">
        <f t="shared" si="144"/>
        <v>0</v>
      </c>
      <c r="K788" s="719"/>
      <c r="L788" s="299" t="str">
        <f t="shared" si="145"/>
        <v>2056 год</v>
      </c>
      <c r="M788" s="667"/>
      <c r="N788" s="429"/>
      <c r="O788" s="417"/>
      <c r="P788" s="417"/>
      <c r="Q788" s="429"/>
      <c r="R788" s="417"/>
      <c r="S788" s="429"/>
      <c r="T788" s="417"/>
      <c r="U788" s="658"/>
      <c r="V788" s="656"/>
    </row>
    <row r="789" spans="1:22" s="104" customFormat="1" ht="15" customHeight="1" outlineLevel="1">
      <c r="A789" s="579" t="str">
        <f t="shared" ca="1" si="140"/>
        <v>et_List18_block</v>
      </c>
      <c r="B789" s="627">
        <f t="shared" si="142"/>
        <v>0</v>
      </c>
      <c r="F789" s="104">
        <f>first_year+33</f>
        <v>2057</v>
      </c>
      <c r="G789" s="104" t="b">
        <f t="shared" si="144"/>
        <v>0</v>
      </c>
      <c r="K789" s="719"/>
      <c r="L789" s="299" t="str">
        <f t="shared" si="145"/>
        <v>2057 год</v>
      </c>
      <c r="M789" s="667"/>
      <c r="N789" s="429"/>
      <c r="O789" s="417"/>
      <c r="P789" s="417"/>
      <c r="Q789" s="429"/>
      <c r="R789" s="417"/>
      <c r="S789" s="429"/>
      <c r="T789" s="417"/>
      <c r="U789" s="658"/>
      <c r="V789" s="656"/>
    </row>
    <row r="790" spans="1:22" s="104" customFormat="1" ht="15" customHeight="1" outlineLevel="1">
      <c r="A790" s="579" t="str">
        <f t="shared" ca="1" si="140"/>
        <v>et_List18_block</v>
      </c>
      <c r="B790" s="627">
        <f t="shared" si="142"/>
        <v>0</v>
      </c>
      <c r="F790" s="104">
        <f>first_year+34</f>
        <v>2058</v>
      </c>
      <c r="G790" s="104" t="b">
        <f t="shared" si="144"/>
        <v>0</v>
      </c>
      <c r="K790" s="719"/>
      <c r="L790" s="299" t="str">
        <f t="shared" si="145"/>
        <v>2058 год</v>
      </c>
      <c r="M790" s="667"/>
      <c r="N790" s="429"/>
      <c r="O790" s="417"/>
      <c r="P790" s="417"/>
      <c r="Q790" s="429"/>
      <c r="R790" s="417"/>
      <c r="S790" s="429"/>
      <c r="T790" s="417"/>
      <c r="U790" s="658"/>
      <c r="V790" s="656"/>
    </row>
    <row r="791" spans="1:22" s="104" customFormat="1" ht="15" customHeight="1" outlineLevel="1">
      <c r="A791" s="579" t="str">
        <f t="shared" ca="1" si="140"/>
        <v>et_List18_block</v>
      </c>
      <c r="B791" s="627">
        <f t="shared" si="142"/>
        <v>0</v>
      </c>
      <c r="F791" s="104">
        <f>first_year+35</f>
        <v>2059</v>
      </c>
      <c r="G791" s="104" t="b">
        <f t="shared" si="144"/>
        <v>0</v>
      </c>
      <c r="K791" s="719"/>
      <c r="L791" s="299" t="str">
        <f t="shared" si="145"/>
        <v>2059 год</v>
      </c>
      <c r="M791" s="667"/>
      <c r="N791" s="429"/>
      <c r="O791" s="417"/>
      <c r="P791" s="417"/>
      <c r="Q791" s="429"/>
      <c r="R791" s="417"/>
      <c r="S791" s="429"/>
      <c r="T791" s="417"/>
      <c r="U791" s="658"/>
      <c r="V791" s="656"/>
    </row>
    <row r="792" spans="1:22" s="104" customFormat="1" ht="15" customHeight="1" outlineLevel="1">
      <c r="A792" s="579" t="str">
        <f t="shared" ca="1" si="140"/>
        <v>et_List18_block</v>
      </c>
      <c r="B792" s="627">
        <f t="shared" si="142"/>
        <v>0</v>
      </c>
      <c r="F792" s="104">
        <f>first_year+36</f>
        <v>2060</v>
      </c>
      <c r="G792" s="104" t="b">
        <f t="shared" si="144"/>
        <v>0</v>
      </c>
      <c r="K792" s="719"/>
      <c r="L792" s="299" t="str">
        <f t="shared" si="145"/>
        <v>2060 год</v>
      </c>
      <c r="M792" s="667"/>
      <c r="N792" s="429"/>
      <c r="O792" s="417"/>
      <c r="P792" s="417"/>
      <c r="Q792" s="429"/>
      <c r="R792" s="417"/>
      <c r="S792" s="429"/>
      <c r="T792" s="417"/>
      <c r="U792" s="658"/>
      <c r="V792" s="656"/>
    </row>
    <row r="793" spans="1:22" s="104" customFormat="1" ht="15" customHeight="1" outlineLevel="1">
      <c r="A793" s="579" t="str">
        <f t="shared" ca="1" si="140"/>
        <v>et_List18_block</v>
      </c>
      <c r="B793" s="627">
        <f t="shared" si="142"/>
        <v>0</v>
      </c>
      <c r="F793" s="104">
        <f>first_year+37</f>
        <v>2061</v>
      </c>
      <c r="G793" s="104" t="b">
        <f t="shared" si="144"/>
        <v>0</v>
      </c>
      <c r="K793" s="719"/>
      <c r="L793" s="299" t="str">
        <f t="shared" si="145"/>
        <v>2061 год</v>
      </c>
      <c r="M793" s="667"/>
      <c r="N793" s="429"/>
      <c r="O793" s="417"/>
      <c r="P793" s="417"/>
      <c r="Q793" s="429"/>
      <c r="R793" s="417"/>
      <c r="S793" s="429"/>
      <c r="T793" s="417"/>
      <c r="U793" s="658"/>
      <c r="V793" s="656"/>
    </row>
    <row r="794" spans="1:22" s="104" customFormat="1" ht="15" customHeight="1" outlineLevel="1">
      <c r="A794" s="579" t="str">
        <f t="shared" ca="1" si="140"/>
        <v>et_List18_block</v>
      </c>
      <c r="B794" s="627">
        <f t="shared" si="142"/>
        <v>0</v>
      </c>
      <c r="F794" s="104">
        <f>first_year+38</f>
        <v>2062</v>
      </c>
      <c r="G794" s="104" t="b">
        <f t="shared" si="144"/>
        <v>0</v>
      </c>
      <c r="K794" s="719"/>
      <c r="L794" s="299" t="str">
        <f t="shared" si="145"/>
        <v>2062 год</v>
      </c>
      <c r="M794" s="667"/>
      <c r="N794" s="429"/>
      <c r="O794" s="417"/>
      <c r="P794" s="417"/>
      <c r="Q794" s="429"/>
      <c r="R794" s="417"/>
      <c r="S794" s="429"/>
      <c r="T794" s="417"/>
      <c r="U794" s="658"/>
      <c r="V794" s="656"/>
    </row>
    <row r="795" spans="1:22" s="104" customFormat="1" ht="15" customHeight="1" outlineLevel="1">
      <c r="A795" s="579" t="str">
        <f t="shared" ca="1" si="140"/>
        <v>et_List18_block</v>
      </c>
      <c r="B795" s="627">
        <f t="shared" si="142"/>
        <v>0</v>
      </c>
      <c r="F795" s="104">
        <f>first_year+39</f>
        <v>2063</v>
      </c>
      <c r="G795" s="104" t="b">
        <f t="shared" si="144"/>
        <v>0</v>
      </c>
      <c r="K795" s="719"/>
      <c r="L795" s="299" t="str">
        <f t="shared" si="145"/>
        <v>2063 год</v>
      </c>
      <c r="M795" s="667"/>
      <c r="N795" s="429"/>
      <c r="O795" s="417"/>
      <c r="P795" s="417"/>
      <c r="Q795" s="429"/>
      <c r="R795" s="417"/>
      <c r="S795" s="429"/>
      <c r="T795" s="417"/>
      <c r="U795" s="658"/>
      <c r="V795" s="656"/>
    </row>
    <row r="796" spans="1:22" s="104" customFormat="1" ht="15" customHeight="1" outlineLevel="1">
      <c r="A796" s="579" t="str">
        <f t="shared" ca="1" si="140"/>
        <v>et_List18_block</v>
      </c>
      <c r="B796" s="627">
        <f t="shared" si="142"/>
        <v>0</v>
      </c>
      <c r="F796" s="104">
        <f>first_year+40</f>
        <v>2064</v>
      </c>
      <c r="G796" s="104" t="b">
        <f t="shared" si="144"/>
        <v>0</v>
      </c>
      <c r="K796" s="719"/>
      <c r="L796" s="299" t="str">
        <f t="shared" si="145"/>
        <v>2064 год</v>
      </c>
      <c r="M796" s="667"/>
      <c r="N796" s="429"/>
      <c r="O796" s="417"/>
      <c r="P796" s="417"/>
      <c r="Q796" s="429"/>
      <c r="R796" s="417"/>
      <c r="S796" s="429"/>
      <c r="T796" s="417"/>
      <c r="U796" s="658"/>
      <c r="V796" s="656"/>
    </row>
    <row r="797" spans="1:22" s="104" customFormat="1" ht="15" customHeight="1" outlineLevel="1">
      <c r="A797" s="579" t="str">
        <f t="shared" ca="1" si="140"/>
        <v>et_List18_block</v>
      </c>
      <c r="B797" s="627">
        <f t="shared" si="142"/>
        <v>0</v>
      </c>
      <c r="F797" s="104">
        <f>first_year+41</f>
        <v>2065</v>
      </c>
      <c r="G797" s="104" t="b">
        <f t="shared" si="144"/>
        <v>0</v>
      </c>
      <c r="K797" s="719"/>
      <c r="L797" s="299" t="str">
        <f t="shared" si="145"/>
        <v>2065 год</v>
      </c>
      <c r="M797" s="667"/>
      <c r="N797" s="429"/>
      <c r="O797" s="417"/>
      <c r="P797" s="417"/>
      <c r="Q797" s="429"/>
      <c r="R797" s="417"/>
      <c r="S797" s="429"/>
      <c r="T797" s="417"/>
      <c r="U797" s="658"/>
      <c r="V797" s="656"/>
    </row>
    <row r="798" spans="1:22" s="104" customFormat="1" ht="15" customHeight="1" outlineLevel="1">
      <c r="A798" s="579" t="str">
        <f t="shared" ca="1" si="140"/>
        <v>et_List18_block</v>
      </c>
      <c r="B798" s="627">
        <f t="shared" si="142"/>
        <v>0</v>
      </c>
      <c r="F798" s="104">
        <f>first_year+42</f>
        <v>2066</v>
      </c>
      <c r="G798" s="104" t="b">
        <f t="shared" si="144"/>
        <v>0</v>
      </c>
      <c r="K798" s="719"/>
      <c r="L798" s="299" t="str">
        <f t="shared" si="145"/>
        <v>2066 год</v>
      </c>
      <c r="M798" s="667"/>
      <c r="N798" s="429"/>
      <c r="O798" s="417"/>
      <c r="P798" s="417"/>
      <c r="Q798" s="429"/>
      <c r="R798" s="417"/>
      <c r="S798" s="429"/>
      <c r="T798" s="417"/>
      <c r="U798" s="658"/>
      <c r="V798" s="656"/>
    </row>
    <row r="799" spans="1:22" s="104" customFormat="1" ht="15" customHeight="1" outlineLevel="1">
      <c r="A799" s="579" t="str">
        <f t="shared" ca="1" si="140"/>
        <v>et_List18_block</v>
      </c>
      <c r="B799" s="627">
        <f t="shared" si="142"/>
        <v>0</v>
      </c>
      <c r="F799" s="104">
        <f>first_year+43</f>
        <v>2067</v>
      </c>
      <c r="G799" s="104" t="b">
        <f t="shared" si="144"/>
        <v>0</v>
      </c>
      <c r="K799" s="719"/>
      <c r="L799" s="299" t="str">
        <f t="shared" si="145"/>
        <v>2067 год</v>
      </c>
      <c r="M799" s="667"/>
      <c r="N799" s="429"/>
      <c r="O799" s="417"/>
      <c r="P799" s="417"/>
      <c r="Q799" s="429"/>
      <c r="R799" s="417"/>
      <c r="S799" s="429"/>
      <c r="T799" s="417"/>
      <c r="U799" s="658"/>
      <c r="V799" s="656"/>
    </row>
    <row r="800" spans="1:22" s="104" customFormat="1" ht="15" customHeight="1" outlineLevel="1">
      <c r="A800" s="579" t="str">
        <f t="shared" ca="1" si="140"/>
        <v>et_List18_block</v>
      </c>
      <c r="B800" s="627">
        <f t="shared" si="142"/>
        <v>0</v>
      </c>
      <c r="F800" s="104">
        <f>first_year+44</f>
        <v>2068</v>
      </c>
      <c r="G800" s="104" t="b">
        <f t="shared" si="144"/>
        <v>0</v>
      </c>
      <c r="K800" s="719"/>
      <c r="L800" s="299" t="str">
        <f t="shared" si="145"/>
        <v>2068 год</v>
      </c>
      <c r="M800" s="667"/>
      <c r="N800" s="429"/>
      <c r="O800" s="417"/>
      <c r="P800" s="417"/>
      <c r="Q800" s="429"/>
      <c r="R800" s="417"/>
      <c r="S800" s="429"/>
      <c r="T800" s="417"/>
      <c r="U800" s="658"/>
      <c r="V800" s="656"/>
    </row>
    <row r="801" spans="1:27" s="104" customFormat="1" ht="15" customHeight="1" outlineLevel="1">
      <c r="A801" s="579" t="str">
        <f t="shared" ca="1" si="140"/>
        <v>et_List18_block</v>
      </c>
      <c r="B801" s="627">
        <f t="shared" si="142"/>
        <v>0</v>
      </c>
      <c r="F801" s="104">
        <f>first_year+45</f>
        <v>2069</v>
      </c>
      <c r="G801" s="104" t="b">
        <f t="shared" si="144"/>
        <v>0</v>
      </c>
      <c r="K801" s="719"/>
      <c r="L801" s="299" t="str">
        <f t="shared" si="145"/>
        <v>2069 год</v>
      </c>
      <c r="M801" s="667"/>
      <c r="N801" s="429"/>
      <c r="O801" s="417"/>
      <c r="P801" s="417"/>
      <c r="Q801" s="429"/>
      <c r="R801" s="417"/>
      <c r="S801" s="429"/>
      <c r="T801" s="417"/>
      <c r="U801" s="658"/>
      <c r="V801" s="656"/>
    </row>
    <row r="802" spans="1:27" s="104" customFormat="1" ht="15" customHeight="1" outlineLevel="1">
      <c r="A802" s="579" t="str">
        <f t="shared" ca="1" si="140"/>
        <v>et_List18_block</v>
      </c>
      <c r="B802" s="627">
        <f t="shared" si="142"/>
        <v>0</v>
      </c>
      <c r="F802" s="104">
        <f>first_year+46</f>
        <v>2070</v>
      </c>
      <c r="G802" s="104" t="b">
        <f t="shared" si="144"/>
        <v>0</v>
      </c>
      <c r="K802" s="719"/>
      <c r="L802" s="299" t="str">
        <f t="shared" si="145"/>
        <v>2070 год</v>
      </c>
      <c r="M802" s="667"/>
      <c r="N802" s="429"/>
      <c r="O802" s="417"/>
      <c r="P802" s="417"/>
      <c r="Q802" s="429"/>
      <c r="R802" s="417"/>
      <c r="S802" s="429"/>
      <c r="T802" s="417"/>
      <c r="U802" s="658"/>
      <c r="V802" s="656"/>
    </row>
    <row r="803" spans="1:27" s="104" customFormat="1" ht="15" customHeight="1" outlineLevel="1">
      <c r="A803" s="579" t="str">
        <f t="shared" ca="1" si="140"/>
        <v>et_List18_block</v>
      </c>
      <c r="B803" s="627">
        <f t="shared" si="142"/>
        <v>0</v>
      </c>
      <c r="F803" s="104">
        <f>first_year+47</f>
        <v>2071</v>
      </c>
      <c r="G803" s="104" t="b">
        <f t="shared" si="144"/>
        <v>0</v>
      </c>
      <c r="K803" s="719"/>
      <c r="L803" s="299" t="str">
        <f t="shared" si="145"/>
        <v>2071 год</v>
      </c>
      <c r="M803" s="667"/>
      <c r="N803" s="429"/>
      <c r="O803" s="417"/>
      <c r="P803" s="417"/>
      <c r="Q803" s="429"/>
      <c r="R803" s="417"/>
      <c r="S803" s="429"/>
      <c r="T803" s="417"/>
      <c r="U803" s="658"/>
      <c r="V803" s="656"/>
    </row>
    <row r="804" spans="1:27" s="104" customFormat="1" ht="15" customHeight="1" outlineLevel="1">
      <c r="A804" s="579" t="str">
        <f t="shared" ca="1" si="140"/>
        <v>et_List18_block</v>
      </c>
      <c r="B804" s="627">
        <f t="shared" si="142"/>
        <v>0</v>
      </c>
      <c r="F804" s="104">
        <f>first_year+48</f>
        <v>2072</v>
      </c>
      <c r="G804" s="104" t="b">
        <f t="shared" si="144"/>
        <v>0</v>
      </c>
      <c r="K804" s="719"/>
      <c r="L804" s="299" t="str">
        <f t="shared" si="145"/>
        <v>2072 год</v>
      </c>
      <c r="M804" s="667"/>
      <c r="N804" s="429"/>
      <c r="O804" s="417"/>
      <c r="P804" s="417"/>
      <c r="Q804" s="429"/>
      <c r="R804" s="417"/>
      <c r="S804" s="429"/>
      <c r="T804" s="417"/>
      <c r="U804" s="658"/>
      <c r="V804" s="656"/>
    </row>
    <row r="805" spans="1:27" s="104" customFormat="1" ht="15" customHeight="1" outlineLevel="1">
      <c r="A805" s="579" t="str">
        <f t="shared" ca="1" si="140"/>
        <v>et_List18_block</v>
      </c>
      <c r="B805" s="627">
        <f t="shared" si="142"/>
        <v>0</v>
      </c>
      <c r="F805" s="104">
        <f>first_year+49</f>
        <v>2073</v>
      </c>
      <c r="G805" s="104" t="b">
        <f t="shared" si="144"/>
        <v>0</v>
      </c>
      <c r="K805" s="719"/>
      <c r="L805" s="299" t="str">
        <f>F805&amp; " год"</f>
        <v>2073 год</v>
      </c>
      <c r="M805" s="667"/>
      <c r="N805" s="429"/>
      <c r="O805" s="417"/>
      <c r="P805" s="417"/>
      <c r="Q805" s="429"/>
      <c r="R805" s="417"/>
      <c r="S805" s="429"/>
      <c r="T805" s="417"/>
      <c r="U805" s="658"/>
      <c r="V805" s="656"/>
    </row>
    <row r="807" spans="1:27" s="489" customFormat="1" ht="30" customHeight="1">
      <c r="A807" s="488" t="s">
        <v>1282</v>
      </c>
      <c r="M807" s="490"/>
      <c r="N807" s="490"/>
      <c r="O807" s="490"/>
      <c r="P807" s="490"/>
      <c r="AA807" s="491"/>
    </row>
    <row r="808" spans="1:27" s="492" customFormat="1">
      <c r="A808" s="580" t="s">
        <v>1326</v>
      </c>
      <c r="B808" s="582"/>
      <c r="C808" s="582"/>
      <c r="D808" s="582"/>
      <c r="M808" s="493"/>
      <c r="N808" s="493"/>
      <c r="O808" s="493"/>
      <c r="P808" s="493"/>
      <c r="AA808" s="494"/>
    </row>
    <row r="809" spans="1:27" s="495" customFormat="1" ht="15" customHeight="1">
      <c r="A809" s="172" t="s">
        <v>18</v>
      </c>
      <c r="B809" s="601"/>
      <c r="C809" s="601"/>
      <c r="D809" s="601"/>
      <c r="L809" s="268" t="str">
        <f>INDEX('Общие сведения'!$J$114:$J$127,MATCH($A809,'Общие сведения'!$D$114:$D$127,0))</f>
        <v>Тариф 1 (Водоснабжение) - тариф на питьевую воду</v>
      </c>
      <c r="M809" s="145"/>
      <c r="N809" s="145"/>
      <c r="O809" s="420" t="e">
        <f t="shared" ref="O809:T809" si="146">O810+O813+O814+O817+O818+O821+O822+O825</f>
        <v>#N/A</v>
      </c>
      <c r="P809" s="420" t="e">
        <f t="shared" si="146"/>
        <v>#N/A</v>
      </c>
      <c r="Q809" s="420" t="e">
        <f t="shared" si="146"/>
        <v>#N/A</v>
      </c>
      <c r="R809" s="420" t="e">
        <f t="shared" si="146"/>
        <v>#N/A</v>
      </c>
      <c r="S809" s="420" t="e">
        <f t="shared" si="146"/>
        <v>#N/A</v>
      </c>
      <c r="T809" s="420" t="e">
        <f t="shared" si="146"/>
        <v>#N/A</v>
      </c>
      <c r="U809" s="420"/>
    </row>
    <row r="810" spans="1:27" s="495" customFormat="1" outlineLevel="1">
      <c r="A810" s="581" t="str">
        <f>A809</f>
        <v>1</v>
      </c>
      <c r="B810" s="480" t="s">
        <v>1283</v>
      </c>
      <c r="C810" s="601" t="s">
        <v>1480</v>
      </c>
      <c r="D810" s="601"/>
      <c r="L810" s="496">
        <v>1</v>
      </c>
      <c r="M810" s="497" t="s">
        <v>1284</v>
      </c>
      <c r="N810" s="498" t="s">
        <v>351</v>
      </c>
      <c r="O810" s="499"/>
      <c r="P810" s="499"/>
      <c r="Q810" s="499"/>
      <c r="R810" s="499"/>
      <c r="S810" s="209">
        <f>SUMIFS(S811:S812,$N811:$N812,$N810)</f>
        <v>0</v>
      </c>
      <c r="T810" s="209">
        <f>SUMIFS(T811:T812,$N811:$N812,$N810)</f>
        <v>0</v>
      </c>
      <c r="U810" s="500"/>
    </row>
    <row r="811" spans="1:27" s="495" customFormat="1" hidden="1" outlineLevel="1">
      <c r="A811" s="581" t="str">
        <f t="shared" ref="A811:A825" si="147">A810</f>
        <v>1</v>
      </c>
      <c r="B811" s="480"/>
      <c r="C811" s="601"/>
      <c r="D811" s="601"/>
      <c r="J811" s="495" t="s">
        <v>1041</v>
      </c>
      <c r="L811" s="496"/>
      <c r="M811" s="497"/>
      <c r="N811" s="498"/>
      <c r="O811" s="501"/>
      <c r="P811" s="501"/>
      <c r="Q811" s="501"/>
      <c r="R811" s="501"/>
      <c r="S811" s="502"/>
      <c r="T811" s="502"/>
      <c r="U811" s="503"/>
    </row>
    <row r="812" spans="1:27" s="495" customFormat="1" ht="15" customHeight="1" outlineLevel="1">
      <c r="A812" s="581" t="str">
        <f t="shared" si="147"/>
        <v>1</v>
      </c>
      <c r="B812" s="480"/>
      <c r="C812" s="601" t="str">
        <f>A812&amp;"pIns1"</f>
        <v>1pIns1</v>
      </c>
      <c r="D812" s="601"/>
      <c r="L812" s="246"/>
      <c r="M812" s="247" t="s">
        <v>352</v>
      </c>
      <c r="N812" s="247"/>
      <c r="O812" s="247"/>
      <c r="P812" s="247"/>
      <c r="Q812" s="247"/>
      <c r="R812" s="247"/>
      <c r="S812" s="247"/>
      <c r="T812" s="247"/>
      <c r="U812" s="248"/>
    </row>
    <row r="813" spans="1:27" s="495" customFormat="1" ht="22.5" outlineLevel="1">
      <c r="A813" s="581" t="str">
        <f t="shared" si="147"/>
        <v>1</v>
      </c>
      <c r="B813" s="480" t="s">
        <v>1285</v>
      </c>
      <c r="C813" s="601" t="s">
        <v>1481</v>
      </c>
      <c r="D813" s="601"/>
      <c r="L813" s="496" t="s">
        <v>102</v>
      </c>
      <c r="M813" s="497" t="s">
        <v>1467</v>
      </c>
      <c r="N813" s="498" t="s">
        <v>351</v>
      </c>
      <c r="O813" s="499" t="e">
        <f>O810*SUMIFS(INDEX(Сценарии!$O$15:$AP$35,,MATCH(O$3,Сценарии!$O$3:$AP$3,0)),Сценарии!$A$15:$A$35,$A813,Сценарии!$B$15:$B$35,"СВФОТ")/100</f>
        <v>#N/A</v>
      </c>
      <c r="P813" s="499" t="e">
        <f>P810*SUMIFS(INDEX(Сценарии!$O$15:$AP$35,,MATCH(P$3,Сценарии!$O$3:$AP$3,0)),Сценарии!$A$15:$A$35,$A813,Сценарии!$B$15:$B$35,"СВФОТ")/100</f>
        <v>#N/A</v>
      </c>
      <c r="Q813" s="499" t="e">
        <f>Q810*SUMIFS(INDEX(Сценарии!$O$15:$AP$35,,MATCH(Q$3,Сценарии!$O$3:$AP$3,0)),Сценарии!$A$15:$A$35,$A813,Сценарии!$B$15:$B$35,"СВФОТ")/100</f>
        <v>#N/A</v>
      </c>
      <c r="R813" s="499" t="e">
        <f>R810*SUMIFS(INDEX(Сценарии!$O$15:$AP$35,,MATCH(R$3,Сценарии!$O$3:$AP$3,0)),Сценарии!$A$15:$A$35,$A813,Сценарии!$B$15:$B$35,"СВФОТ")/100</f>
        <v>#N/A</v>
      </c>
      <c r="S813" s="499" t="e">
        <f>S810*SUMIFS(INDEX(Сценарии!$O$15:$AP$35,,MATCH(S$3,Сценарии!$O$3:$AP$3,0)),Сценарии!$A$15:$A$35,$A813,Сценарии!$B$15:$B$35,"СВФОТ")/100</f>
        <v>#N/A</v>
      </c>
      <c r="T813" s="499" t="e">
        <f>T810*SUMIFS(INDEX(Сценарии!$O$15:$AP$35,,MATCH(T$3,Сценарии!$O$3:$AP$3,0)),Сценарии!$A$15:$A$35,$A813,Сценарии!$B$15:$B$35,"СВФОТ")/100</f>
        <v>#N/A</v>
      </c>
      <c r="U813" s="500"/>
    </row>
    <row r="814" spans="1:27" s="495" customFormat="1" outlineLevel="1">
      <c r="A814" s="581" t="str">
        <f t="shared" si="147"/>
        <v>1</v>
      </c>
      <c r="B814" s="480" t="s">
        <v>1286</v>
      </c>
      <c r="C814" s="601" t="s">
        <v>1483</v>
      </c>
      <c r="D814" s="601"/>
      <c r="L814" s="496" t="s">
        <v>103</v>
      </c>
      <c r="M814" s="497" t="s">
        <v>1287</v>
      </c>
      <c r="N814" s="498" t="s">
        <v>351</v>
      </c>
      <c r="O814" s="499"/>
      <c r="P814" s="499"/>
      <c r="Q814" s="499"/>
      <c r="R814" s="499"/>
      <c r="S814" s="209">
        <f>SUMIFS(S815:S816,$N815:$N816,$N814)</f>
        <v>0</v>
      </c>
      <c r="T814" s="209">
        <f>SUMIFS(T815:T816,$N815:$N816,$N814)</f>
        <v>0</v>
      </c>
      <c r="U814" s="500"/>
    </row>
    <row r="815" spans="1:27" s="495" customFormat="1" hidden="1" outlineLevel="1">
      <c r="A815" s="581" t="str">
        <f t="shared" si="147"/>
        <v>1</v>
      </c>
      <c r="B815" s="480"/>
      <c r="C815" s="601"/>
      <c r="D815" s="601"/>
      <c r="J815" s="495" t="s">
        <v>1043</v>
      </c>
      <c r="L815" s="496"/>
      <c r="M815" s="497"/>
      <c r="N815" s="498"/>
      <c r="O815" s="501"/>
      <c r="P815" s="501"/>
      <c r="Q815" s="501"/>
      <c r="R815" s="501"/>
      <c r="S815" s="502"/>
      <c r="T815" s="502"/>
      <c r="U815" s="503"/>
    </row>
    <row r="816" spans="1:27" s="495" customFormat="1" ht="15" customHeight="1" outlineLevel="1">
      <c r="A816" s="581" t="str">
        <f t="shared" si="147"/>
        <v>1</v>
      </c>
      <c r="B816" s="480"/>
      <c r="C816" s="601" t="str">
        <f>A816&amp;"pIns2"</f>
        <v>1pIns2</v>
      </c>
      <c r="D816" s="601"/>
      <c r="L816" s="246"/>
      <c r="M816" s="247" t="s">
        <v>352</v>
      </c>
      <c r="N816" s="247"/>
      <c r="O816" s="247"/>
      <c r="P816" s="247"/>
      <c r="Q816" s="247"/>
      <c r="R816" s="247"/>
      <c r="S816" s="247"/>
      <c r="T816" s="247"/>
      <c r="U816" s="248"/>
    </row>
    <row r="817" spans="1:21" s="495" customFormat="1" ht="22.5" outlineLevel="1">
      <c r="A817" s="581" t="str">
        <f t="shared" si="147"/>
        <v>1</v>
      </c>
      <c r="B817" s="480" t="s">
        <v>1288</v>
      </c>
      <c r="C817" s="601" t="s">
        <v>1484</v>
      </c>
      <c r="D817" s="601"/>
      <c r="L817" s="496" t="s">
        <v>104</v>
      </c>
      <c r="M817" s="497" t="s">
        <v>1475</v>
      </c>
      <c r="N817" s="498" t="s">
        <v>351</v>
      </c>
      <c r="O817" s="499" t="e">
        <f>O814*SUMIFS(INDEX(Сценарии!$O$15:$AP$35,,MATCH(O$3,Сценарии!$O$3:$AP$3,0)),Сценарии!$A$15:$A$35,$A817,Сценарии!$B$15:$B$35,"СВФОТ")/100</f>
        <v>#N/A</v>
      </c>
      <c r="P817" s="499" t="e">
        <f>P814*SUMIFS(INDEX(Сценарии!$O$15:$AP$35,,MATCH(P$3,Сценарии!$O$3:$AP$3,0)),Сценарии!$A$15:$A$35,$A817,Сценарии!$B$15:$B$35,"СВФОТ")/100</f>
        <v>#N/A</v>
      </c>
      <c r="Q817" s="499" t="e">
        <f>Q814*SUMIFS(INDEX(Сценарии!$O$15:$AP$35,,MATCH(Q$3,Сценарии!$O$3:$AP$3,0)),Сценарии!$A$15:$A$35,$A817,Сценарии!$B$15:$B$35,"СВФОТ")/100</f>
        <v>#N/A</v>
      </c>
      <c r="R817" s="499" t="e">
        <f>R814*SUMIFS(INDEX(Сценарии!$O$15:$AP$35,,MATCH(R$3,Сценарии!$O$3:$AP$3,0)),Сценарии!$A$15:$A$35,$A817,Сценарии!$B$15:$B$35,"СВФОТ")/100</f>
        <v>#N/A</v>
      </c>
      <c r="S817" s="499" t="e">
        <f>S814*SUMIFS(INDEX(Сценарии!$O$15:$AP$35,,MATCH(S$3,Сценарии!$O$3:$AP$3,0)),Сценарии!$A$15:$A$35,$A817,Сценарии!$B$15:$B$35,"СВФОТ")/100</f>
        <v>#N/A</v>
      </c>
      <c r="T817" s="499" t="e">
        <f>T814*SUMIFS(INDEX(Сценарии!$O$15:$AP$35,,MATCH(T$3,Сценарии!$O$3:$AP$3,0)),Сценарии!$A$15:$A$35,$A817,Сценарии!$B$15:$B$35,"СВФОТ")/100</f>
        <v>#N/A</v>
      </c>
      <c r="U817" s="500"/>
    </row>
    <row r="818" spans="1:21" s="495" customFormat="1" ht="22.5" outlineLevel="1">
      <c r="A818" s="581" t="str">
        <f t="shared" si="147"/>
        <v>1</v>
      </c>
      <c r="B818" s="480" t="s">
        <v>1289</v>
      </c>
      <c r="C818" s="601" t="s">
        <v>1485</v>
      </c>
      <c r="D818" s="601"/>
      <c r="L818" s="496" t="s">
        <v>120</v>
      </c>
      <c r="M818" s="497" t="s">
        <v>1290</v>
      </c>
      <c r="N818" s="498" t="s">
        <v>351</v>
      </c>
      <c r="O818" s="499"/>
      <c r="P818" s="499"/>
      <c r="Q818" s="499"/>
      <c r="R818" s="499"/>
      <c r="S818" s="209">
        <f>SUMIFS(S819:S820,$N819:$N820,$N818)</f>
        <v>0</v>
      </c>
      <c r="T818" s="209">
        <f>SUMIFS(T819:T820,$N819:$N820,$N818)</f>
        <v>0</v>
      </c>
      <c r="U818" s="500"/>
    </row>
    <row r="819" spans="1:21" s="495" customFormat="1" hidden="1" outlineLevel="1">
      <c r="A819" s="581" t="str">
        <f t="shared" si="147"/>
        <v>1</v>
      </c>
      <c r="B819" s="480"/>
      <c r="C819" s="601"/>
      <c r="D819" s="601"/>
      <c r="J819" s="495" t="s">
        <v>1291</v>
      </c>
      <c r="L819" s="496"/>
      <c r="M819" s="497"/>
      <c r="N819" s="498"/>
      <c r="O819" s="501"/>
      <c r="P819" s="501"/>
      <c r="Q819" s="501"/>
      <c r="R819" s="501"/>
      <c r="S819" s="502"/>
      <c r="T819" s="502"/>
      <c r="U819" s="503"/>
    </row>
    <row r="820" spans="1:21" s="495" customFormat="1" ht="15" customHeight="1" outlineLevel="1">
      <c r="A820" s="581" t="str">
        <f t="shared" si="147"/>
        <v>1</v>
      </c>
      <c r="B820" s="480"/>
      <c r="C820" s="601" t="str">
        <f>A820&amp;"pIns3"</f>
        <v>1pIns3</v>
      </c>
      <c r="D820" s="601"/>
      <c r="L820" s="246"/>
      <c r="M820" s="247" t="s">
        <v>352</v>
      </c>
      <c r="N820" s="247"/>
      <c r="O820" s="247"/>
      <c r="P820" s="247"/>
      <c r="Q820" s="247"/>
      <c r="R820" s="247"/>
      <c r="S820" s="247"/>
      <c r="T820" s="247"/>
      <c r="U820" s="248"/>
    </row>
    <row r="821" spans="1:21" s="495" customFormat="1" ht="22.5" outlineLevel="1">
      <c r="A821" s="581" t="str">
        <f t="shared" si="147"/>
        <v>1</v>
      </c>
      <c r="B821" s="480" t="s">
        <v>1292</v>
      </c>
      <c r="C821" s="601" t="s">
        <v>1486</v>
      </c>
      <c r="D821" s="601"/>
      <c r="L821" s="496" t="s">
        <v>124</v>
      </c>
      <c r="M821" s="497" t="s">
        <v>1476</v>
      </c>
      <c r="N821" s="498" t="s">
        <v>351</v>
      </c>
      <c r="O821" s="499" t="e">
        <f>O818*SUMIFS(INDEX(Сценарии!$O$15:$AP$35,,MATCH(O$3,Сценарии!$O$3:$AP$3,0)),Сценарии!$A$15:$A$35,$A821,Сценарии!$B$15:$B$35,"СВФОТ")/100</f>
        <v>#N/A</v>
      </c>
      <c r="P821" s="499" t="e">
        <f>P818*SUMIFS(INDEX(Сценарии!$O$15:$AP$35,,MATCH(P$3,Сценарии!$O$3:$AP$3,0)),Сценарии!$A$15:$A$35,$A821,Сценарии!$B$15:$B$35,"СВФОТ")/100</f>
        <v>#N/A</v>
      </c>
      <c r="Q821" s="499" t="e">
        <f>Q818*SUMIFS(INDEX(Сценарии!$O$15:$AP$35,,MATCH(Q$3,Сценарии!$O$3:$AP$3,0)),Сценарии!$A$15:$A$35,$A821,Сценарии!$B$15:$B$35,"СВФОТ")/100</f>
        <v>#N/A</v>
      </c>
      <c r="R821" s="499" t="e">
        <f>R818*SUMIFS(INDEX(Сценарии!$O$15:$AP$35,,MATCH(R$3,Сценарии!$O$3:$AP$3,0)),Сценарии!$A$15:$A$35,$A821,Сценарии!$B$15:$B$35,"СВФОТ")/100</f>
        <v>#N/A</v>
      </c>
      <c r="S821" s="499" t="e">
        <f>S818*SUMIFS(INDEX(Сценарии!$O$15:$AP$35,,MATCH(S$3,Сценарии!$O$3:$AP$3,0)),Сценарии!$A$15:$A$35,$A821,Сценарии!$B$15:$B$35,"СВФОТ")/100</f>
        <v>#N/A</v>
      </c>
      <c r="T821" s="499" t="e">
        <f>T818*SUMIFS(INDEX(Сценарии!$O$15:$AP$35,,MATCH(T$3,Сценарии!$O$3:$AP$3,0)),Сценарии!$A$15:$A$35,$A821,Сценарии!$B$15:$B$35,"СВФОТ")/100</f>
        <v>#N/A</v>
      </c>
      <c r="U821" s="500"/>
    </row>
    <row r="822" spans="1:21" s="495" customFormat="1" ht="21" customHeight="1" outlineLevel="1">
      <c r="A822" s="581" t="str">
        <f t="shared" si="147"/>
        <v>1</v>
      </c>
      <c r="B822" s="480" t="s">
        <v>1355</v>
      </c>
      <c r="C822" s="601" t="s">
        <v>1487</v>
      </c>
      <c r="D822" s="601"/>
      <c r="L822" s="496" t="s">
        <v>125</v>
      </c>
      <c r="M822" s="497" t="s">
        <v>1356</v>
      </c>
      <c r="N822" s="498" t="s">
        <v>351</v>
      </c>
      <c r="O822" s="499"/>
      <c r="P822" s="499"/>
      <c r="Q822" s="499"/>
      <c r="R822" s="499"/>
      <c r="S822" s="209">
        <f>SUMIFS(S823:S824,$N823:$N824,$N822)</f>
        <v>0</v>
      </c>
      <c r="T822" s="209">
        <f>SUMIFS(T823:T824,$N823:$N824,$N822)</f>
        <v>0</v>
      </c>
      <c r="U822" s="500"/>
    </row>
    <row r="823" spans="1:21" s="495" customFormat="1" hidden="1" outlineLevel="1">
      <c r="A823" s="581" t="str">
        <f t="shared" si="147"/>
        <v>1</v>
      </c>
      <c r="B823" s="480"/>
      <c r="C823" s="601"/>
      <c r="D823" s="601"/>
      <c r="J823" s="495" t="s">
        <v>1107</v>
      </c>
      <c r="L823" s="496"/>
      <c r="M823" s="497"/>
      <c r="N823" s="498"/>
      <c r="O823" s="501"/>
      <c r="P823" s="501"/>
      <c r="Q823" s="501"/>
      <c r="R823" s="501"/>
      <c r="S823" s="502"/>
      <c r="T823" s="502"/>
      <c r="U823" s="503"/>
    </row>
    <row r="824" spans="1:21" s="495" customFormat="1" ht="15" customHeight="1" outlineLevel="1">
      <c r="A824" s="581" t="str">
        <f t="shared" si="147"/>
        <v>1</v>
      </c>
      <c r="B824" s="480"/>
      <c r="C824" s="601" t="str">
        <f>A824&amp;"pIns4"</f>
        <v>1pIns4</v>
      </c>
      <c r="D824" s="601"/>
      <c r="L824" s="246"/>
      <c r="M824" s="247" t="s">
        <v>352</v>
      </c>
      <c r="N824" s="247"/>
      <c r="O824" s="247"/>
      <c r="P824" s="247"/>
      <c r="Q824" s="247"/>
      <c r="R824" s="247"/>
      <c r="S824" s="247"/>
      <c r="T824" s="247"/>
      <c r="U824" s="248"/>
    </row>
    <row r="825" spans="1:21" s="495" customFormat="1" ht="22.5" outlineLevel="1">
      <c r="A825" s="581" t="str">
        <f t="shared" si="147"/>
        <v>1</v>
      </c>
      <c r="B825" s="480" t="s">
        <v>1357</v>
      </c>
      <c r="C825" s="601" t="s">
        <v>1494</v>
      </c>
      <c r="D825" s="601"/>
      <c r="L825" s="496" t="s">
        <v>126</v>
      </c>
      <c r="M825" s="497" t="s">
        <v>1477</v>
      </c>
      <c r="N825" s="498" t="s">
        <v>351</v>
      </c>
      <c r="O825" s="499" t="e">
        <f>O822*SUMIFS(INDEX(Сценарии!$O$15:$AP$35,,MATCH(O$3,Сценарии!$O$3:$AP$3,0)),Сценарии!$A$15:$A$35,$A825,Сценарии!$B$15:$B$35,"СВФОТ")/100</f>
        <v>#N/A</v>
      </c>
      <c r="P825" s="499" t="e">
        <f>P822*SUMIFS(INDEX(Сценарии!$O$15:$AP$35,,MATCH(P$3,Сценарии!$O$3:$AP$3,0)),Сценарии!$A$15:$A$35,$A825,Сценарии!$B$15:$B$35,"СВФОТ")/100</f>
        <v>#N/A</v>
      </c>
      <c r="Q825" s="499" t="e">
        <f>Q822*SUMIFS(INDEX(Сценарии!$O$15:$AP$35,,MATCH(Q$3,Сценарии!$O$3:$AP$3,0)),Сценарии!$A$15:$A$35,$A825,Сценарии!$B$15:$B$35,"СВФОТ")/100</f>
        <v>#N/A</v>
      </c>
      <c r="R825" s="499" t="e">
        <f>R822*SUMIFS(INDEX(Сценарии!$O$15:$AP$35,,MATCH(R$3,Сценарии!$O$3:$AP$3,0)),Сценарии!$A$15:$A$35,$A825,Сценарии!$B$15:$B$35,"СВФОТ")/100</f>
        <v>#N/A</v>
      </c>
      <c r="S825" s="499" t="e">
        <f>S822*SUMIFS(INDEX(Сценарии!$O$15:$AP$35,,MATCH(S$3,Сценарии!$O$3:$AP$3,0)),Сценарии!$A$15:$A$35,$A825,Сценарии!$B$15:$B$35,"СВФОТ")/100</f>
        <v>#N/A</v>
      </c>
      <c r="T825" s="499" t="e">
        <f>T822*SUMIFS(INDEX(Сценарии!$O$15:$AP$35,,MATCH(T$3,Сценарии!$O$3:$AP$3,0)),Сценарии!$A$15:$A$35,$A825,Сценарии!$B$15:$B$35,"СВФОТ")/100</f>
        <v>#N/A</v>
      </c>
      <c r="U825" s="500"/>
    </row>
    <row r="826" spans="1:21" s="492" customFormat="1">
      <c r="A826" s="580" t="s">
        <v>1327</v>
      </c>
      <c r="B826" s="582"/>
      <c r="C826" s="582"/>
      <c r="D826" s="582"/>
      <c r="M826" s="493"/>
      <c r="N826" s="493"/>
      <c r="O826" s="493"/>
      <c r="P826" s="493"/>
    </row>
    <row r="827" spans="1:21" s="495" customFormat="1" ht="13.5" customHeight="1" outlineLevel="1">
      <c r="A827" s="504" t="str">
        <f ca="1">OFFSET(A827,-1,0)</f>
        <v>et_List19_dolj</v>
      </c>
      <c r="B827" s="601"/>
      <c r="C827" s="601" t="s">
        <v>1480</v>
      </c>
      <c r="D827" s="601">
        <f>M827</f>
        <v>0</v>
      </c>
      <c r="J827" s="709" t="s">
        <v>149</v>
      </c>
      <c r="K827" s="135" t="s">
        <v>264</v>
      </c>
      <c r="L827" s="496" t="str">
        <f>J827</f>
        <v>1.1</v>
      </c>
      <c r="M827" s="505"/>
      <c r="N827" s="498" t="s">
        <v>351</v>
      </c>
      <c r="O827" s="506"/>
      <c r="P827" s="506"/>
      <c r="Q827" s="506"/>
      <c r="R827" s="506"/>
      <c r="S827" s="212">
        <f>S828*S829*12/1000</f>
        <v>0</v>
      </c>
      <c r="T827" s="212">
        <f>T828*T829*12/1000</f>
        <v>0</v>
      </c>
      <c r="U827" s="500"/>
    </row>
    <row r="828" spans="1:21" s="495" customFormat="1" ht="13.5" customHeight="1" outlineLevel="1">
      <c r="A828" s="484" t="str">
        <f ca="1">A827</f>
        <v>et_List19_dolj</v>
      </c>
      <c r="B828" s="601"/>
      <c r="C828" s="601" t="str">
        <f>C827&amp;"_1"</f>
        <v>L1_1</v>
      </c>
      <c r="D828" s="601">
        <f>D827</f>
        <v>0</v>
      </c>
      <c r="J828" s="709"/>
      <c r="L828" s="508" t="str">
        <f>L827&amp;".1"</f>
        <v>1.1.1</v>
      </c>
      <c r="M828" s="509" t="s">
        <v>1293</v>
      </c>
      <c r="N828" s="498" t="s">
        <v>1294</v>
      </c>
      <c r="O828" s="506"/>
      <c r="P828" s="506"/>
      <c r="Q828" s="506"/>
      <c r="R828" s="506"/>
      <c r="S828" s="499"/>
      <c r="T828" s="499"/>
      <c r="U828" s="500"/>
    </row>
    <row r="829" spans="1:21" s="495" customFormat="1" ht="15" customHeight="1" outlineLevel="1">
      <c r="A829" s="484" t="str">
        <f ca="1">A828</f>
        <v>et_List19_dolj</v>
      </c>
      <c r="B829" s="601"/>
      <c r="C829" s="601" t="str">
        <f>C827&amp;"_2"</f>
        <v>L1_2</v>
      </c>
      <c r="D829" s="601">
        <f>D828</f>
        <v>0</v>
      </c>
      <c r="J829" s="709"/>
      <c r="L829" s="508" t="str">
        <f>L827&amp;".2"</f>
        <v>1.1.2</v>
      </c>
      <c r="M829" s="509" t="s">
        <v>1295</v>
      </c>
      <c r="N829" s="498" t="s">
        <v>1296</v>
      </c>
      <c r="O829" s="506"/>
      <c r="P829" s="506"/>
      <c r="Q829" s="506"/>
      <c r="R829" s="506"/>
      <c r="S829" s="499"/>
      <c r="T829" s="499"/>
      <c r="U829" s="500"/>
    </row>
    <row r="830" spans="1:21" s="492" customFormat="1">
      <c r="A830" s="582"/>
      <c r="M830" s="493"/>
      <c r="N830" s="493"/>
      <c r="O830" s="493"/>
      <c r="P830" s="493"/>
    </row>
    <row r="831" spans="1:21" s="489" customFormat="1" ht="30" customHeight="1">
      <c r="A831" s="488" t="s">
        <v>1297</v>
      </c>
      <c r="M831" s="490"/>
      <c r="N831" s="490"/>
      <c r="O831" s="490"/>
      <c r="P831" s="490"/>
    </row>
    <row r="832" spans="1:21" s="492" customFormat="1">
      <c r="A832" s="580" t="s">
        <v>1328</v>
      </c>
      <c r="M832" s="493"/>
      <c r="N832" s="493"/>
      <c r="O832" s="493"/>
      <c r="P832" s="493"/>
    </row>
    <row r="833" spans="1:21" s="510" customFormat="1" ht="15" customHeight="1">
      <c r="A833" s="172" t="s">
        <v>18</v>
      </c>
      <c r="L833" s="268" t="str">
        <f>INDEX('Общие сведения'!$J$114:$J$127,MATCH($A833,'Общие сведения'!$D$114:$D$127,0))</f>
        <v>Тариф 1 (Водоснабжение) - тариф на питьевую воду</v>
      </c>
      <c r="M833" s="145"/>
      <c r="N833" s="145"/>
      <c r="O833" s="420">
        <f t="shared" ref="O833:T833" si="148">O834+O835+O836+O844+O845+O846+O847+O848</f>
        <v>0</v>
      </c>
      <c r="P833" s="420">
        <f t="shared" si="148"/>
        <v>0</v>
      </c>
      <c r="Q833" s="420">
        <f t="shared" si="148"/>
        <v>0</v>
      </c>
      <c r="R833" s="420">
        <f t="shared" si="148"/>
        <v>0</v>
      </c>
      <c r="S833" s="420">
        <f t="shared" si="148"/>
        <v>314.02800000000002</v>
      </c>
      <c r="T833" s="420">
        <f t="shared" si="148"/>
        <v>314.02800000000002</v>
      </c>
      <c r="U833" s="139"/>
    </row>
    <row r="834" spans="1:21" s="510" customFormat="1" ht="22.5" outlineLevel="1">
      <c r="A834" s="581" t="str">
        <f>A833</f>
        <v>1</v>
      </c>
      <c r="C834" s="603" t="s">
        <v>1480</v>
      </c>
      <c r="L834" s="511">
        <v>1</v>
      </c>
      <c r="M834" s="497" t="s">
        <v>1290</v>
      </c>
      <c r="N834" s="498" t="s">
        <v>351</v>
      </c>
      <c r="O834" s="512">
        <f>SUMIFS(ФОТ!O$15:O$35,ФОТ!$A$15:$A$35,$A834,ФОТ!$M$15:$M$35,$M834)</f>
        <v>0</v>
      </c>
      <c r="P834" s="512">
        <f>SUMIFS(ФОТ!P$15:P$35,ФОТ!$A$15:$A$35,$A834,ФОТ!$M$15:$M$35,$M834)</f>
        <v>0</v>
      </c>
      <c r="Q834" s="512">
        <f>SUMIFS(ФОТ!Q$15:Q$35,ФОТ!$A$15:$A$35,$A834,ФОТ!$M$15:$M$35,$M834)</f>
        <v>0</v>
      </c>
      <c r="R834" s="512">
        <f>SUMIFS(ФОТ!R$15:R$35,ФОТ!$A$15:$A$35,$A834,ФОТ!$M$15:$M$35,$M834)</f>
        <v>0</v>
      </c>
      <c r="S834" s="512">
        <f>SUMIFS(ФОТ!S$15:S$35,ФОТ!$A$15:$A$35,$A834,ФОТ!$M$15:$M$35,$M834)</f>
        <v>241.56</v>
      </c>
      <c r="T834" s="512">
        <f>SUMIFS(ФОТ!T$15:T$35,ФОТ!$A$15:$A$35,$A834,ФОТ!$M$15:$M$35,$M834)</f>
        <v>241.56</v>
      </c>
      <c r="U834" s="513"/>
    </row>
    <row r="835" spans="1:21" s="510" customFormat="1" ht="23.25" customHeight="1" outlineLevel="1">
      <c r="A835" s="581" t="str">
        <f t="shared" ref="A835:A851" si="149">A834</f>
        <v>1</v>
      </c>
      <c r="C835" s="603" t="s">
        <v>1481</v>
      </c>
      <c r="L835" s="511" t="s">
        <v>102</v>
      </c>
      <c r="M835" s="497" t="s">
        <v>1476</v>
      </c>
      <c r="N835" s="498" t="s">
        <v>351</v>
      </c>
      <c r="O835" s="512">
        <f>SUMIFS(ФОТ!O$15:O$35,ФОТ!$A$15:$A$35,$A835,ФОТ!$M$15:$M$35,$M835)</f>
        <v>0</v>
      </c>
      <c r="P835" s="512">
        <f>SUMIFS(ФОТ!P$15:P$35,ФОТ!$A$15:$A$35,$A835,ФОТ!$M$15:$M$35,$M835)</f>
        <v>0</v>
      </c>
      <c r="Q835" s="512">
        <f>SUMIFS(ФОТ!Q$15:Q$35,ФОТ!$A$15:$A$35,$A835,ФОТ!$M$15:$M$35,$M835)</f>
        <v>0</v>
      </c>
      <c r="R835" s="512">
        <f>SUMIFS(ФОТ!R$15:R$35,ФОТ!$A$15:$A$35,$A835,ФОТ!$M$15:$M$35,$M835)</f>
        <v>0</v>
      </c>
      <c r="S835" s="512">
        <f>SUMIFS(ФОТ!S$15:S$35,ФОТ!$A$15:$A$35,$A835,ФОТ!$M$15:$M$35,$M835)</f>
        <v>72.468000000000004</v>
      </c>
      <c r="T835" s="512">
        <f>SUMIFS(ФОТ!T$15:T$35,ФОТ!$A$15:$A$35,$A835,ФОТ!$M$15:$M$35,$M835)</f>
        <v>72.468000000000004</v>
      </c>
      <c r="U835" s="513"/>
    </row>
    <row r="836" spans="1:21" s="510" customFormat="1" ht="33.75" outlineLevel="1">
      <c r="A836" s="581" t="str">
        <f t="shared" si="149"/>
        <v>1</v>
      </c>
      <c r="B836" s="484" t="s">
        <v>1298</v>
      </c>
      <c r="C836" s="603" t="s">
        <v>1483</v>
      </c>
      <c r="L836" s="511" t="s">
        <v>103</v>
      </c>
      <c r="M836" s="497" t="s">
        <v>1299</v>
      </c>
      <c r="N836" s="498" t="s">
        <v>351</v>
      </c>
      <c r="O836" s="507">
        <f t="shared" ref="O836:T836" si="150">SUM(O837:O843)</f>
        <v>0</v>
      </c>
      <c r="P836" s="507">
        <f t="shared" si="150"/>
        <v>0</v>
      </c>
      <c r="Q836" s="507">
        <f t="shared" si="150"/>
        <v>0</v>
      </c>
      <c r="R836" s="507">
        <f t="shared" si="150"/>
        <v>0</v>
      </c>
      <c r="S836" s="507">
        <f t="shared" si="150"/>
        <v>0</v>
      </c>
      <c r="T836" s="507">
        <f t="shared" si="150"/>
        <v>0</v>
      </c>
      <c r="U836" s="513"/>
    </row>
    <row r="837" spans="1:21" s="510" customFormat="1" ht="12.75" customHeight="1" outlineLevel="1">
      <c r="A837" s="581" t="str">
        <f t="shared" si="149"/>
        <v>1</v>
      </c>
      <c r="B837" s="104" t="s">
        <v>1346</v>
      </c>
      <c r="C837" s="603" t="s">
        <v>1548</v>
      </c>
      <c r="L837" s="511" t="s">
        <v>154</v>
      </c>
      <c r="M837" s="514" t="s">
        <v>553</v>
      </c>
      <c r="N837" s="498" t="s">
        <v>351</v>
      </c>
      <c r="O837" s="515"/>
      <c r="P837" s="515"/>
      <c r="Q837" s="515"/>
      <c r="R837" s="515"/>
      <c r="S837" s="515"/>
      <c r="T837" s="515"/>
      <c r="U837" s="513"/>
    </row>
    <row r="838" spans="1:21" s="510" customFormat="1" ht="12.75" customHeight="1" outlineLevel="1">
      <c r="A838" s="581" t="str">
        <f t="shared" si="149"/>
        <v>1</v>
      </c>
      <c r="B838" s="104" t="s">
        <v>1345</v>
      </c>
      <c r="C838" s="603" t="s">
        <v>1550</v>
      </c>
      <c r="L838" s="511" t="s">
        <v>155</v>
      </c>
      <c r="M838" s="514" t="s">
        <v>555</v>
      </c>
      <c r="N838" s="498" t="s">
        <v>351</v>
      </c>
      <c r="O838" s="515"/>
      <c r="P838" s="515"/>
      <c r="Q838" s="515"/>
      <c r="R838" s="515"/>
      <c r="S838" s="515"/>
      <c r="T838" s="515"/>
      <c r="U838" s="513"/>
    </row>
    <row r="839" spans="1:21" s="510" customFormat="1" ht="12.75" customHeight="1" outlineLevel="1">
      <c r="A839" s="581" t="str">
        <f t="shared" si="149"/>
        <v>1</v>
      </c>
      <c r="B839" s="104" t="s">
        <v>1347</v>
      </c>
      <c r="C839" s="603" t="s">
        <v>1555</v>
      </c>
      <c r="L839" s="511" t="s">
        <v>368</v>
      </c>
      <c r="M839" s="514" t="s">
        <v>557</v>
      </c>
      <c r="N839" s="498" t="s">
        <v>351</v>
      </c>
      <c r="O839" s="515"/>
      <c r="P839" s="515"/>
      <c r="Q839" s="515"/>
      <c r="R839" s="515"/>
      <c r="S839" s="515"/>
      <c r="T839" s="515"/>
      <c r="U839" s="513"/>
    </row>
    <row r="840" spans="1:21" s="510" customFormat="1" ht="12.75" customHeight="1" outlineLevel="1">
      <c r="A840" s="581" t="str">
        <f t="shared" si="149"/>
        <v>1</v>
      </c>
      <c r="B840" s="104" t="s">
        <v>1348</v>
      </c>
      <c r="C840" s="603" t="s">
        <v>1556</v>
      </c>
      <c r="L840" s="511" t="s">
        <v>369</v>
      </c>
      <c r="M840" s="514" t="s">
        <v>559</v>
      </c>
      <c r="N840" s="498" t="s">
        <v>351</v>
      </c>
      <c r="O840" s="515"/>
      <c r="P840" s="515"/>
      <c r="Q840" s="515"/>
      <c r="R840" s="515"/>
      <c r="S840" s="515"/>
      <c r="T840" s="515"/>
      <c r="U840" s="513"/>
    </row>
    <row r="841" spans="1:21" s="510" customFormat="1" outlineLevel="1">
      <c r="A841" s="581" t="str">
        <f t="shared" si="149"/>
        <v>1</v>
      </c>
      <c r="B841" s="104" t="s">
        <v>1349</v>
      </c>
      <c r="C841" s="603" t="s">
        <v>1557</v>
      </c>
      <c r="L841" s="511" t="s">
        <v>370</v>
      </c>
      <c r="M841" s="514" t="s">
        <v>561</v>
      </c>
      <c r="N841" s="498" t="s">
        <v>351</v>
      </c>
      <c r="O841" s="515"/>
      <c r="P841" s="515"/>
      <c r="Q841" s="515"/>
      <c r="R841" s="515"/>
      <c r="S841" s="515"/>
      <c r="T841" s="515"/>
      <c r="U841" s="513"/>
    </row>
    <row r="842" spans="1:21" s="510" customFormat="1" ht="12.75" customHeight="1" outlineLevel="1">
      <c r="A842" s="581" t="str">
        <f t="shared" si="149"/>
        <v>1</v>
      </c>
      <c r="B842" s="104" t="s">
        <v>1350</v>
      </c>
      <c r="C842" s="603" t="s">
        <v>1569</v>
      </c>
      <c r="L842" s="511" t="s">
        <v>1300</v>
      </c>
      <c r="M842" s="514" t="s">
        <v>563</v>
      </c>
      <c r="N842" s="498" t="s">
        <v>351</v>
      </c>
      <c r="O842" s="515"/>
      <c r="P842" s="515"/>
      <c r="Q842" s="515"/>
      <c r="R842" s="515"/>
      <c r="S842" s="515"/>
      <c r="T842" s="515"/>
      <c r="U842" s="513"/>
    </row>
    <row r="843" spans="1:21" s="510" customFormat="1" ht="12.75" customHeight="1" outlineLevel="1">
      <c r="A843" s="581" t="str">
        <f t="shared" si="149"/>
        <v>1</v>
      </c>
      <c r="B843" s="104" t="s">
        <v>1457</v>
      </c>
      <c r="C843" s="603" t="s">
        <v>1570</v>
      </c>
      <c r="L843" s="511" t="s">
        <v>1458</v>
      </c>
      <c r="M843" s="514" t="s">
        <v>1459</v>
      </c>
      <c r="N843" s="587" t="s">
        <v>351</v>
      </c>
      <c r="O843" s="515"/>
      <c r="P843" s="515"/>
      <c r="Q843" s="515"/>
      <c r="R843" s="515"/>
      <c r="S843" s="515"/>
      <c r="T843" s="515"/>
      <c r="U843" s="513"/>
    </row>
    <row r="844" spans="1:21" s="510" customFormat="1" ht="60.75" customHeight="1" outlineLevel="1">
      <c r="A844" s="581" t="str">
        <f t="shared" si="149"/>
        <v>1</v>
      </c>
      <c r="B844" s="484" t="s">
        <v>1301</v>
      </c>
      <c r="C844" s="603" t="s">
        <v>1484</v>
      </c>
      <c r="L844" s="511" t="s">
        <v>104</v>
      </c>
      <c r="M844" s="497" t="s">
        <v>1302</v>
      </c>
      <c r="N844" s="498" t="s">
        <v>351</v>
      </c>
      <c r="O844" s="515"/>
      <c r="P844" s="515"/>
      <c r="Q844" s="515"/>
      <c r="R844" s="515"/>
      <c r="S844" s="515"/>
      <c r="T844" s="515"/>
      <c r="U844" s="513"/>
    </row>
    <row r="845" spans="1:21" s="510" customFormat="1" ht="13.5" customHeight="1" outlineLevel="1">
      <c r="A845" s="581" t="str">
        <f t="shared" si="149"/>
        <v>1</v>
      </c>
      <c r="B845" s="484" t="s">
        <v>1303</v>
      </c>
      <c r="C845" s="603" t="s">
        <v>1485</v>
      </c>
      <c r="L845" s="511" t="s">
        <v>120</v>
      </c>
      <c r="M845" s="497" t="s">
        <v>1304</v>
      </c>
      <c r="N845" s="498" t="s">
        <v>351</v>
      </c>
      <c r="O845" s="515"/>
      <c r="P845" s="515"/>
      <c r="Q845" s="515"/>
      <c r="R845" s="515"/>
      <c r="S845" s="515"/>
      <c r="T845" s="515"/>
      <c r="U845" s="513"/>
    </row>
    <row r="846" spans="1:21" s="510" customFormat="1" ht="15" customHeight="1" outlineLevel="1">
      <c r="A846" s="581" t="str">
        <f t="shared" si="149"/>
        <v>1</v>
      </c>
      <c r="B846" s="484" t="s">
        <v>1305</v>
      </c>
      <c r="C846" s="603" t="s">
        <v>1486</v>
      </c>
      <c r="L846" s="511" t="s">
        <v>124</v>
      </c>
      <c r="M846" s="497" t="s">
        <v>1306</v>
      </c>
      <c r="N846" s="498" t="s">
        <v>351</v>
      </c>
      <c r="O846" s="515"/>
      <c r="P846" s="515"/>
      <c r="Q846" s="515"/>
      <c r="R846" s="515"/>
      <c r="S846" s="515"/>
      <c r="T846" s="515"/>
      <c r="U846" s="513"/>
    </row>
    <row r="847" spans="1:21" s="510" customFormat="1" ht="15" customHeight="1" outlineLevel="1">
      <c r="A847" s="581" t="str">
        <f t="shared" si="149"/>
        <v>1</v>
      </c>
      <c r="B847" s="484" t="s">
        <v>1307</v>
      </c>
      <c r="C847" s="603" t="s">
        <v>1487</v>
      </c>
      <c r="L847" s="511" t="s">
        <v>125</v>
      </c>
      <c r="M847" s="497" t="s">
        <v>1308</v>
      </c>
      <c r="N847" s="498" t="s">
        <v>351</v>
      </c>
      <c r="O847" s="515"/>
      <c r="P847" s="515"/>
      <c r="Q847" s="515"/>
      <c r="R847" s="515"/>
      <c r="S847" s="515"/>
      <c r="T847" s="515"/>
      <c r="U847" s="513"/>
    </row>
    <row r="848" spans="1:21" s="510" customFormat="1" ht="17.25" customHeight="1" outlineLevel="1">
      <c r="A848" s="581" t="str">
        <f t="shared" si="149"/>
        <v>1</v>
      </c>
      <c r="B848" s="484" t="s">
        <v>1309</v>
      </c>
      <c r="C848" s="603" t="s">
        <v>1494</v>
      </c>
      <c r="L848" s="511" t="s">
        <v>126</v>
      </c>
      <c r="M848" s="497" t="s">
        <v>1310</v>
      </c>
      <c r="N848" s="498" t="s">
        <v>351</v>
      </c>
      <c r="O848" s="507">
        <f t="shared" ref="O848:T848" si="151">SUM(O849:O851)</f>
        <v>0</v>
      </c>
      <c r="P848" s="507">
        <f t="shared" si="151"/>
        <v>0</v>
      </c>
      <c r="Q848" s="507">
        <f t="shared" si="151"/>
        <v>0</v>
      </c>
      <c r="R848" s="507">
        <f t="shared" si="151"/>
        <v>0</v>
      </c>
      <c r="S848" s="507">
        <f t="shared" si="151"/>
        <v>0</v>
      </c>
      <c r="T848" s="507">
        <f t="shared" si="151"/>
        <v>0</v>
      </c>
      <c r="U848" s="513"/>
    </row>
    <row r="849" spans="1:21" s="510" customFormat="1" ht="15.75" customHeight="1" outlineLevel="1">
      <c r="A849" s="581" t="str">
        <f t="shared" si="149"/>
        <v>1</v>
      </c>
      <c r="B849" s="484" t="s">
        <v>1311</v>
      </c>
      <c r="C849" s="603" t="s">
        <v>1504</v>
      </c>
      <c r="L849" s="511" t="s">
        <v>141</v>
      </c>
      <c r="M849" s="514" t="s">
        <v>1312</v>
      </c>
      <c r="N849" s="498" t="s">
        <v>351</v>
      </c>
      <c r="O849" s="515"/>
      <c r="P849" s="515"/>
      <c r="Q849" s="515"/>
      <c r="R849" s="515"/>
      <c r="S849" s="515"/>
      <c r="T849" s="515"/>
      <c r="U849" s="513"/>
    </row>
    <row r="850" spans="1:21" s="510" customFormat="1" ht="45" outlineLevel="1">
      <c r="A850" s="581" t="str">
        <f t="shared" si="149"/>
        <v>1</v>
      </c>
      <c r="B850" s="484" t="s">
        <v>1313</v>
      </c>
      <c r="C850" s="603" t="s">
        <v>1505</v>
      </c>
      <c r="L850" s="511" t="s">
        <v>183</v>
      </c>
      <c r="M850" s="514" t="s">
        <v>1314</v>
      </c>
      <c r="N850" s="498" t="s">
        <v>351</v>
      </c>
      <c r="O850" s="515"/>
      <c r="P850" s="515"/>
      <c r="Q850" s="515"/>
      <c r="R850" s="515"/>
      <c r="S850" s="515"/>
      <c r="T850" s="515"/>
      <c r="U850" s="513"/>
    </row>
    <row r="851" spans="1:21" s="510" customFormat="1" ht="12.75" customHeight="1" outlineLevel="1">
      <c r="A851" s="581" t="str">
        <f t="shared" si="149"/>
        <v>1</v>
      </c>
      <c r="B851" s="104" t="s">
        <v>1460</v>
      </c>
      <c r="C851" s="603" t="s">
        <v>1506</v>
      </c>
      <c r="L851" s="511" t="s">
        <v>389</v>
      </c>
      <c r="M851" s="514" t="s">
        <v>1461</v>
      </c>
      <c r="N851" s="587" t="s">
        <v>351</v>
      </c>
      <c r="O851" s="515"/>
      <c r="P851" s="515"/>
      <c r="Q851" s="515"/>
      <c r="R851" s="515"/>
      <c r="S851" s="515"/>
      <c r="T851" s="515"/>
      <c r="U851" s="513"/>
    </row>
    <row r="852" spans="1:21" s="492" customFormat="1">
      <c r="A852" s="580" t="s">
        <v>1329</v>
      </c>
      <c r="M852" s="493"/>
      <c r="N852" s="493"/>
      <c r="O852" s="516"/>
      <c r="P852" s="516"/>
      <c r="Q852" s="517"/>
      <c r="R852" s="517"/>
      <c r="S852" s="517"/>
    </row>
    <row r="853" spans="1:21" s="510" customFormat="1" ht="14.25" outlineLevel="1">
      <c r="A853" s="484" t="str">
        <f>A852</f>
        <v>et_List20_1</v>
      </c>
      <c r="K853" s="135" t="s">
        <v>264</v>
      </c>
      <c r="L853" s="511"/>
      <c r="M853" s="505"/>
      <c r="N853" s="498" t="s">
        <v>351</v>
      </c>
      <c r="O853" s="515"/>
      <c r="P853" s="515"/>
      <c r="Q853" s="515"/>
      <c r="R853" s="515"/>
      <c r="S853" s="515"/>
      <c r="T853" s="515"/>
      <c r="U853" s="513"/>
    </row>
    <row r="854" spans="1:21" s="492" customFormat="1">
      <c r="A854" s="582"/>
      <c r="M854" s="493"/>
      <c r="N854" s="493"/>
      <c r="O854" s="493"/>
      <c r="P854" s="493"/>
    </row>
    <row r="855" spans="1:21" s="489" customFormat="1" ht="30" customHeight="1">
      <c r="A855" s="488" t="s">
        <v>1315</v>
      </c>
      <c r="M855" s="490"/>
      <c r="N855" s="490"/>
      <c r="O855" s="490"/>
      <c r="P855" s="490"/>
    </row>
    <row r="856" spans="1:21" s="492" customFormat="1">
      <c r="A856" s="580" t="s">
        <v>1330</v>
      </c>
      <c r="M856" s="493"/>
      <c r="N856" s="493"/>
      <c r="O856" s="493"/>
      <c r="P856" s="493"/>
    </row>
    <row r="857" spans="1:21" s="487" customFormat="1" ht="15">
      <c r="A857" s="172" t="s">
        <v>18</v>
      </c>
      <c r="B857" s="605" t="s">
        <v>1549</v>
      </c>
      <c r="L857" s="268" t="str">
        <f>INDEX('Общие сведения'!$J$114:$J$127,MATCH($A857,'Общие сведения'!$D$114:$D$127,0))</f>
        <v>Тариф 1 (Водоснабжение) - тариф на питьевую воду</v>
      </c>
      <c r="M857" s="518"/>
      <c r="N857" s="518"/>
      <c r="O857" s="519">
        <f t="shared" ref="O857:T857" si="152">SUM(O858:O866)</f>
        <v>0</v>
      </c>
      <c r="P857" s="519">
        <f t="shared" si="152"/>
        <v>0</v>
      </c>
      <c r="Q857" s="519">
        <f t="shared" si="152"/>
        <v>0</v>
      </c>
      <c r="R857" s="519">
        <f t="shared" si="152"/>
        <v>0</v>
      </c>
      <c r="S857" s="519">
        <f t="shared" si="152"/>
        <v>0</v>
      </c>
      <c r="T857" s="519">
        <f t="shared" si="152"/>
        <v>0</v>
      </c>
      <c r="U857" s="518"/>
    </row>
    <row r="858" spans="1:21" s="487" customFormat="1" ht="22.5" outlineLevel="1">
      <c r="A858" s="581" t="str">
        <f>A857</f>
        <v>1</v>
      </c>
      <c r="B858" s="605" t="s">
        <v>1480</v>
      </c>
      <c r="L858" s="520" t="s">
        <v>18</v>
      </c>
      <c r="M858" s="521" t="s">
        <v>1316</v>
      </c>
      <c r="N858" s="522" t="s">
        <v>351</v>
      </c>
      <c r="O858" s="243"/>
      <c r="P858" s="515"/>
      <c r="Q858" s="515"/>
      <c r="R858" s="515"/>
      <c r="S858" s="515"/>
      <c r="T858" s="515"/>
      <c r="U858" s="523"/>
    </row>
    <row r="859" spans="1:21" s="487" customFormat="1" ht="22.5" outlineLevel="1">
      <c r="A859" s="581" t="str">
        <f t="shared" ref="A859:A868" si="153">A858</f>
        <v>1</v>
      </c>
      <c r="B859" s="605" t="s">
        <v>1481</v>
      </c>
      <c r="L859" s="520" t="s">
        <v>102</v>
      </c>
      <c r="M859" s="521" t="s">
        <v>1317</v>
      </c>
      <c r="N859" s="522" t="s">
        <v>351</v>
      </c>
      <c r="O859" s="243"/>
      <c r="P859" s="515"/>
      <c r="Q859" s="515"/>
      <c r="R859" s="515"/>
      <c r="S859" s="515"/>
      <c r="T859" s="515"/>
      <c r="U859" s="523"/>
    </row>
    <row r="860" spans="1:21" s="487" customFormat="1" ht="22.5" outlineLevel="1">
      <c r="A860" s="581" t="str">
        <f t="shared" si="153"/>
        <v>1</v>
      </c>
      <c r="B860" s="605" t="s">
        <v>1483</v>
      </c>
      <c r="L860" s="520" t="s">
        <v>103</v>
      </c>
      <c r="M860" s="521" t="s">
        <v>1318</v>
      </c>
      <c r="N860" s="522" t="s">
        <v>351</v>
      </c>
      <c r="O860" s="243"/>
      <c r="P860" s="515"/>
      <c r="Q860" s="515"/>
      <c r="R860" s="515"/>
      <c r="S860" s="515"/>
      <c r="T860" s="515"/>
      <c r="U860" s="523"/>
    </row>
    <row r="861" spans="1:21" s="487" customFormat="1" ht="33.75" outlineLevel="1">
      <c r="A861" s="581" t="str">
        <f t="shared" si="153"/>
        <v>1</v>
      </c>
      <c r="B861" s="605" t="s">
        <v>1484</v>
      </c>
      <c r="L861" s="524">
        <v>4</v>
      </c>
      <c r="M861" s="521" t="s">
        <v>1319</v>
      </c>
      <c r="N861" s="522" t="s">
        <v>351</v>
      </c>
      <c r="O861" s="535">
        <f>SUMIFS(ФОТ!O$15:O$35,ФОТ!$A$15:$A$35,$A861,ФОТ!$B$15:$B$35,"СП")+SUMIFS(ФОТ!O$15:O$35,ФОТ!$A$15:$A$35,$A861,ФОТ!$B$15:$B$35,"СОЦ_СП")</f>
        <v>0</v>
      </c>
      <c r="P861" s="535">
        <f>SUMIFS(ФОТ!P$15:P$35,ФОТ!$A$15:$A$35,$A861,ФОТ!$B$15:$B$35,"СП")+SUMIFS(ФОТ!P$15:P$35,ФОТ!$A$15:$A$35,$A861,ФОТ!$B$15:$B$35,"СОЦ_СП")</f>
        <v>0</v>
      </c>
      <c r="Q861" s="535">
        <f>SUMIFS(ФОТ!Q$15:Q$35,ФОТ!$A$15:$A$35,$A861,ФОТ!$B$15:$B$35,"СП")+SUMIFS(ФОТ!Q$15:Q$35,ФОТ!$A$15:$A$35,$A861,ФОТ!$B$15:$B$35,"СОЦ_СП")</f>
        <v>0</v>
      </c>
      <c r="R861" s="535">
        <f>SUMIFS(ФОТ!R$15:R$35,ФОТ!$A$15:$A$35,$A861,ФОТ!$B$15:$B$35,"СП")+SUMIFS(ФОТ!R$15:R$35,ФОТ!$A$15:$A$35,$A861,ФОТ!$B$15:$B$35,"СОЦ_СП")</f>
        <v>0</v>
      </c>
      <c r="S861" s="535">
        <f>SUMIFS(ФОТ!S$15:S$35,ФОТ!$A$15:$A$35,$A861,ФОТ!$B$15:$B$35,"СП")+SUMIFS(ФОТ!S$15:S$35,ФОТ!$A$15:$A$35,$A861,ФОТ!$B$15:$B$35,"СОЦ_СП")</f>
        <v>0</v>
      </c>
      <c r="T861" s="535">
        <f>SUMIFS(ФОТ!T$15:T$35,ФОТ!$A$15:$A$35,$A861,ФОТ!$B$15:$B$35,"СП")+SUMIFS(ФОТ!T$15:T$35,ФОТ!$A$15:$A$35,$A861,ФОТ!$B$15:$B$35,"СОЦ_СП")</f>
        <v>0</v>
      </c>
      <c r="U861" s="523"/>
    </row>
    <row r="862" spans="1:21" s="487" customFormat="1" ht="22.5" outlineLevel="1">
      <c r="A862" s="581" t="str">
        <f t="shared" si="153"/>
        <v>1</v>
      </c>
      <c r="B862" s="605" t="s">
        <v>1485</v>
      </c>
      <c r="L862" s="520" t="s">
        <v>120</v>
      </c>
      <c r="M862" s="521" t="s">
        <v>1320</v>
      </c>
      <c r="N862" s="522" t="s">
        <v>351</v>
      </c>
      <c r="O862" s="243"/>
      <c r="P862" s="243"/>
      <c r="Q862" s="243"/>
      <c r="R862" s="243"/>
      <c r="S862" s="243"/>
      <c r="T862" s="243"/>
      <c r="U862" s="523"/>
    </row>
    <row r="863" spans="1:21" s="487" customFormat="1" ht="22.5" outlineLevel="1">
      <c r="A863" s="581" t="str">
        <f t="shared" si="153"/>
        <v>1</v>
      </c>
      <c r="B863" s="605" t="s">
        <v>1486</v>
      </c>
      <c r="L863" s="520" t="s">
        <v>124</v>
      </c>
      <c r="M863" s="521" t="s">
        <v>1321</v>
      </c>
      <c r="N863" s="522" t="s">
        <v>351</v>
      </c>
      <c r="O863" s="243"/>
      <c r="P863" s="243"/>
      <c r="Q863" s="243"/>
      <c r="R863" s="243"/>
      <c r="S863" s="243"/>
      <c r="T863" s="243"/>
      <c r="U863" s="523"/>
    </row>
    <row r="864" spans="1:21" s="487" customFormat="1" ht="45" outlineLevel="1">
      <c r="A864" s="581" t="str">
        <f t="shared" si="153"/>
        <v>1</v>
      </c>
      <c r="B864" s="605" t="s">
        <v>1487</v>
      </c>
      <c r="L864" s="520" t="s">
        <v>125</v>
      </c>
      <c r="M864" s="521" t="s">
        <v>1322</v>
      </c>
      <c r="N864" s="522" t="s">
        <v>351</v>
      </c>
      <c r="O864" s="243"/>
      <c r="P864" s="243"/>
      <c r="Q864" s="243"/>
      <c r="R864" s="243"/>
      <c r="S864" s="243"/>
      <c r="T864" s="243"/>
      <c r="U864" s="523"/>
    </row>
    <row r="865" spans="1:27" s="487" customFormat="1" ht="33.75" outlineLevel="1">
      <c r="A865" s="581" t="str">
        <f t="shared" si="153"/>
        <v>1</v>
      </c>
      <c r="B865" s="605" t="s">
        <v>1494</v>
      </c>
      <c r="L865" s="520" t="s">
        <v>126</v>
      </c>
      <c r="M865" s="521" t="s">
        <v>1323</v>
      </c>
      <c r="N865" s="522" t="s">
        <v>351</v>
      </c>
      <c r="O865" s="243"/>
      <c r="P865" s="243"/>
      <c r="Q865" s="243"/>
      <c r="R865" s="243"/>
      <c r="S865" s="243"/>
      <c r="T865" s="243"/>
      <c r="U865" s="523"/>
    </row>
    <row r="866" spans="1:27" s="487" customFormat="1" ht="15" outlineLevel="1">
      <c r="A866" s="581" t="str">
        <f t="shared" si="153"/>
        <v>1</v>
      </c>
      <c r="B866" s="605" t="s">
        <v>1495</v>
      </c>
      <c r="L866" s="524">
        <v>9</v>
      </c>
      <c r="M866" s="521" t="s">
        <v>1324</v>
      </c>
      <c r="N866" s="522" t="s">
        <v>351</v>
      </c>
      <c r="O866" s="525">
        <f t="shared" ref="O866:T866" si="154">SUM(O867:O868)</f>
        <v>0</v>
      </c>
      <c r="P866" s="525">
        <f t="shared" si="154"/>
        <v>0</v>
      </c>
      <c r="Q866" s="525">
        <f t="shared" si="154"/>
        <v>0</v>
      </c>
      <c r="R866" s="525">
        <f t="shared" si="154"/>
        <v>0</v>
      </c>
      <c r="S866" s="525">
        <f t="shared" si="154"/>
        <v>0</v>
      </c>
      <c r="T866" s="525">
        <f t="shared" si="154"/>
        <v>0</v>
      </c>
      <c r="U866" s="523"/>
    </row>
    <row r="867" spans="1:27" s="487" customFormat="1" ht="15" hidden="1" outlineLevel="1">
      <c r="A867" s="581" t="str">
        <f t="shared" si="153"/>
        <v>1</v>
      </c>
      <c r="L867" s="526" t="s">
        <v>1325</v>
      </c>
      <c r="M867" s="527"/>
      <c r="N867" s="522"/>
      <c r="O867" s="528"/>
      <c r="P867" s="528"/>
      <c r="Q867" s="528"/>
      <c r="R867" s="528"/>
      <c r="S867" s="528"/>
      <c r="T867" s="528"/>
      <c r="U867" s="529"/>
    </row>
    <row r="868" spans="1:27" s="510" customFormat="1" ht="15" customHeight="1" outlineLevel="1">
      <c r="A868" s="581" t="str">
        <f t="shared" si="153"/>
        <v>1</v>
      </c>
      <c r="B868" s="510" t="str">
        <f>A868&amp;"pIns"</f>
        <v>1pIns</v>
      </c>
      <c r="L868" s="246"/>
      <c r="M868" s="247" t="s">
        <v>352</v>
      </c>
      <c r="N868" s="247"/>
      <c r="O868" s="247"/>
      <c r="P868" s="247"/>
      <c r="Q868" s="247"/>
      <c r="R868" s="247"/>
      <c r="S868" s="247"/>
      <c r="T868" s="247"/>
      <c r="U868" s="248"/>
    </row>
    <row r="869" spans="1:27" s="492" customFormat="1">
      <c r="A869" s="580" t="s">
        <v>1331</v>
      </c>
      <c r="M869" s="493"/>
      <c r="N869" s="493"/>
      <c r="O869" s="493"/>
      <c r="P869" s="493"/>
    </row>
    <row r="870" spans="1:27" s="487" customFormat="1" ht="15" outlineLevel="1">
      <c r="A870" s="484" t="str">
        <f>A869</f>
        <v>et_List21_1</v>
      </c>
      <c r="B870" s="605" t="s">
        <v>1495</v>
      </c>
      <c r="C870" s="487">
        <f>M870</f>
        <v>0</v>
      </c>
      <c r="K870" s="135" t="s">
        <v>264</v>
      </c>
      <c r="L870" s="511"/>
      <c r="M870" s="505"/>
      <c r="N870" s="522" t="s">
        <v>351</v>
      </c>
      <c r="O870" s="243"/>
      <c r="P870" s="243"/>
      <c r="Q870" s="243"/>
      <c r="R870" s="243"/>
      <c r="S870" s="243"/>
      <c r="T870" s="243"/>
      <c r="U870" s="523"/>
    </row>
    <row r="871" spans="1:27" s="492" customFormat="1">
      <c r="A871" s="582"/>
      <c r="M871" s="493"/>
      <c r="N871" s="493"/>
      <c r="O871" s="493"/>
      <c r="P871" s="493"/>
    </row>
    <row r="872" spans="1:27">
      <c r="AA872" s="1"/>
    </row>
    <row r="873" spans="1:27">
      <c r="AA873" s="1"/>
    </row>
    <row r="874" spans="1:27">
      <c r="AA874" s="1"/>
    </row>
    <row r="875" spans="1:27">
      <c r="AA875" s="1"/>
    </row>
    <row r="876" spans="1:27">
      <c r="AA876" s="1"/>
    </row>
    <row r="877" spans="1:27">
      <c r="AA877" s="1"/>
    </row>
    <row r="878" spans="1:27">
      <c r="AA878" s="1"/>
    </row>
    <row r="879" spans="1:27">
      <c r="AA879" s="1"/>
    </row>
    <row r="880" spans="1:27">
      <c r="AA880" s="1"/>
    </row>
  </sheetData>
  <sheetProtection formatColumns="0" formatRows="0" autoFilter="0"/>
  <mergeCells count="45">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L755:U755"/>
    <mergeCell ref="J336:J338"/>
    <mergeCell ref="E17:G17"/>
    <mergeCell ref="J827:J829"/>
    <mergeCell ref="J216:J218"/>
    <mergeCell ref="J320:J322"/>
    <mergeCell ref="J324:J326"/>
    <mergeCell ref="J328:J330"/>
    <mergeCell ref="J332:J334"/>
    <mergeCell ref="J227:J233"/>
    <mergeCell ref="J632:J633"/>
    <mergeCell ref="J635:J640"/>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3"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S867:T867"/>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141:AL144 AO642:AP642 AL642:AM642 AI642:AJ642 AF642:AG642 AC642:AD642 Z642:AA642 W642:X642 T642:U642 Q642:R642 N642:O642 AO627:AP628 AL627:AM628 AI627:AJ628 AF627:AG628 AC627:AD628 Z627:AA628 W627:X628 T627:U628 Q627:R628 N627:O628 O225:AL225 O316:AL318 O292:AL296 O281:AL285 O275:AL279 O858:T865 O263:AL267 O257:AL261 O251:AL255 O245:AL249 O239:AL243 AO635:AP637 O216:AL216 O72:R72 O205:AL205 O699:O748 Y86:AP93 S86:U93 O86:Q93 Y83:AP84 S83:U84 O83:Q84 O269:AL273 Y78:AP80 O185:AL186 O192:AL192 N616:O617 O647:O696 O344:AL351 O324:AL325 O320:AL321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O336:AL337 O188:AL190 AO613:AP614 M753:U753 O66:R66 O230:AL231 O99:AL100 O102:AL104 O106:AL109 O111:AL114 O118:AL120 O122:AL123 O126:AL127 O129:AL130 O138:AL139 O59:R59 O147:AL148 O150:AL152 O156:AL157 O162:AL163 O165:AL166 O168:AL169 O132:AL134 O171:AL176 O178:AL181 O194:AL196 R400:V400 P399:R399 V399 FE627:FF628 O328:AL329 O332:AL333 O870:T870 O78:Q80 S78:U80 O218:AL218 O223:AL223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O233:AL233 O228:AL228 O159:AL159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EY627:EZ628 FB627:FC628 M756:U805">
      <formula1>0</formula1>
      <formula2>9.99999999999999E+23</formula2>
    </dataValidation>
    <dataValidation type="decimal" allowBlank="1" showErrorMessage="1" errorTitle="Ошибка" error="Допускается ввод только действительных чисел!" sqref="O372:AN374 O368:AN370 P411:Q420 P435:Q447 O578:Q578 P422:Q432 O389:AH391 O399:O400 S578:AM578 O363:AN366 O381:AN383 O376:AN379 P408:Q408 P406:Q406 O573:Q576 S522:AM522 O522:Q522 S573:AM576 S533:AM535 O533:Q535 O525:Q525 S543:AM558 S509:AM510 O509:Q510 AE460:AM462 S525:AM525 AD472:AD473 O562:Q563 O472:Q473 AE487:AM498 O498:Q498 O462:Q462 S464:AM470 O453:Q453 S562:AM563 O456:Q458 AD462 S498:T498 S472:T473 U472:AC476 S462:T462 S453:T453 AD453 AE472:AM476 AE479:AM485 S456:AM458 U460:AC462 U487:AC488 U497:AC498 O529:Q531 O565:Q570 S565:AM570 O464:Q470 AD498 O543:Q558 O527:Q527 S529:T531 S527:T527 U527:AC531 AE527:AM531 AD527 AD529:AD53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AM313 AM356 AO361:AO383 AI388:AI394 R86:R93 X86:X93 R83:R84 X83:X84 AM336:AM338 R78:R80 AM216:AM218 U858:U866 X78:X80 U870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election sqref="A1:A86"/>
    </sheetView>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682</v>
      </c>
      <c r="C1" s="110" t="s">
        <v>28</v>
      </c>
      <c r="D1" s="110"/>
      <c r="E1" s="110"/>
      <c r="F1" s="110"/>
      <c r="G1" s="112" t="s">
        <v>683</v>
      </c>
      <c r="H1" s="110"/>
      <c r="I1" s="110"/>
      <c r="J1" s="110"/>
      <c r="K1" s="110"/>
      <c r="L1" s="113"/>
      <c r="M1" s="112" t="s">
        <v>684</v>
      </c>
      <c r="N1" s="110"/>
      <c r="O1" s="113"/>
      <c r="P1" s="110"/>
      <c r="Q1" s="112" t="s">
        <v>685</v>
      </c>
      <c r="R1" s="112" t="s">
        <v>686</v>
      </c>
      <c r="S1" s="112" t="s">
        <v>895</v>
      </c>
      <c r="T1" s="112" t="s">
        <v>991</v>
      </c>
      <c r="U1" s="112" t="s">
        <v>994</v>
      </c>
      <c r="V1" s="129" t="s">
        <v>1388</v>
      </c>
      <c r="W1" s="129" t="s">
        <v>1096</v>
      </c>
      <c r="X1" s="129" t="s">
        <v>1011</v>
      </c>
      <c r="Y1" s="129" t="s">
        <v>1034</v>
      </c>
      <c r="Z1" s="129" t="s">
        <v>1208</v>
      </c>
    </row>
    <row r="2" spans="1:26" ht="12" customHeight="1">
      <c r="A2" s="110" t="s">
        <v>29</v>
      </c>
      <c r="B2" s="111" t="s">
        <v>687</v>
      </c>
      <c r="C2" s="110" t="s">
        <v>29</v>
      </c>
      <c r="D2" s="110"/>
      <c r="E2" s="110"/>
      <c r="F2" s="110"/>
      <c r="G2" s="115" t="s">
        <v>20</v>
      </c>
      <c r="H2" s="110"/>
      <c r="I2" s="110"/>
      <c r="J2" s="110"/>
      <c r="K2" s="110"/>
      <c r="L2" s="110"/>
      <c r="M2" s="116" t="s">
        <v>688</v>
      </c>
      <c r="N2" s="110"/>
      <c r="O2" s="110"/>
      <c r="P2" s="110"/>
      <c r="Q2" s="115">
        <v>2012</v>
      </c>
      <c r="R2" s="115" t="s">
        <v>0</v>
      </c>
      <c r="S2" s="115">
        <v>3</v>
      </c>
      <c r="T2" s="128" t="s">
        <v>992</v>
      </c>
      <c r="U2" s="128" t="s">
        <v>995</v>
      </c>
      <c r="V2" s="147" t="s">
        <v>997</v>
      </c>
      <c r="W2" s="147" t="s">
        <v>1097</v>
      </c>
      <c r="X2" s="147" t="s">
        <v>1426</v>
      </c>
      <c r="Y2" s="147" t="s">
        <v>1185</v>
      </c>
      <c r="Z2" s="147" t="s">
        <v>1185</v>
      </c>
    </row>
    <row r="3" spans="1:26" ht="12" customHeight="1">
      <c r="A3" s="110" t="s">
        <v>30</v>
      </c>
      <c r="B3" s="111" t="s">
        <v>689</v>
      </c>
      <c r="C3" s="110" t="s">
        <v>30</v>
      </c>
      <c r="D3" s="110"/>
      <c r="E3" s="110"/>
      <c r="F3" s="110"/>
      <c r="G3" s="115" t="s">
        <v>21</v>
      </c>
      <c r="H3" s="110"/>
      <c r="I3" s="110"/>
      <c r="J3" s="110"/>
      <c r="K3" s="110"/>
      <c r="L3" s="110"/>
      <c r="M3" s="110"/>
      <c r="N3" s="110"/>
      <c r="O3" s="110"/>
      <c r="P3" s="110"/>
      <c r="Q3" s="115">
        <v>2013</v>
      </c>
      <c r="R3" s="115" t="s">
        <v>1</v>
      </c>
      <c r="S3" s="115">
        <v>4</v>
      </c>
      <c r="T3" s="128" t="s">
        <v>993</v>
      </c>
      <c r="U3" s="128" t="s">
        <v>996</v>
      </c>
      <c r="V3" s="147" t="s">
        <v>998</v>
      </c>
      <c r="W3" s="147" t="s">
        <v>1098</v>
      </c>
      <c r="X3" s="147" t="s">
        <v>1427</v>
      </c>
      <c r="Y3" s="147" t="s">
        <v>1029</v>
      </c>
      <c r="Z3" s="147" t="s">
        <v>1029</v>
      </c>
    </row>
    <row r="4" spans="1:26" ht="12" customHeight="1">
      <c r="A4" s="110" t="s">
        <v>31</v>
      </c>
      <c r="B4" s="111" t="s">
        <v>690</v>
      </c>
      <c r="C4" s="110" t="s">
        <v>31</v>
      </c>
      <c r="D4" s="110"/>
      <c r="E4" s="110"/>
      <c r="F4" s="110"/>
      <c r="G4" s="110"/>
      <c r="H4" s="110"/>
      <c r="I4" s="110"/>
      <c r="J4" s="110"/>
      <c r="K4" s="110"/>
      <c r="L4" s="110"/>
      <c r="M4" s="112" t="s">
        <v>691</v>
      </c>
      <c r="N4" s="110"/>
      <c r="O4" s="110"/>
      <c r="P4" s="110"/>
      <c r="Q4" s="115">
        <v>2014</v>
      </c>
      <c r="R4" s="115" t="s">
        <v>2</v>
      </c>
      <c r="S4" s="115">
        <v>5</v>
      </c>
      <c r="V4" s="147" t="s">
        <v>1389</v>
      </c>
      <c r="X4" s="147" t="s">
        <v>1428</v>
      </c>
      <c r="Y4" s="147" t="s">
        <v>1030</v>
      </c>
      <c r="Z4" s="147" t="s">
        <v>1030</v>
      </c>
    </row>
    <row r="5" spans="1:26" ht="12" customHeight="1">
      <c r="A5" s="110" t="s">
        <v>32</v>
      </c>
      <c r="B5" s="111" t="s">
        <v>692</v>
      </c>
      <c r="C5" s="110" t="s">
        <v>32</v>
      </c>
      <c r="D5" s="110"/>
      <c r="E5" s="110"/>
      <c r="F5" s="110"/>
      <c r="G5" s="117" t="s">
        <v>693</v>
      </c>
      <c r="H5" s="110"/>
      <c r="I5" s="110"/>
      <c r="J5" s="110"/>
      <c r="K5" s="110"/>
      <c r="L5" s="110"/>
      <c r="M5" s="116">
        <v>1.2</v>
      </c>
      <c r="N5" s="110"/>
      <c r="O5" s="110"/>
      <c r="P5" s="110"/>
      <c r="Q5" s="115">
        <v>2015</v>
      </c>
      <c r="R5" s="115" t="s">
        <v>3</v>
      </c>
      <c r="S5" s="115">
        <v>6</v>
      </c>
      <c r="V5" s="129" t="s">
        <v>999</v>
      </c>
      <c r="W5" s="129" t="s">
        <v>1099</v>
      </c>
      <c r="X5" s="147" t="s">
        <v>1429</v>
      </c>
      <c r="Y5" s="147" t="s">
        <v>1031</v>
      </c>
      <c r="Z5" s="147" t="s">
        <v>1031</v>
      </c>
    </row>
    <row r="6" spans="1:26" ht="12" customHeight="1">
      <c r="A6" s="110" t="s">
        <v>33</v>
      </c>
      <c r="B6" s="111" t="s">
        <v>694</v>
      </c>
      <c r="C6" s="110" t="s">
        <v>33</v>
      </c>
      <c r="D6" s="110"/>
      <c r="E6" s="110"/>
      <c r="F6" s="110"/>
      <c r="G6" s="117" t="s">
        <v>695</v>
      </c>
      <c r="H6" s="110"/>
      <c r="I6" s="110"/>
      <c r="J6" s="110"/>
      <c r="K6" s="110"/>
      <c r="L6" s="110"/>
      <c r="M6" s="110"/>
      <c r="N6" s="110"/>
      <c r="O6" s="110"/>
      <c r="P6" s="110"/>
      <c r="Q6" s="115">
        <v>2016</v>
      </c>
      <c r="R6" s="115" t="s">
        <v>4</v>
      </c>
      <c r="S6" s="115">
        <v>7</v>
      </c>
      <c r="V6" s="147" t="s">
        <v>1373</v>
      </c>
      <c r="W6" s="308" t="s">
        <v>1100</v>
      </c>
      <c r="X6" s="147" t="s">
        <v>1430</v>
      </c>
      <c r="Y6" s="147" t="s">
        <v>1032</v>
      </c>
      <c r="Z6" s="147" t="s">
        <v>1032</v>
      </c>
    </row>
    <row r="7" spans="1:26" ht="12" customHeight="1">
      <c r="A7" s="110" t="s">
        <v>34</v>
      </c>
      <c r="B7" s="111" t="s">
        <v>696</v>
      </c>
      <c r="C7" s="110" t="s">
        <v>34</v>
      </c>
      <c r="D7" s="110"/>
      <c r="E7" s="110"/>
      <c r="F7" s="110"/>
      <c r="G7" s="118" t="s">
        <v>699</v>
      </c>
      <c r="H7" s="110"/>
      <c r="I7" s="110"/>
      <c r="J7" s="110"/>
      <c r="K7" s="110"/>
      <c r="L7" s="110"/>
      <c r="M7" s="112" t="s">
        <v>697</v>
      </c>
      <c r="N7" s="110"/>
      <c r="O7" s="110"/>
      <c r="P7" s="110"/>
      <c r="Q7" s="115">
        <v>2017</v>
      </c>
      <c r="R7" s="115" t="s">
        <v>5</v>
      </c>
      <c r="S7" s="115">
        <v>8</v>
      </c>
      <c r="V7" s="147" t="s">
        <v>1374</v>
      </c>
      <c r="X7" s="147" t="s">
        <v>1431</v>
      </c>
      <c r="Y7" s="147" t="s">
        <v>1033</v>
      </c>
      <c r="Z7" s="147" t="s">
        <v>1033</v>
      </c>
    </row>
    <row r="8" spans="1:26" ht="12" customHeight="1">
      <c r="A8" s="110" t="s">
        <v>35</v>
      </c>
      <c r="B8" s="111" t="s">
        <v>698</v>
      </c>
      <c r="C8" s="110" t="s">
        <v>35</v>
      </c>
      <c r="D8" s="110"/>
      <c r="E8" s="110"/>
      <c r="F8" s="110"/>
      <c r="G8" s="118" t="s">
        <v>701</v>
      </c>
      <c r="H8" s="110"/>
      <c r="I8" s="110"/>
      <c r="J8" s="110"/>
      <c r="K8" s="110"/>
      <c r="L8" s="110"/>
      <c r="M8" s="116">
        <v>2021</v>
      </c>
      <c r="N8" s="110"/>
      <c r="O8" s="110"/>
      <c r="P8" s="110"/>
      <c r="Q8" s="115">
        <v>2018</v>
      </c>
      <c r="R8" s="115" t="s">
        <v>6</v>
      </c>
      <c r="S8" s="115">
        <v>9</v>
      </c>
      <c r="V8" s="147" t="s">
        <v>1375</v>
      </c>
      <c r="X8" s="147" t="s">
        <v>1432</v>
      </c>
      <c r="Z8" s="147" t="s">
        <v>1209</v>
      </c>
    </row>
    <row r="9" spans="1:26" ht="12" customHeight="1">
      <c r="A9" s="110" t="s">
        <v>36</v>
      </c>
      <c r="B9" s="111" t="s">
        <v>700</v>
      </c>
      <c r="C9" s="110" t="s">
        <v>36</v>
      </c>
      <c r="D9" s="110"/>
      <c r="E9" s="110"/>
      <c r="F9" s="110"/>
      <c r="G9" s="118" t="s">
        <v>703</v>
      </c>
      <c r="H9" s="110"/>
      <c r="I9" s="110"/>
      <c r="J9" s="110"/>
      <c r="K9" s="110"/>
      <c r="L9" s="110"/>
      <c r="M9" s="110"/>
      <c r="N9" s="110"/>
      <c r="O9" s="110"/>
      <c r="P9" s="110"/>
      <c r="Q9" s="115">
        <v>2019</v>
      </c>
      <c r="R9" s="115" t="s">
        <v>7</v>
      </c>
      <c r="S9" s="115">
        <v>10</v>
      </c>
      <c r="V9" s="147" t="s">
        <v>1376</v>
      </c>
      <c r="X9" s="147" t="s">
        <v>1433</v>
      </c>
    </row>
    <row r="10" spans="1:26" ht="12" customHeight="1">
      <c r="A10" s="110" t="s">
        <v>37</v>
      </c>
      <c r="B10" s="111" t="s">
        <v>702</v>
      </c>
      <c r="C10" s="110" t="s">
        <v>37</v>
      </c>
      <c r="D10" s="110"/>
      <c r="E10" s="110"/>
      <c r="F10" s="110"/>
      <c r="G10" s="120"/>
      <c r="H10" s="110"/>
      <c r="I10" s="110"/>
      <c r="J10" s="110"/>
      <c r="K10" s="110"/>
      <c r="L10" s="110"/>
      <c r="M10" s="112" t="s">
        <v>704</v>
      </c>
      <c r="N10" s="110"/>
      <c r="O10" s="110"/>
      <c r="P10" s="110"/>
      <c r="Q10" s="115">
        <v>2020</v>
      </c>
      <c r="R10" s="115" t="s">
        <v>8</v>
      </c>
      <c r="S10" s="115">
        <v>11</v>
      </c>
      <c r="V10" s="147" t="s">
        <v>1377</v>
      </c>
      <c r="X10" s="147" t="s">
        <v>1434</v>
      </c>
    </row>
    <row r="11" spans="1:26" ht="12" customHeight="1">
      <c r="A11" s="305" t="s">
        <v>38</v>
      </c>
      <c r="B11" s="111" t="s">
        <v>705</v>
      </c>
      <c r="C11" s="119" t="s">
        <v>706</v>
      </c>
      <c r="D11" s="110"/>
      <c r="E11" s="110"/>
      <c r="F11" s="110"/>
      <c r="G11" s="117" t="s">
        <v>709</v>
      </c>
      <c r="H11" s="110"/>
      <c r="I11" s="110"/>
      <c r="J11" s="110"/>
      <c r="K11" s="110"/>
      <c r="L11" s="110"/>
      <c r="M11" s="116" t="str">
        <f>"01.01." &amp; PERIOD</f>
        <v>01.01.2021</v>
      </c>
      <c r="N11" s="110"/>
      <c r="O11" s="110"/>
      <c r="P11" s="110"/>
      <c r="Q11" s="115">
        <v>2021</v>
      </c>
      <c r="R11" s="115" t="s">
        <v>9</v>
      </c>
      <c r="S11" s="115">
        <v>12</v>
      </c>
      <c r="V11" s="147" t="s">
        <v>1378</v>
      </c>
      <c r="X11" s="147" t="s">
        <v>1435</v>
      </c>
    </row>
    <row r="12" spans="1:26" ht="12" customHeight="1">
      <c r="A12" s="305" t="s">
        <v>707</v>
      </c>
      <c r="B12" s="111" t="s">
        <v>708</v>
      </c>
      <c r="C12" s="119"/>
      <c r="D12" s="110"/>
      <c r="E12" s="110"/>
      <c r="F12" s="110"/>
      <c r="G12" s="117" t="s">
        <v>713</v>
      </c>
      <c r="H12" s="110"/>
      <c r="I12" s="110"/>
      <c r="J12" s="110"/>
      <c r="K12" s="110"/>
      <c r="L12" s="110"/>
      <c r="M12" s="116" t="str">
        <f>"31.12." &amp; PERIOD</f>
        <v>31.12.2021</v>
      </c>
      <c r="N12" s="110"/>
      <c r="O12" s="110"/>
      <c r="P12" s="110"/>
      <c r="Q12" s="115">
        <v>2022</v>
      </c>
      <c r="R12" s="115" t="s">
        <v>10</v>
      </c>
      <c r="S12" s="115">
        <v>13</v>
      </c>
      <c r="X12" s="147" t="s">
        <v>1436</v>
      </c>
    </row>
    <row r="13" spans="1:26" ht="12" customHeight="1">
      <c r="A13" s="305" t="s">
        <v>710</v>
      </c>
      <c r="B13" s="111" t="s">
        <v>711</v>
      </c>
      <c r="C13" s="119" t="s">
        <v>712</v>
      </c>
      <c r="D13" s="110"/>
      <c r="E13" s="110"/>
      <c r="F13" s="110"/>
      <c r="G13" s="118" t="s">
        <v>717</v>
      </c>
      <c r="H13" s="110"/>
      <c r="I13" s="110"/>
      <c r="J13" s="110"/>
      <c r="K13" s="110"/>
      <c r="L13" s="110"/>
      <c r="M13" s="110"/>
      <c r="N13" s="110"/>
      <c r="O13" s="110"/>
      <c r="P13" s="110"/>
      <c r="Q13" s="115">
        <v>2023</v>
      </c>
      <c r="R13" s="115" t="s">
        <v>11</v>
      </c>
      <c r="S13" s="115">
        <v>14</v>
      </c>
      <c r="X13" s="147" t="s">
        <v>1437</v>
      </c>
    </row>
    <row r="14" spans="1:26" ht="12" customHeight="1">
      <c r="A14" s="305" t="s">
        <v>714</v>
      </c>
      <c r="B14" s="121" t="s">
        <v>715</v>
      </c>
      <c r="C14" s="122" t="s">
        <v>716</v>
      </c>
      <c r="D14" s="110"/>
      <c r="E14" s="110"/>
      <c r="F14" s="110"/>
      <c r="G14" s="118" t="s">
        <v>720</v>
      </c>
      <c r="H14" s="110"/>
      <c r="I14" s="110"/>
      <c r="J14" s="110"/>
      <c r="K14" s="110"/>
      <c r="L14" s="110"/>
      <c r="M14" s="112" t="s">
        <v>718</v>
      </c>
      <c r="N14" s="110"/>
      <c r="O14" s="110"/>
      <c r="P14" s="110"/>
      <c r="Q14" s="115">
        <v>2024</v>
      </c>
      <c r="R14" s="110"/>
      <c r="S14" s="115">
        <v>15</v>
      </c>
      <c r="X14" s="147" t="s">
        <v>1438</v>
      </c>
    </row>
    <row r="15" spans="1:26" ht="12" customHeight="1">
      <c r="A15" s="110" t="s">
        <v>39</v>
      </c>
      <c r="B15" s="111" t="s">
        <v>719</v>
      </c>
      <c r="C15" s="110" t="s">
        <v>39</v>
      </c>
      <c r="D15" s="110"/>
      <c r="E15" s="110"/>
      <c r="F15" s="110"/>
      <c r="G15" s="118" t="s">
        <v>722</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721</v>
      </c>
      <c r="C16" s="110" t="s">
        <v>40</v>
      </c>
      <c r="D16" s="110"/>
      <c r="E16" s="110"/>
      <c r="F16" s="110"/>
      <c r="G16" s="118" t="s">
        <v>724</v>
      </c>
      <c r="H16" s="110"/>
      <c r="I16" s="110"/>
      <c r="J16" s="110"/>
      <c r="K16" s="110"/>
      <c r="L16" s="110"/>
      <c r="M16" s="116" t="str">
        <f>"31.12." &amp; PERIOD</f>
        <v>31.12.2021</v>
      </c>
      <c r="N16" s="110"/>
      <c r="O16" s="110"/>
      <c r="P16" s="110"/>
      <c r="Q16" s="115">
        <v>2026</v>
      </c>
      <c r="R16" s="110"/>
      <c r="S16" s="115">
        <v>17</v>
      </c>
      <c r="X16" s="129" t="s">
        <v>1439</v>
      </c>
    </row>
    <row r="17" spans="1:24" ht="12" customHeight="1">
      <c r="A17" s="110" t="s">
        <v>41</v>
      </c>
      <c r="B17" s="111" t="s">
        <v>723</v>
      </c>
      <c r="C17" s="110" t="s">
        <v>41</v>
      </c>
      <c r="D17" s="110"/>
      <c r="E17" s="110"/>
      <c r="F17" s="110"/>
      <c r="G17" s="110"/>
      <c r="H17" s="110"/>
      <c r="I17" s="110"/>
      <c r="J17" s="110"/>
      <c r="K17" s="110"/>
      <c r="L17" s="110"/>
      <c r="M17" s="123"/>
      <c r="N17" s="110"/>
      <c r="O17" s="110"/>
      <c r="P17" s="110"/>
      <c r="Q17" s="115">
        <v>2027</v>
      </c>
      <c r="R17" s="110"/>
      <c r="S17" s="115">
        <v>18</v>
      </c>
      <c r="X17" s="147" t="s">
        <v>1440</v>
      </c>
    </row>
    <row r="18" spans="1:24" ht="12" customHeight="1">
      <c r="A18" s="110" t="s">
        <v>42</v>
      </c>
      <c r="B18" s="111" t="s">
        <v>725</v>
      </c>
      <c r="C18" s="110" t="s">
        <v>42</v>
      </c>
      <c r="D18" s="110"/>
      <c r="E18" s="110"/>
      <c r="F18" s="110"/>
      <c r="G18" s="110"/>
      <c r="H18" s="110"/>
      <c r="I18" s="110"/>
      <c r="J18" s="110"/>
      <c r="K18" s="110"/>
      <c r="L18" s="110"/>
      <c r="M18" s="112" t="s">
        <v>726</v>
      </c>
      <c r="N18" s="110"/>
      <c r="O18" s="110"/>
      <c r="P18" s="110"/>
      <c r="Q18" s="115">
        <v>2028</v>
      </c>
      <c r="R18" s="110"/>
      <c r="S18" s="115">
        <v>19</v>
      </c>
      <c r="X18" s="147" t="s">
        <v>1441</v>
      </c>
    </row>
    <row r="19" spans="1:24" ht="12" customHeight="1">
      <c r="A19" s="110" t="s">
        <v>43</v>
      </c>
      <c r="B19" s="111" t="s">
        <v>727</v>
      </c>
      <c r="C19" s="119" t="s">
        <v>728</v>
      </c>
      <c r="D19" s="110"/>
      <c r="E19" s="110"/>
      <c r="F19" s="110"/>
      <c r="G19" s="110"/>
      <c r="H19" s="110"/>
      <c r="I19" s="110"/>
      <c r="J19" s="110"/>
      <c r="K19" s="110"/>
      <c r="L19" s="110"/>
      <c r="M19" s="116" t="str">
        <f>"01.01." &amp; PERIOD</f>
        <v>01.01.2021</v>
      </c>
      <c r="N19" s="110"/>
      <c r="O19" s="110"/>
      <c r="P19" s="110"/>
      <c r="Q19" s="115">
        <v>2029</v>
      </c>
      <c r="R19" s="110"/>
      <c r="S19" s="115">
        <v>20</v>
      </c>
      <c r="X19" s="147" t="s">
        <v>772</v>
      </c>
    </row>
    <row r="20" spans="1:24" ht="12" customHeight="1">
      <c r="A20" s="110" t="s">
        <v>44</v>
      </c>
      <c r="B20" s="111" t="s">
        <v>729</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7" t="s">
        <v>762</v>
      </c>
    </row>
    <row r="21" spans="1:24" ht="12" customHeight="1">
      <c r="A21" s="110" t="s">
        <v>45</v>
      </c>
      <c r="B21" s="111" t="s">
        <v>730</v>
      </c>
      <c r="C21" s="110" t="s">
        <v>45</v>
      </c>
      <c r="D21" s="110"/>
      <c r="E21" s="110"/>
      <c r="F21" s="110"/>
      <c r="G21" s="110"/>
      <c r="H21" s="110"/>
      <c r="I21" s="110"/>
      <c r="J21" s="110"/>
      <c r="K21" s="110"/>
      <c r="L21" s="110"/>
      <c r="M21" s="110"/>
      <c r="N21" s="110"/>
      <c r="O21" s="110"/>
      <c r="P21" s="110"/>
      <c r="Q21" s="110"/>
      <c r="R21" s="110"/>
      <c r="S21" s="115">
        <v>22</v>
      </c>
      <c r="X21" s="147" t="s">
        <v>764</v>
      </c>
    </row>
    <row r="22" spans="1:24" ht="12" customHeight="1">
      <c r="A22" s="110" t="s">
        <v>46</v>
      </c>
      <c r="B22" s="111" t="s">
        <v>731</v>
      </c>
      <c r="C22" s="110" t="s">
        <v>46</v>
      </c>
      <c r="D22" s="110"/>
      <c r="E22" s="110"/>
      <c r="F22" s="110"/>
      <c r="G22" s="110"/>
      <c r="H22" s="110"/>
      <c r="I22" s="110"/>
      <c r="J22" s="110"/>
      <c r="K22" s="110"/>
      <c r="L22" s="110"/>
      <c r="M22" s="110"/>
      <c r="N22" s="110"/>
      <c r="O22" s="110"/>
      <c r="P22" s="110"/>
      <c r="Q22" s="110"/>
      <c r="R22" s="110"/>
      <c r="S22" s="115">
        <v>23</v>
      </c>
      <c r="X22" s="147" t="s">
        <v>766</v>
      </c>
    </row>
    <row r="23" spans="1:24" ht="12" customHeight="1">
      <c r="A23" s="110" t="s">
        <v>47</v>
      </c>
      <c r="B23" s="111" t="s">
        <v>732</v>
      </c>
      <c r="C23" s="119" t="s">
        <v>733</v>
      </c>
      <c r="D23" s="110"/>
      <c r="E23" s="110"/>
      <c r="F23" s="110"/>
      <c r="G23" s="110"/>
      <c r="H23" s="110"/>
      <c r="I23" s="110"/>
      <c r="J23" s="110"/>
      <c r="K23" s="110"/>
      <c r="L23" s="110"/>
      <c r="M23" s="110"/>
      <c r="N23" s="110"/>
      <c r="O23" s="110"/>
      <c r="P23" s="110"/>
      <c r="Q23" s="110"/>
      <c r="R23" s="110"/>
      <c r="S23" s="115">
        <v>24</v>
      </c>
      <c r="X23" s="147" t="s">
        <v>768</v>
      </c>
    </row>
    <row r="24" spans="1:24" ht="12" customHeight="1">
      <c r="A24" s="110" t="s">
        <v>48</v>
      </c>
      <c r="B24" s="111" t="s">
        <v>734</v>
      </c>
      <c r="C24" s="110" t="s">
        <v>48</v>
      </c>
      <c r="D24" s="110"/>
      <c r="E24" s="110"/>
      <c r="F24" s="110"/>
      <c r="G24" s="110"/>
      <c r="H24" s="110"/>
      <c r="I24" s="110"/>
      <c r="J24" s="110"/>
      <c r="K24" s="110"/>
      <c r="L24" s="110"/>
      <c r="M24" s="110"/>
      <c r="N24" s="110"/>
      <c r="O24" s="110"/>
      <c r="P24" s="110"/>
      <c r="Q24" s="110"/>
      <c r="R24" s="110"/>
      <c r="S24" s="115">
        <v>25</v>
      </c>
      <c r="X24" s="147" t="s">
        <v>1442</v>
      </c>
    </row>
    <row r="25" spans="1:24" ht="12" customHeight="1">
      <c r="A25" s="110" t="s">
        <v>49</v>
      </c>
      <c r="B25" s="111" t="s">
        <v>735</v>
      </c>
      <c r="C25" s="110" t="s">
        <v>49</v>
      </c>
      <c r="D25" s="110"/>
      <c r="E25" s="110"/>
      <c r="F25" s="110"/>
      <c r="G25" s="110"/>
      <c r="H25" s="110"/>
      <c r="I25" s="110"/>
      <c r="J25" s="110"/>
      <c r="K25" s="110"/>
      <c r="L25" s="110"/>
      <c r="M25" s="110"/>
      <c r="N25" s="110"/>
      <c r="O25" s="110"/>
      <c r="P25" s="110"/>
      <c r="Q25" s="110"/>
      <c r="R25" s="110"/>
      <c r="S25" s="115">
        <v>26</v>
      </c>
      <c r="X25" s="147" t="s">
        <v>1443</v>
      </c>
    </row>
    <row r="26" spans="1:24" ht="12" customHeight="1">
      <c r="A26" s="110" t="s">
        <v>50</v>
      </c>
      <c r="B26" s="111" t="s">
        <v>736</v>
      </c>
      <c r="C26" s="110" t="s">
        <v>50</v>
      </c>
      <c r="D26" s="110"/>
      <c r="E26" s="110"/>
      <c r="F26" s="110"/>
      <c r="G26" s="110"/>
      <c r="H26" s="110"/>
      <c r="I26" s="110"/>
      <c r="J26" s="110"/>
      <c r="K26" s="110"/>
      <c r="L26" s="110"/>
      <c r="M26" s="110"/>
      <c r="N26" s="110"/>
      <c r="O26" s="110"/>
      <c r="P26" s="110"/>
      <c r="Q26" s="110"/>
      <c r="R26" s="110"/>
      <c r="S26" s="115">
        <v>27</v>
      </c>
      <c r="X26" s="147" t="s">
        <v>1444</v>
      </c>
    </row>
    <row r="27" spans="1:24" ht="12" customHeight="1">
      <c r="A27" s="110" t="s">
        <v>51</v>
      </c>
      <c r="B27" s="111" t="s">
        <v>737</v>
      </c>
      <c r="C27" s="110" t="s">
        <v>51</v>
      </c>
      <c r="D27" s="110"/>
      <c r="E27" s="110"/>
      <c r="F27" s="110"/>
      <c r="G27" s="110"/>
      <c r="H27" s="110"/>
      <c r="I27" s="110"/>
      <c r="J27" s="110"/>
      <c r="K27" s="110"/>
      <c r="L27" s="110"/>
      <c r="M27" s="110"/>
      <c r="N27" s="110"/>
      <c r="O27" s="110"/>
      <c r="P27" s="110"/>
      <c r="Q27" s="110"/>
      <c r="R27" s="110"/>
      <c r="S27" s="115">
        <v>28</v>
      </c>
      <c r="X27" s="147" t="s">
        <v>1445</v>
      </c>
    </row>
    <row r="28" spans="1:24" ht="12" customHeight="1">
      <c r="A28" s="110" t="s">
        <v>52</v>
      </c>
      <c r="B28" s="111" t="s">
        <v>738</v>
      </c>
      <c r="C28" s="110" t="s">
        <v>52</v>
      </c>
      <c r="D28" s="110"/>
      <c r="E28" s="110"/>
      <c r="F28" s="110"/>
      <c r="G28" s="110"/>
      <c r="H28" s="110"/>
      <c r="I28" s="110"/>
      <c r="J28" s="110"/>
      <c r="K28" s="110"/>
      <c r="L28" s="110"/>
      <c r="M28" s="110"/>
      <c r="N28" s="110"/>
      <c r="O28" s="110"/>
      <c r="P28" s="110"/>
      <c r="Q28" s="110"/>
      <c r="R28" s="110"/>
      <c r="S28" s="115">
        <v>29</v>
      </c>
      <c r="X28" s="147" t="s">
        <v>1446</v>
      </c>
    </row>
    <row r="29" spans="1:24" ht="12" customHeight="1">
      <c r="A29" s="110" t="s">
        <v>53</v>
      </c>
      <c r="B29" s="111" t="s">
        <v>739</v>
      </c>
      <c r="C29" s="110" t="s">
        <v>53</v>
      </c>
      <c r="D29" s="110"/>
      <c r="E29" s="110"/>
      <c r="F29" s="110"/>
      <c r="G29" s="110"/>
      <c r="H29" s="110"/>
      <c r="I29" s="110"/>
      <c r="J29" s="110"/>
      <c r="K29" s="110"/>
      <c r="L29" s="110"/>
      <c r="M29" s="110"/>
      <c r="N29" s="110"/>
      <c r="O29" s="110"/>
      <c r="P29" s="110"/>
      <c r="Q29" s="110"/>
      <c r="R29" s="110"/>
      <c r="S29" s="115">
        <v>30</v>
      </c>
      <c r="X29" s="147" t="s">
        <v>1447</v>
      </c>
    </row>
    <row r="30" spans="1:24" ht="12" customHeight="1">
      <c r="A30" s="110" t="s">
        <v>54</v>
      </c>
      <c r="B30" s="111" t="s">
        <v>740</v>
      </c>
      <c r="C30" s="110" t="s">
        <v>54</v>
      </c>
      <c r="D30" s="110"/>
      <c r="E30" s="110"/>
      <c r="F30" s="110"/>
      <c r="G30" s="110"/>
      <c r="H30" s="110"/>
      <c r="I30" s="110"/>
      <c r="J30" s="110"/>
      <c r="K30" s="110"/>
      <c r="L30" s="110"/>
      <c r="M30" s="110"/>
      <c r="N30" s="110"/>
      <c r="O30" s="110"/>
      <c r="P30" s="110"/>
      <c r="Q30" s="110"/>
      <c r="R30" s="110"/>
      <c r="S30" s="115">
        <v>31</v>
      </c>
      <c r="X30" s="147" t="s">
        <v>1448</v>
      </c>
    </row>
    <row r="31" spans="1:24" ht="12" customHeight="1">
      <c r="A31" s="110" t="s">
        <v>55</v>
      </c>
      <c r="B31" s="111" t="s">
        <v>741</v>
      </c>
      <c r="C31" s="110" t="s">
        <v>55</v>
      </c>
      <c r="D31" s="110"/>
      <c r="E31" s="110"/>
      <c r="F31" s="110"/>
      <c r="G31" s="110"/>
      <c r="H31" s="110"/>
      <c r="I31" s="110"/>
      <c r="J31" s="110"/>
      <c r="K31" s="110"/>
      <c r="L31" s="110"/>
      <c r="M31" s="110"/>
      <c r="N31" s="110"/>
      <c r="O31" s="110"/>
      <c r="P31" s="110"/>
      <c r="Q31" s="110"/>
      <c r="R31" s="110"/>
      <c r="S31" s="115">
        <v>32</v>
      </c>
      <c r="X31" s="147" t="s">
        <v>1449</v>
      </c>
    </row>
    <row r="32" spans="1:24" ht="12" customHeight="1">
      <c r="A32" s="110" t="s">
        <v>56</v>
      </c>
      <c r="B32" s="111" t="s">
        <v>742</v>
      </c>
      <c r="C32" s="110" t="s">
        <v>56</v>
      </c>
      <c r="D32" s="110"/>
      <c r="E32" s="110"/>
      <c r="F32" s="110"/>
      <c r="G32" s="110"/>
      <c r="H32" s="110"/>
      <c r="I32" s="110"/>
      <c r="J32" s="110"/>
      <c r="K32" s="110"/>
      <c r="L32" s="110"/>
      <c r="M32" s="110"/>
      <c r="N32" s="110"/>
      <c r="O32" s="110"/>
      <c r="P32" s="110"/>
      <c r="Q32" s="110"/>
      <c r="R32" s="110"/>
      <c r="S32" s="115">
        <v>33</v>
      </c>
      <c r="X32" s="147" t="s">
        <v>1450</v>
      </c>
    </row>
    <row r="33" spans="1:24" ht="12" customHeight="1">
      <c r="A33" s="110" t="s">
        <v>57</v>
      </c>
      <c r="B33" s="111" t="s">
        <v>743</v>
      </c>
      <c r="C33" s="110" t="s">
        <v>57</v>
      </c>
      <c r="D33" s="110"/>
      <c r="E33" s="110"/>
      <c r="F33" s="110"/>
      <c r="G33" s="110"/>
      <c r="H33" s="110"/>
      <c r="I33" s="110"/>
      <c r="J33" s="110"/>
      <c r="K33" s="110"/>
      <c r="L33" s="110"/>
      <c r="M33" s="110"/>
      <c r="N33" s="110"/>
      <c r="O33" s="110"/>
      <c r="P33" s="110"/>
      <c r="Q33" s="110"/>
      <c r="R33" s="110"/>
      <c r="S33" s="115">
        <v>34</v>
      </c>
      <c r="X33" s="147" t="s">
        <v>1451</v>
      </c>
    </row>
    <row r="34" spans="1:24" ht="12" customHeight="1">
      <c r="A34" s="110" t="s">
        <v>58</v>
      </c>
      <c r="B34" s="111" t="s">
        <v>744</v>
      </c>
      <c r="C34" s="110" t="s">
        <v>58</v>
      </c>
      <c r="D34" s="110"/>
      <c r="E34" s="110"/>
      <c r="F34" s="110"/>
      <c r="G34" s="110"/>
      <c r="H34" s="110"/>
      <c r="I34" s="110"/>
      <c r="J34" s="110"/>
      <c r="K34" s="110"/>
      <c r="L34" s="110"/>
      <c r="M34" s="110"/>
      <c r="N34" s="110"/>
      <c r="O34" s="110"/>
      <c r="P34" s="110"/>
      <c r="Q34" s="110"/>
      <c r="R34" s="110"/>
      <c r="S34" s="115">
        <v>35</v>
      </c>
      <c r="X34" s="147" t="s">
        <v>1452</v>
      </c>
    </row>
    <row r="35" spans="1:24" ht="12" customHeight="1">
      <c r="A35" s="110" t="s">
        <v>22</v>
      </c>
      <c r="B35" s="111" t="s">
        <v>745</v>
      </c>
      <c r="C35" s="110" t="s">
        <v>22</v>
      </c>
      <c r="D35" s="110"/>
      <c r="E35" s="110"/>
      <c r="F35" s="110"/>
      <c r="G35" s="110"/>
      <c r="H35" s="110"/>
      <c r="I35" s="110"/>
      <c r="J35" s="110"/>
      <c r="K35" s="110"/>
      <c r="L35" s="110"/>
      <c r="M35" s="110"/>
      <c r="N35" s="110"/>
      <c r="O35" s="110"/>
      <c r="P35" s="110"/>
      <c r="Q35" s="110"/>
      <c r="R35" s="110"/>
      <c r="S35" s="115">
        <v>36</v>
      </c>
      <c r="X35" s="147" t="s">
        <v>1453</v>
      </c>
    </row>
    <row r="36" spans="1:24" ht="12" customHeight="1">
      <c r="A36" s="110" t="s">
        <v>23</v>
      </c>
      <c r="B36" s="111" t="s">
        <v>746</v>
      </c>
      <c r="C36" s="110" t="s">
        <v>23</v>
      </c>
      <c r="D36" s="110"/>
      <c r="E36" s="110"/>
      <c r="F36" s="110"/>
      <c r="G36" s="110"/>
      <c r="H36" s="110"/>
      <c r="I36" s="110"/>
      <c r="J36" s="110"/>
      <c r="K36" s="110"/>
      <c r="L36" s="110"/>
      <c r="M36" s="110"/>
      <c r="N36" s="110"/>
      <c r="O36" s="110"/>
      <c r="P36" s="110"/>
      <c r="Q36" s="110"/>
      <c r="R36" s="110"/>
      <c r="S36" s="115">
        <v>37</v>
      </c>
      <c r="X36" s="147" t="s">
        <v>1454</v>
      </c>
    </row>
    <row r="37" spans="1:24" ht="12" customHeight="1">
      <c r="A37" s="110" t="s">
        <v>24</v>
      </c>
      <c r="B37" s="111" t="s">
        <v>747</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748</v>
      </c>
      <c r="C38" s="110" t="s">
        <v>25</v>
      </c>
      <c r="D38" s="110"/>
      <c r="E38" s="110"/>
      <c r="F38" s="110"/>
      <c r="G38" s="110"/>
      <c r="H38" s="110"/>
      <c r="I38" s="110"/>
      <c r="J38" s="110"/>
      <c r="K38" s="117" t="s">
        <v>749</v>
      </c>
      <c r="L38" s="110"/>
      <c r="M38" s="110"/>
      <c r="N38" s="110"/>
      <c r="O38" s="110"/>
      <c r="P38" s="110"/>
      <c r="Q38" s="110"/>
      <c r="R38" s="110"/>
      <c r="S38" s="115">
        <v>39</v>
      </c>
    </row>
    <row r="39" spans="1:24" ht="12" customHeight="1">
      <c r="A39" s="110" t="s">
        <v>26</v>
      </c>
      <c r="B39" s="111" t="s">
        <v>750</v>
      </c>
      <c r="C39" s="110" t="s">
        <v>26</v>
      </c>
      <c r="D39" s="110"/>
      <c r="E39" s="110"/>
      <c r="F39" s="110"/>
      <c r="G39" s="110"/>
      <c r="H39" s="110"/>
      <c r="I39" s="110"/>
      <c r="J39" s="110"/>
      <c r="K39" s="118" t="s">
        <v>751</v>
      </c>
      <c r="L39" s="110"/>
      <c r="M39" s="110"/>
      <c r="N39" s="110"/>
      <c r="O39" s="110"/>
      <c r="P39" s="110"/>
      <c r="Q39" s="110"/>
      <c r="R39" s="110"/>
      <c r="S39" s="115">
        <v>40</v>
      </c>
    </row>
    <row r="40" spans="1:24" ht="12" customHeight="1">
      <c r="A40" s="110" t="s">
        <v>27</v>
      </c>
      <c r="B40" s="111" t="s">
        <v>752</v>
      </c>
      <c r="C40" s="110" t="s">
        <v>27</v>
      </c>
      <c r="D40" s="110"/>
      <c r="E40" s="110"/>
      <c r="F40" s="110"/>
      <c r="G40" s="110"/>
      <c r="H40" s="110"/>
      <c r="I40" s="110"/>
      <c r="J40" s="110"/>
      <c r="K40" s="118" t="s">
        <v>753</v>
      </c>
      <c r="L40" s="110"/>
      <c r="M40" s="110"/>
      <c r="N40" s="110"/>
      <c r="O40" s="110"/>
      <c r="P40" s="110"/>
      <c r="Q40" s="110"/>
      <c r="R40" s="110"/>
      <c r="S40" s="115">
        <v>41</v>
      </c>
    </row>
    <row r="41" spans="1:24" ht="12" customHeight="1">
      <c r="A41" s="110" t="s">
        <v>59</v>
      </c>
      <c r="B41" s="111" t="s">
        <v>754</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755</v>
      </c>
      <c r="C42" s="110" t="s">
        <v>60</v>
      </c>
      <c r="D42" s="110"/>
      <c r="E42" s="110"/>
      <c r="F42" s="110"/>
      <c r="G42" s="110"/>
      <c r="H42" s="110"/>
      <c r="I42" s="110"/>
      <c r="J42" s="110"/>
      <c r="K42" s="118" t="s">
        <v>756</v>
      </c>
      <c r="L42" s="110"/>
      <c r="M42" s="110"/>
      <c r="N42" s="110"/>
      <c r="O42" s="110"/>
      <c r="P42" s="110"/>
      <c r="Q42" s="110"/>
      <c r="R42" s="110"/>
      <c r="S42" s="115">
        <v>43</v>
      </c>
    </row>
    <row r="43" spans="1:24" ht="12" customHeight="1">
      <c r="A43" s="110" t="s">
        <v>61</v>
      </c>
      <c r="B43" s="111" t="s">
        <v>757</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758</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759</v>
      </c>
      <c r="C45" s="110" t="s">
        <v>63</v>
      </c>
      <c r="D45" s="110"/>
      <c r="E45" s="110"/>
      <c r="F45" s="110"/>
      <c r="G45" s="110"/>
      <c r="H45" s="110"/>
      <c r="I45" s="110"/>
      <c r="J45" s="110"/>
      <c r="K45" s="117" t="s">
        <v>760</v>
      </c>
      <c r="L45" s="110"/>
      <c r="M45" s="110"/>
      <c r="N45" s="110"/>
      <c r="O45" s="110"/>
      <c r="P45" s="110"/>
      <c r="Q45" s="110"/>
      <c r="R45" s="110"/>
      <c r="S45" s="115">
        <v>46</v>
      </c>
    </row>
    <row r="46" spans="1:24" ht="12" customHeight="1">
      <c r="A46" s="110" t="s">
        <v>84</v>
      </c>
      <c r="B46" s="111" t="s">
        <v>761</v>
      </c>
      <c r="C46" s="110" t="s">
        <v>84</v>
      </c>
      <c r="D46" s="110"/>
      <c r="E46" s="110"/>
      <c r="F46" s="110"/>
      <c r="G46" s="110"/>
      <c r="H46" s="110"/>
      <c r="I46" s="110"/>
      <c r="J46" s="110"/>
      <c r="K46" s="118" t="s">
        <v>762</v>
      </c>
      <c r="L46" s="110"/>
      <c r="M46" s="110"/>
      <c r="N46" s="110"/>
      <c r="O46" s="110"/>
      <c r="P46" s="110"/>
      <c r="Q46" s="110"/>
      <c r="R46" s="110"/>
      <c r="S46" s="115">
        <v>47</v>
      </c>
    </row>
    <row r="47" spans="1:24" ht="12" customHeight="1">
      <c r="A47" s="110" t="s">
        <v>85</v>
      </c>
      <c r="B47" s="111" t="s">
        <v>763</v>
      </c>
      <c r="C47" s="110" t="s">
        <v>85</v>
      </c>
      <c r="D47" s="110"/>
      <c r="E47" s="110"/>
      <c r="F47" s="110"/>
      <c r="G47" s="110"/>
      <c r="H47" s="110"/>
      <c r="I47" s="110"/>
      <c r="J47" s="110"/>
      <c r="K47" s="118" t="s">
        <v>764</v>
      </c>
      <c r="L47" s="110"/>
      <c r="M47" s="110"/>
      <c r="N47" s="110"/>
      <c r="O47" s="110"/>
      <c r="P47" s="110"/>
      <c r="Q47" s="110"/>
      <c r="R47" s="110"/>
      <c r="S47" s="115">
        <v>48</v>
      </c>
    </row>
    <row r="48" spans="1:24" ht="12" customHeight="1">
      <c r="A48" s="110" t="s">
        <v>86</v>
      </c>
      <c r="B48" s="111" t="s">
        <v>765</v>
      </c>
      <c r="C48" s="110" t="s">
        <v>86</v>
      </c>
      <c r="D48" s="110"/>
      <c r="E48" s="110"/>
      <c r="F48" s="110"/>
      <c r="G48" s="110"/>
      <c r="H48" s="110"/>
      <c r="I48" s="110"/>
      <c r="J48" s="110"/>
      <c r="K48" s="118" t="s">
        <v>766</v>
      </c>
      <c r="L48" s="110"/>
      <c r="M48" s="110"/>
      <c r="N48" s="110"/>
      <c r="O48" s="110"/>
      <c r="P48" s="110"/>
      <c r="Q48" s="110"/>
      <c r="R48" s="110"/>
      <c r="S48" s="115">
        <v>49</v>
      </c>
    </row>
    <row r="49" spans="1:19" ht="12" customHeight="1">
      <c r="A49" s="110" t="s">
        <v>64</v>
      </c>
      <c r="B49" s="111" t="s">
        <v>767</v>
      </c>
      <c r="C49" s="110" t="s">
        <v>64</v>
      </c>
      <c r="D49" s="110"/>
      <c r="E49" s="110"/>
      <c r="F49" s="110"/>
      <c r="G49" s="110"/>
      <c r="H49" s="110"/>
      <c r="I49" s="110"/>
      <c r="J49" s="110"/>
      <c r="K49" s="118" t="s">
        <v>768</v>
      </c>
      <c r="L49" s="110"/>
      <c r="M49" s="110"/>
      <c r="N49" s="110"/>
      <c r="O49" s="110"/>
      <c r="P49" s="110"/>
      <c r="Q49" s="110"/>
      <c r="R49" s="110"/>
      <c r="S49" s="115">
        <v>50</v>
      </c>
    </row>
    <row r="50" spans="1:19" ht="12" customHeight="1">
      <c r="A50" s="110" t="s">
        <v>65</v>
      </c>
      <c r="B50" s="111" t="s">
        <v>769</v>
      </c>
      <c r="C50" s="110" t="s">
        <v>65</v>
      </c>
      <c r="D50" s="110"/>
      <c r="E50" s="110"/>
      <c r="F50" s="110"/>
      <c r="G50" s="110"/>
      <c r="H50" s="110"/>
      <c r="I50" s="110"/>
      <c r="J50" s="110"/>
      <c r="K50" s="118" t="s">
        <v>770</v>
      </c>
      <c r="L50" s="110"/>
      <c r="M50" s="110"/>
      <c r="N50" s="110"/>
      <c r="O50" s="110"/>
      <c r="P50" s="110"/>
      <c r="Q50" s="110"/>
      <c r="R50" s="110"/>
    </row>
    <row r="51" spans="1:19" ht="12" customHeight="1">
      <c r="A51" s="110" t="s">
        <v>66</v>
      </c>
      <c r="B51" s="111" t="s">
        <v>771</v>
      </c>
      <c r="C51" s="110" t="s">
        <v>66</v>
      </c>
      <c r="D51" s="110"/>
      <c r="E51" s="110"/>
      <c r="F51" s="110"/>
      <c r="G51" s="110"/>
      <c r="H51" s="110"/>
      <c r="I51" s="110"/>
      <c r="J51" s="110"/>
      <c r="K51" s="118" t="s">
        <v>772</v>
      </c>
      <c r="L51" s="110"/>
      <c r="M51" s="110"/>
      <c r="N51" s="110"/>
      <c r="O51" s="110"/>
      <c r="P51" s="110"/>
      <c r="Q51" s="110"/>
      <c r="R51" s="110"/>
    </row>
    <row r="52" spans="1:19" ht="12" customHeight="1">
      <c r="A52" s="110" t="s">
        <v>67</v>
      </c>
      <c r="B52" s="111" t="s">
        <v>773</v>
      </c>
      <c r="C52" s="110" t="s">
        <v>67</v>
      </c>
      <c r="D52" s="110"/>
      <c r="E52" s="110"/>
      <c r="F52" s="110"/>
      <c r="G52" s="110"/>
      <c r="H52" s="110"/>
      <c r="I52" s="110"/>
      <c r="J52" s="110"/>
      <c r="K52" s="118" t="s">
        <v>774</v>
      </c>
      <c r="L52" s="110"/>
      <c r="M52" s="110"/>
      <c r="N52" s="110"/>
      <c r="O52" s="110"/>
      <c r="P52" s="110"/>
      <c r="Q52" s="110"/>
      <c r="R52" s="110"/>
    </row>
    <row r="53" spans="1:19" ht="12" customHeight="1">
      <c r="A53" s="110" t="s">
        <v>68</v>
      </c>
      <c r="B53" s="111" t="s">
        <v>775</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776</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777</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778</v>
      </c>
      <c r="C56" s="124" t="s">
        <v>779</v>
      </c>
      <c r="D56" s="110"/>
      <c r="E56" s="110"/>
      <c r="F56" s="110"/>
      <c r="G56" s="110"/>
      <c r="H56" s="110"/>
      <c r="I56" s="110"/>
      <c r="J56" s="110"/>
      <c r="K56" s="110"/>
      <c r="L56" s="110"/>
      <c r="M56" s="110"/>
      <c r="N56" s="110"/>
      <c r="O56" s="110"/>
      <c r="P56" s="110"/>
      <c r="Q56" s="110"/>
      <c r="R56" s="110"/>
    </row>
    <row r="57" spans="1:19" ht="12" customHeight="1">
      <c r="A57" s="110" t="s">
        <v>71</v>
      </c>
      <c r="B57" s="111" t="s">
        <v>780</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781</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782</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783</v>
      </c>
      <c r="C60" s="119" t="s">
        <v>784</v>
      </c>
      <c r="D60" s="110"/>
      <c r="E60" s="110"/>
      <c r="F60" s="110"/>
      <c r="G60" s="110"/>
      <c r="H60" s="110"/>
      <c r="I60" s="110"/>
      <c r="J60" s="110"/>
      <c r="K60" s="110"/>
      <c r="L60" s="110"/>
      <c r="M60" s="110"/>
      <c r="N60" s="110"/>
      <c r="O60" s="110"/>
      <c r="P60" s="110"/>
      <c r="Q60" s="110"/>
      <c r="R60" s="110"/>
    </row>
    <row r="61" spans="1:19" ht="12" customHeight="1">
      <c r="A61" s="110" t="s">
        <v>13</v>
      </c>
      <c r="B61" s="111" t="s">
        <v>785</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786</v>
      </c>
      <c r="C62" s="119" t="s">
        <v>787</v>
      </c>
      <c r="D62" s="110"/>
      <c r="E62" s="110"/>
      <c r="F62" s="110"/>
      <c r="G62" s="110"/>
      <c r="H62" s="110"/>
      <c r="I62" s="110"/>
      <c r="J62" s="110"/>
      <c r="K62" s="110"/>
      <c r="L62" s="110"/>
      <c r="M62" s="110"/>
      <c r="N62" s="110"/>
      <c r="O62" s="110"/>
      <c r="P62" s="110"/>
      <c r="Q62" s="110"/>
      <c r="R62" s="110"/>
    </row>
    <row r="63" spans="1:19" ht="12" customHeight="1">
      <c r="A63" s="110" t="s">
        <v>76</v>
      </c>
      <c r="B63" s="111" t="s">
        <v>788</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789</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790</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791</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792</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793</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794</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795</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796</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797</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798</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799</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800</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801</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802</v>
      </c>
      <c r="C77" s="119" t="s">
        <v>803</v>
      </c>
      <c r="D77" s="110"/>
      <c r="E77" s="110"/>
      <c r="F77" s="110"/>
      <c r="G77" s="110"/>
      <c r="H77" s="110"/>
      <c r="I77" s="110"/>
      <c r="J77" s="110"/>
      <c r="K77" s="110"/>
      <c r="L77" s="110"/>
      <c r="M77" s="110"/>
      <c r="N77" s="110"/>
      <c r="O77" s="110"/>
      <c r="P77" s="110"/>
      <c r="Q77" s="110"/>
      <c r="R77" s="110"/>
    </row>
    <row r="78" spans="1:18" ht="12" customHeight="1">
      <c r="A78" s="110" t="s">
        <v>19</v>
      </c>
      <c r="B78" s="111" t="s">
        <v>804</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805</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806</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807</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808</v>
      </c>
      <c r="C82" s="119" t="s">
        <v>809</v>
      </c>
      <c r="D82" s="110"/>
      <c r="E82" s="110"/>
      <c r="F82" s="110"/>
      <c r="G82" s="110"/>
      <c r="H82" s="110"/>
      <c r="I82" s="110"/>
      <c r="J82" s="110"/>
      <c r="K82" s="110"/>
      <c r="L82" s="110"/>
      <c r="M82" s="110"/>
      <c r="N82" s="110"/>
      <c r="O82" s="110"/>
      <c r="P82" s="110"/>
      <c r="Q82" s="110"/>
      <c r="R82" s="110"/>
    </row>
    <row r="83" spans="1:18" ht="12" customHeight="1">
      <c r="A83" s="110" t="s">
        <v>98</v>
      </c>
      <c r="B83" s="111" t="s">
        <v>810</v>
      </c>
      <c r="C83" s="119" t="s">
        <v>811</v>
      </c>
      <c r="D83" s="110"/>
      <c r="E83" s="110"/>
      <c r="F83" s="110"/>
      <c r="G83" s="110"/>
      <c r="H83" s="110"/>
      <c r="I83" s="110"/>
      <c r="J83" s="110"/>
      <c r="K83" s="110"/>
      <c r="L83" s="110"/>
      <c r="M83" s="110"/>
      <c r="N83" s="110"/>
      <c r="O83" s="110"/>
      <c r="P83" s="110"/>
      <c r="Q83" s="110"/>
      <c r="R83" s="110"/>
    </row>
    <row r="84" spans="1:18" ht="12" customHeight="1">
      <c r="A84" s="110" t="s">
        <v>99</v>
      </c>
      <c r="B84" s="111" t="s">
        <v>812</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813</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814</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815</v>
      </c>
      <c r="C90" s="110"/>
      <c r="D90" s="110"/>
      <c r="E90" s="110"/>
      <c r="F90" s="110"/>
      <c r="G90" s="110"/>
      <c r="H90" s="110"/>
      <c r="I90" s="110"/>
      <c r="J90" s="110"/>
      <c r="K90" s="110"/>
      <c r="L90" s="110"/>
      <c r="M90" s="110"/>
      <c r="N90" s="110"/>
      <c r="O90" s="110"/>
      <c r="P90" s="110"/>
      <c r="Q90" s="110"/>
      <c r="R90" s="110"/>
    </row>
    <row r="91" spans="1:18" ht="12" customHeight="1">
      <c r="A91" s="110" t="s">
        <v>29</v>
      </c>
      <c r="B91" s="111" t="s">
        <v>816</v>
      </c>
      <c r="C91" s="110"/>
      <c r="D91" s="110"/>
      <c r="E91" s="110"/>
      <c r="F91" s="110"/>
      <c r="G91" s="110"/>
      <c r="H91" s="110"/>
      <c r="I91" s="110"/>
      <c r="J91" s="110"/>
      <c r="K91" s="110"/>
      <c r="L91" s="110"/>
      <c r="M91" s="110"/>
      <c r="N91" s="110"/>
      <c r="O91" s="110"/>
      <c r="P91" s="110"/>
      <c r="Q91" s="110"/>
      <c r="R91" s="110"/>
    </row>
    <row r="92" spans="1:18" ht="12" customHeight="1">
      <c r="A92" s="110" t="s">
        <v>30</v>
      </c>
      <c r="B92" s="111" t="s">
        <v>817</v>
      </c>
      <c r="C92" s="110"/>
      <c r="D92" s="110"/>
      <c r="E92" s="110"/>
      <c r="F92" s="110"/>
      <c r="G92" s="110"/>
      <c r="H92" s="110"/>
      <c r="I92" s="110"/>
      <c r="J92" s="110"/>
      <c r="K92" s="110"/>
      <c r="L92" s="110"/>
      <c r="M92" s="110"/>
      <c r="N92" s="110"/>
      <c r="O92" s="110"/>
      <c r="P92" s="110"/>
      <c r="Q92" s="110"/>
      <c r="R92" s="110"/>
    </row>
    <row r="93" spans="1:18" ht="12" customHeight="1">
      <c r="A93" s="110" t="s">
        <v>31</v>
      </c>
      <c r="B93" s="111" t="s">
        <v>1414</v>
      </c>
      <c r="C93" s="110"/>
      <c r="D93" s="110"/>
      <c r="E93" s="110"/>
      <c r="F93" s="110"/>
      <c r="G93" s="110"/>
      <c r="H93" s="110"/>
      <c r="I93" s="110"/>
      <c r="J93" s="110"/>
      <c r="K93" s="110"/>
      <c r="L93" s="110"/>
      <c r="M93" s="110"/>
      <c r="N93" s="110"/>
      <c r="O93" s="110"/>
      <c r="P93" s="110"/>
      <c r="Q93" s="110"/>
      <c r="R93" s="110"/>
    </row>
    <row r="94" spans="1:18" ht="12" customHeight="1">
      <c r="A94" s="110" t="s">
        <v>32</v>
      </c>
      <c r="B94" s="111" t="s">
        <v>818</v>
      </c>
      <c r="C94" s="110"/>
      <c r="D94" s="110"/>
      <c r="E94" s="110"/>
      <c r="F94" s="110"/>
      <c r="G94" s="110"/>
      <c r="H94" s="110"/>
      <c r="I94" s="110"/>
      <c r="J94" s="110"/>
      <c r="K94" s="110"/>
      <c r="L94" s="110"/>
      <c r="M94" s="110"/>
      <c r="N94" s="110"/>
      <c r="O94" s="110"/>
      <c r="P94" s="110"/>
      <c r="Q94" s="110"/>
      <c r="R94" s="110"/>
    </row>
    <row r="95" spans="1:18" ht="12" customHeight="1">
      <c r="A95" s="110" t="s">
        <v>33</v>
      </c>
      <c r="B95" s="111" t="s">
        <v>819</v>
      </c>
      <c r="C95" s="110"/>
      <c r="D95" s="110"/>
      <c r="E95" s="110"/>
      <c r="F95" s="110"/>
      <c r="G95" s="110"/>
      <c r="H95" s="110"/>
      <c r="I95" s="110"/>
      <c r="J95" s="110"/>
      <c r="K95" s="110"/>
      <c r="L95" s="110"/>
      <c r="M95" s="110"/>
      <c r="N95" s="110"/>
      <c r="O95" s="110"/>
      <c r="P95" s="110"/>
      <c r="Q95" s="110"/>
      <c r="R95" s="110"/>
    </row>
    <row r="96" spans="1:18" ht="12" customHeight="1">
      <c r="A96" s="110" t="s">
        <v>34</v>
      </c>
      <c r="B96" s="111" t="s">
        <v>820</v>
      </c>
      <c r="C96" s="110"/>
      <c r="D96" s="110"/>
      <c r="E96" s="110"/>
      <c r="F96" s="110"/>
      <c r="G96" s="110"/>
      <c r="H96" s="110"/>
      <c r="I96" s="110"/>
      <c r="J96" s="110"/>
      <c r="K96" s="110"/>
      <c r="L96" s="110"/>
      <c r="M96" s="110"/>
      <c r="N96" s="110"/>
      <c r="O96" s="110"/>
      <c r="P96" s="110"/>
      <c r="Q96" s="110"/>
      <c r="R96" s="110"/>
    </row>
    <row r="97" spans="1:18" ht="12" customHeight="1">
      <c r="A97" s="110" t="s">
        <v>35</v>
      </c>
      <c r="B97" s="111" t="s">
        <v>821</v>
      </c>
      <c r="C97" s="110"/>
      <c r="D97" s="110"/>
      <c r="E97" s="110"/>
      <c r="F97" s="110"/>
      <c r="G97" s="110"/>
      <c r="H97" s="110"/>
      <c r="I97" s="110"/>
      <c r="J97" s="110"/>
      <c r="K97" s="110"/>
      <c r="L97" s="110"/>
      <c r="M97" s="110"/>
      <c r="N97" s="110"/>
      <c r="O97" s="110"/>
      <c r="P97" s="110"/>
      <c r="Q97" s="110"/>
      <c r="R97" s="110"/>
    </row>
    <row r="98" spans="1:18" ht="12" customHeight="1">
      <c r="A98" s="110" t="s">
        <v>36</v>
      </c>
      <c r="B98" s="111" t="s">
        <v>822</v>
      </c>
      <c r="C98" s="110"/>
      <c r="D98" s="110"/>
      <c r="E98" s="110"/>
      <c r="F98" s="110"/>
      <c r="G98" s="110"/>
      <c r="H98" s="110"/>
      <c r="I98" s="110"/>
      <c r="J98" s="110"/>
      <c r="K98" s="110"/>
      <c r="L98" s="110"/>
      <c r="M98" s="110"/>
      <c r="N98" s="110"/>
      <c r="O98" s="110"/>
      <c r="P98" s="110"/>
      <c r="Q98" s="110"/>
      <c r="R98" s="110"/>
    </row>
    <row r="99" spans="1:18" ht="12" customHeight="1">
      <c r="A99" s="110" t="s">
        <v>37</v>
      </c>
      <c r="B99" s="111" t="s">
        <v>1094</v>
      </c>
      <c r="C99" s="110"/>
      <c r="D99" s="110"/>
      <c r="E99" s="110"/>
      <c r="F99" s="110"/>
      <c r="G99" s="110"/>
      <c r="H99" s="110"/>
      <c r="I99" s="110"/>
      <c r="J99" s="110"/>
      <c r="K99" s="110"/>
      <c r="L99" s="110"/>
      <c r="M99" s="110"/>
      <c r="N99" s="110"/>
      <c r="O99" s="110"/>
      <c r="P99" s="110"/>
      <c r="Q99" s="110"/>
      <c r="R99" s="110"/>
    </row>
    <row r="100" spans="1:18" ht="12" customHeight="1">
      <c r="A100" s="305" t="s">
        <v>38</v>
      </c>
      <c r="B100" s="111" t="s">
        <v>823</v>
      </c>
      <c r="C100" s="110"/>
      <c r="D100" s="110"/>
      <c r="E100" s="110"/>
      <c r="F100" s="110"/>
      <c r="G100" s="110"/>
      <c r="H100" s="110"/>
      <c r="I100" s="110"/>
      <c r="J100" s="110"/>
      <c r="K100" s="110"/>
      <c r="L100" s="110"/>
      <c r="M100" s="110"/>
      <c r="N100" s="110"/>
      <c r="O100" s="127"/>
      <c r="P100" s="110"/>
      <c r="Q100" s="110"/>
      <c r="R100" s="110"/>
    </row>
    <row r="101" spans="1:18" ht="12" customHeight="1">
      <c r="A101" s="305" t="s">
        <v>707</v>
      </c>
      <c r="B101" s="111" t="s">
        <v>824</v>
      </c>
      <c r="C101" s="110"/>
      <c r="D101" s="110"/>
      <c r="E101" s="110"/>
      <c r="F101" s="110"/>
      <c r="G101" s="110"/>
      <c r="H101" s="110"/>
      <c r="I101" s="110"/>
      <c r="J101" s="110"/>
      <c r="K101" s="110"/>
      <c r="L101" s="110"/>
      <c r="M101" s="110"/>
      <c r="N101" s="110"/>
      <c r="O101" s="127"/>
      <c r="P101" s="110"/>
      <c r="Q101" s="110"/>
      <c r="R101" s="110"/>
    </row>
    <row r="102" spans="1:18" ht="12" customHeight="1">
      <c r="A102" s="305" t="s">
        <v>710</v>
      </c>
      <c r="B102" s="111" t="s">
        <v>825</v>
      </c>
      <c r="C102" s="110"/>
      <c r="D102" s="110"/>
      <c r="E102" s="110"/>
      <c r="F102" s="110"/>
      <c r="G102" s="110"/>
      <c r="H102" s="110"/>
      <c r="I102" s="110"/>
      <c r="J102" s="110"/>
      <c r="K102" s="110"/>
      <c r="L102" s="110"/>
      <c r="M102" s="110"/>
      <c r="N102" s="110"/>
      <c r="O102" s="127"/>
      <c r="P102" s="110"/>
      <c r="Q102" s="110"/>
      <c r="R102" s="110"/>
    </row>
    <row r="103" spans="1:18" ht="12" customHeight="1">
      <c r="A103" s="305" t="s">
        <v>714</v>
      </c>
      <c r="B103" s="111" t="s">
        <v>1415</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826</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827</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828</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829</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830</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831</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832</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833</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834</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835</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836</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837</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1416</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838</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839</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840</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841</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842</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843</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844</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845</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846</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847</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848</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849</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850</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851</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852</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1417</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853</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854</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855</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856</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857</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858</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859</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860</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1418</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861</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862</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1455</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863</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864</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865</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866</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867</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868</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869</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870</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871</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872</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873</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874</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875</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876</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877</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878</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879</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880</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881</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882</v>
      </c>
      <c r="C164" s="110"/>
      <c r="D164" s="110"/>
      <c r="E164" s="110"/>
      <c r="F164" s="110"/>
      <c r="G164" s="110"/>
      <c r="H164" s="110"/>
      <c r="I164" s="110"/>
      <c r="J164" s="110"/>
      <c r="L164" s="127"/>
      <c r="M164" s="127"/>
      <c r="N164" s="110"/>
      <c r="O164" s="110"/>
      <c r="P164" s="110"/>
      <c r="R164" s="110"/>
    </row>
    <row r="165" spans="1:18" ht="12" customHeight="1">
      <c r="A165" s="110" t="s">
        <v>92</v>
      </c>
      <c r="B165" s="111" t="s">
        <v>883</v>
      </c>
      <c r="C165" s="110"/>
      <c r="D165" s="110"/>
      <c r="E165" s="110"/>
      <c r="F165" s="110"/>
      <c r="G165" s="110"/>
      <c r="H165" s="110"/>
      <c r="I165" s="110"/>
      <c r="J165" s="110"/>
      <c r="L165" s="127"/>
      <c r="M165" s="127"/>
      <c r="N165" s="110"/>
      <c r="O165" s="110"/>
      <c r="P165" s="110"/>
      <c r="R165" s="110"/>
    </row>
    <row r="166" spans="1:18" ht="12" customHeight="1">
      <c r="A166" s="110" t="s">
        <v>93</v>
      </c>
      <c r="B166" s="111" t="s">
        <v>884</v>
      </c>
      <c r="C166" s="110"/>
      <c r="D166" s="110"/>
      <c r="E166" s="110"/>
      <c r="F166" s="110"/>
      <c r="G166" s="110"/>
      <c r="H166" s="110"/>
      <c r="I166" s="110"/>
      <c r="J166" s="110"/>
      <c r="L166" s="127"/>
      <c r="M166" s="127"/>
      <c r="N166" s="110"/>
      <c r="O166" s="110"/>
      <c r="P166" s="110"/>
      <c r="R166" s="110"/>
    </row>
    <row r="167" spans="1:18" ht="12" customHeight="1">
      <c r="A167" s="110" t="s">
        <v>19</v>
      </c>
      <c r="B167" s="111" t="s">
        <v>885</v>
      </c>
      <c r="C167" s="110"/>
      <c r="D167" s="110"/>
      <c r="E167" s="110"/>
      <c r="F167" s="110"/>
      <c r="G167" s="110"/>
      <c r="H167" s="110"/>
      <c r="I167" s="110"/>
      <c r="J167" s="110"/>
      <c r="L167" s="127"/>
      <c r="M167" s="127"/>
      <c r="N167" s="110"/>
      <c r="O167" s="110"/>
      <c r="P167" s="110"/>
      <c r="R167" s="110"/>
    </row>
    <row r="168" spans="1:18" ht="12" customHeight="1">
      <c r="A168" s="110" t="s">
        <v>94</v>
      </c>
      <c r="B168" s="111" t="s">
        <v>886</v>
      </c>
      <c r="C168" s="110"/>
      <c r="D168" s="110"/>
      <c r="E168" s="110"/>
      <c r="F168" s="110"/>
      <c r="G168" s="110"/>
      <c r="H168" s="110"/>
      <c r="I168" s="110"/>
      <c r="J168" s="110"/>
      <c r="L168" s="127"/>
      <c r="M168" s="127"/>
      <c r="N168" s="110"/>
      <c r="O168" s="110"/>
      <c r="P168" s="110"/>
      <c r="R168" s="110"/>
    </row>
    <row r="169" spans="1:18" ht="12" customHeight="1">
      <c r="A169" s="110" t="s">
        <v>95</v>
      </c>
      <c r="B169" s="111" t="s">
        <v>887</v>
      </c>
      <c r="C169" s="110"/>
      <c r="D169" s="110"/>
      <c r="E169" s="110"/>
      <c r="F169" s="110"/>
      <c r="H169" s="110"/>
      <c r="I169" s="110"/>
      <c r="J169" s="110"/>
      <c r="L169" s="127"/>
      <c r="M169" s="127"/>
      <c r="N169" s="110"/>
      <c r="O169" s="110"/>
      <c r="P169" s="110"/>
      <c r="R169" s="110"/>
    </row>
    <row r="170" spans="1:18" ht="12" customHeight="1">
      <c r="A170" s="110" t="s">
        <v>96</v>
      </c>
      <c r="B170" s="111" t="s">
        <v>888</v>
      </c>
      <c r="C170" s="110"/>
      <c r="D170" s="110"/>
      <c r="E170" s="110"/>
      <c r="F170" s="110"/>
      <c r="H170" s="110"/>
      <c r="I170" s="110"/>
      <c r="J170" s="110"/>
      <c r="L170" s="127"/>
      <c r="M170" s="127"/>
      <c r="N170" s="110"/>
      <c r="O170" s="110"/>
      <c r="P170" s="110"/>
      <c r="R170" s="110"/>
    </row>
    <row r="171" spans="1:18" ht="12" customHeight="1">
      <c r="A171" s="110" t="s">
        <v>97</v>
      </c>
      <c r="B171" s="111" t="s">
        <v>889</v>
      </c>
      <c r="C171" s="110"/>
      <c r="D171" s="110"/>
      <c r="E171" s="110"/>
      <c r="F171" s="110"/>
      <c r="H171" s="110"/>
      <c r="I171" s="110"/>
      <c r="J171" s="110"/>
      <c r="L171" s="127"/>
      <c r="M171" s="127"/>
      <c r="N171" s="110"/>
      <c r="O171" s="110"/>
      <c r="P171" s="110"/>
      <c r="R171" s="110"/>
    </row>
    <row r="172" spans="1:18" ht="12" customHeight="1">
      <c r="A172" s="110" t="s">
        <v>98</v>
      </c>
      <c r="B172" s="111" t="s">
        <v>890</v>
      </c>
      <c r="C172" s="110"/>
      <c r="D172" s="110"/>
      <c r="E172" s="110"/>
      <c r="F172" s="110"/>
      <c r="H172" s="110"/>
      <c r="I172" s="110"/>
      <c r="J172" s="110"/>
      <c r="L172" s="127"/>
      <c r="M172" s="127"/>
      <c r="N172" s="110"/>
      <c r="O172" s="110"/>
      <c r="P172" s="110"/>
      <c r="R172" s="110"/>
    </row>
    <row r="173" spans="1:18" ht="12" customHeight="1">
      <c r="A173" s="110" t="s">
        <v>99</v>
      </c>
      <c r="B173" s="111" t="s">
        <v>891</v>
      </c>
      <c r="C173" s="110"/>
      <c r="D173" s="110"/>
      <c r="E173" s="110"/>
      <c r="F173" s="110"/>
      <c r="H173" s="110"/>
      <c r="I173" s="110"/>
      <c r="J173" s="110"/>
      <c r="L173" s="127"/>
      <c r="M173" s="127"/>
      <c r="N173" s="110"/>
      <c r="O173" s="110"/>
      <c r="P173" s="110"/>
      <c r="R173" s="110"/>
    </row>
    <row r="174" spans="1:18" ht="12" customHeight="1">
      <c r="A174" s="110" t="s">
        <v>100</v>
      </c>
      <c r="B174" s="111" t="s">
        <v>892</v>
      </c>
      <c r="C174" s="110"/>
      <c r="D174" s="110"/>
      <c r="E174" s="110"/>
      <c r="F174" s="110"/>
      <c r="H174" s="110"/>
      <c r="I174" s="110"/>
      <c r="J174" s="110"/>
      <c r="L174" s="127"/>
      <c r="M174" s="127"/>
      <c r="N174" s="110"/>
      <c r="O174" s="110"/>
      <c r="P174" s="110"/>
      <c r="R174" s="110"/>
    </row>
    <row r="175" spans="1:18" ht="12" customHeight="1">
      <c r="A175" s="110" t="s">
        <v>101</v>
      </c>
      <c r="B175" s="111" t="s">
        <v>893</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2"/>
  <sheetViews>
    <sheetView showGridLines="0" zoomScaleNormal="100" workbookViewId="0"/>
  </sheetViews>
  <sheetFormatPr defaultRowHeight="11.25"/>
  <cols>
    <col min="1" max="1" width="14.7109375" customWidth="1"/>
  </cols>
  <sheetData>
    <row r="1" spans="1:11">
      <c r="A1" s="668" t="s">
        <v>2954</v>
      </c>
      <c r="B1" s="668" t="s">
        <v>2955</v>
      </c>
      <c r="C1" s="668" t="s">
        <v>2956</v>
      </c>
      <c r="D1" s="668" t="s">
        <v>2957</v>
      </c>
      <c r="E1" s="668" t="s">
        <v>2958</v>
      </c>
      <c r="F1" s="668" t="s">
        <v>2959</v>
      </c>
      <c r="G1" s="668" t="s">
        <v>2960</v>
      </c>
      <c r="H1" s="668" t="s">
        <v>2961</v>
      </c>
      <c r="I1" s="668" t="s">
        <v>2962</v>
      </c>
      <c r="J1" s="668" t="s">
        <v>2963</v>
      </c>
      <c r="K1" s="668" t="s">
        <v>2964</v>
      </c>
    </row>
    <row r="2" spans="1:11">
      <c r="A2" s="668"/>
      <c r="B2" s="668"/>
      <c r="C2" s="668"/>
      <c r="D2" s="668"/>
      <c r="E2" s="668" t="s">
        <v>2965</v>
      </c>
      <c r="F2" s="668" t="s">
        <v>2966</v>
      </c>
      <c r="G2" s="668"/>
      <c r="H2" s="668"/>
      <c r="I2" s="668"/>
      <c r="J2" s="668"/>
      <c r="K2" s="66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5"/>
  <sheetViews>
    <sheetView showGridLines="0" zoomScaleNormal="100" workbookViewId="0"/>
  </sheetViews>
  <sheetFormatPr defaultRowHeight="11.25"/>
  <cols>
    <col min="1" max="1" width="23.140625" customWidth="1"/>
  </cols>
  <sheetData>
    <row r="1" spans="1:9">
      <c r="A1" s="668" t="s">
        <v>2974</v>
      </c>
      <c r="B1" s="668" t="s">
        <v>2975</v>
      </c>
      <c r="C1" s="668" t="s">
        <v>2976</v>
      </c>
      <c r="D1" s="668" t="s">
        <v>2977</v>
      </c>
      <c r="E1" s="668" t="s">
        <v>2978</v>
      </c>
      <c r="F1" s="668" t="s">
        <v>2979</v>
      </c>
      <c r="G1" s="668" t="s">
        <v>2980</v>
      </c>
      <c r="H1" s="668" t="s">
        <v>2981</v>
      </c>
      <c r="I1" s="668" t="s">
        <v>2982</v>
      </c>
    </row>
    <row r="2" spans="1:9">
      <c r="A2" s="668" t="s">
        <v>2983</v>
      </c>
      <c r="B2" s="668"/>
      <c r="C2" s="668" t="s">
        <v>2984</v>
      </c>
      <c r="D2" s="668" t="s">
        <v>2985</v>
      </c>
      <c r="E2" s="668" t="s">
        <v>2986</v>
      </c>
      <c r="F2" s="668" t="s">
        <v>1431</v>
      </c>
      <c r="G2" s="668" t="s">
        <v>1443</v>
      </c>
      <c r="H2" s="668" t="s">
        <v>130</v>
      </c>
      <c r="I2" s="668" t="s">
        <v>2987</v>
      </c>
    </row>
    <row r="3" spans="1:9">
      <c r="A3" s="668" t="s">
        <v>2983</v>
      </c>
      <c r="B3" s="668"/>
      <c r="C3" s="668" t="s">
        <v>2984</v>
      </c>
      <c r="D3" s="668" t="s">
        <v>2985</v>
      </c>
      <c r="E3" s="668" t="s">
        <v>2988</v>
      </c>
      <c r="F3" s="668" t="s">
        <v>1431</v>
      </c>
      <c r="G3" s="668" t="s">
        <v>1443</v>
      </c>
      <c r="H3" s="668" t="s">
        <v>130</v>
      </c>
      <c r="I3" s="668" t="s">
        <v>2987</v>
      </c>
    </row>
    <row r="4" spans="1:9">
      <c r="A4" s="668" t="s">
        <v>2983</v>
      </c>
      <c r="B4" s="668"/>
      <c r="C4" s="668" t="s">
        <v>2984</v>
      </c>
      <c r="D4" s="668" t="s">
        <v>2985</v>
      </c>
      <c r="E4" s="668" t="s">
        <v>2989</v>
      </c>
      <c r="F4" s="668" t="s">
        <v>1431</v>
      </c>
      <c r="G4" s="668" t="s">
        <v>1443</v>
      </c>
      <c r="H4" s="668" t="s">
        <v>130</v>
      </c>
      <c r="I4" s="668" t="s">
        <v>2987</v>
      </c>
    </row>
    <row r="5" spans="1:9">
      <c r="A5" s="668" t="s">
        <v>2983</v>
      </c>
      <c r="B5" s="668"/>
      <c r="C5" s="668" t="s">
        <v>2984</v>
      </c>
      <c r="D5" s="668" t="s">
        <v>2985</v>
      </c>
      <c r="E5" s="668" t="s">
        <v>2990</v>
      </c>
      <c r="F5" s="668" t="s">
        <v>1431</v>
      </c>
      <c r="G5" s="668" t="s">
        <v>1443</v>
      </c>
      <c r="H5" s="668" t="s">
        <v>130</v>
      </c>
      <c r="I5" s="668" t="s">
        <v>2987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68" t="s">
        <v>1005</v>
      </c>
      <c r="B1" s="668" t="s">
        <v>1006</v>
      </c>
      <c r="C1" s="668" t="s">
        <v>2588</v>
      </c>
      <c r="D1" s="668" t="s">
        <v>2922</v>
      </c>
      <c r="E1" s="668"/>
    </row>
    <row r="2" spans="1:5">
      <c r="A2" s="668" t="s">
        <v>2589</v>
      </c>
      <c r="B2" s="668" t="s">
        <v>2589</v>
      </c>
      <c r="C2" s="668" t="s">
        <v>2590</v>
      </c>
      <c r="D2" s="668" t="s">
        <v>2589</v>
      </c>
      <c r="E2" s="668" t="s">
        <v>2923</v>
      </c>
    </row>
    <row r="3" spans="1:5">
      <c r="A3" s="668" t="s">
        <v>2589</v>
      </c>
      <c r="B3" s="668" t="s">
        <v>2591</v>
      </c>
      <c r="C3" s="668" t="s">
        <v>2592</v>
      </c>
      <c r="D3" s="668" t="s">
        <v>2601</v>
      </c>
      <c r="E3" s="668" t="s">
        <v>2924</v>
      </c>
    </row>
    <row r="4" spans="1:5">
      <c r="A4" s="668" t="s">
        <v>2589</v>
      </c>
      <c r="B4" s="668" t="s">
        <v>2593</v>
      </c>
      <c r="C4" s="668" t="s">
        <v>2594</v>
      </c>
      <c r="D4" s="668" t="s">
        <v>2621</v>
      </c>
      <c r="E4" s="668" t="s">
        <v>2925</v>
      </c>
    </row>
    <row r="5" spans="1:5">
      <c r="A5" s="668" t="s">
        <v>2589</v>
      </c>
      <c r="B5" s="668" t="s">
        <v>2595</v>
      </c>
      <c r="C5" s="668" t="s">
        <v>2596</v>
      </c>
      <c r="D5" s="668" t="s">
        <v>2635</v>
      </c>
      <c r="E5" s="668" t="s">
        <v>2926</v>
      </c>
    </row>
    <row r="6" spans="1:5">
      <c r="A6" s="668" t="s">
        <v>2589</v>
      </c>
      <c r="B6" s="668" t="s">
        <v>2597</v>
      </c>
      <c r="C6" s="668" t="s">
        <v>2598</v>
      </c>
      <c r="D6" s="668" t="s">
        <v>2653</v>
      </c>
      <c r="E6" s="668" t="s">
        <v>2927</v>
      </c>
    </row>
    <row r="7" spans="1:5">
      <c r="A7" s="668" t="s">
        <v>2589</v>
      </c>
      <c r="B7" s="668" t="s">
        <v>2599</v>
      </c>
      <c r="C7" s="668" t="s">
        <v>2600</v>
      </c>
      <c r="D7" s="668" t="s">
        <v>2671</v>
      </c>
      <c r="E7" s="668" t="s">
        <v>2928</v>
      </c>
    </row>
    <row r="8" spans="1:5">
      <c r="A8" s="668" t="s">
        <v>2601</v>
      </c>
      <c r="B8" s="668" t="s">
        <v>2601</v>
      </c>
      <c r="C8" s="668" t="s">
        <v>2602</v>
      </c>
      <c r="D8" s="668" t="s">
        <v>2685</v>
      </c>
      <c r="E8" s="668" t="s">
        <v>2929</v>
      </c>
    </row>
    <row r="9" spans="1:5">
      <c r="A9" s="668" t="s">
        <v>2601</v>
      </c>
      <c r="B9" s="668" t="s">
        <v>2603</v>
      </c>
      <c r="C9" s="668" t="s">
        <v>2604</v>
      </c>
      <c r="D9" s="668" t="s">
        <v>2701</v>
      </c>
      <c r="E9" s="668" t="s">
        <v>2930</v>
      </c>
    </row>
    <row r="10" spans="1:5">
      <c r="A10" s="668" t="s">
        <v>2601</v>
      </c>
      <c r="B10" s="668" t="s">
        <v>2605</v>
      </c>
      <c r="C10" s="668" t="s">
        <v>2606</v>
      </c>
      <c r="D10" s="668" t="s">
        <v>2719</v>
      </c>
      <c r="E10" s="668" t="s">
        <v>2931</v>
      </c>
    </row>
    <row r="11" spans="1:5">
      <c r="A11" s="668" t="s">
        <v>2601</v>
      </c>
      <c r="B11" s="668" t="s">
        <v>2607</v>
      </c>
      <c r="C11" s="668" t="s">
        <v>2608</v>
      </c>
      <c r="D11" s="668" t="s">
        <v>2739</v>
      </c>
      <c r="E11" s="668" t="s">
        <v>2932</v>
      </c>
    </row>
    <row r="12" spans="1:5">
      <c r="A12" s="668" t="s">
        <v>2601</v>
      </c>
      <c r="B12" s="668" t="s">
        <v>2609</v>
      </c>
      <c r="C12" s="668" t="s">
        <v>2610</v>
      </c>
      <c r="D12" s="668" t="s">
        <v>2751</v>
      </c>
      <c r="E12" s="668" t="s">
        <v>2933</v>
      </c>
    </row>
    <row r="13" spans="1:5">
      <c r="A13" s="668" t="s">
        <v>2601</v>
      </c>
      <c r="B13" s="668" t="s">
        <v>2611</v>
      </c>
      <c r="C13" s="668" t="s">
        <v>2612</v>
      </c>
      <c r="D13" s="668" t="s">
        <v>2765</v>
      </c>
      <c r="E13" s="668" t="s">
        <v>2934</v>
      </c>
    </row>
    <row r="14" spans="1:5">
      <c r="A14" s="668" t="s">
        <v>2601</v>
      </c>
      <c r="B14" s="668" t="s">
        <v>2613</v>
      </c>
      <c r="C14" s="668" t="s">
        <v>2614</v>
      </c>
      <c r="D14" s="668" t="s">
        <v>2779</v>
      </c>
      <c r="E14" s="668" t="s">
        <v>2935</v>
      </c>
    </row>
    <row r="15" spans="1:5">
      <c r="A15" s="668" t="s">
        <v>2601</v>
      </c>
      <c r="B15" s="668" t="s">
        <v>2615</v>
      </c>
      <c r="C15" s="668" t="s">
        <v>2616</v>
      </c>
      <c r="D15" s="668" t="s">
        <v>2791</v>
      </c>
      <c r="E15" s="668" t="s">
        <v>2936</v>
      </c>
    </row>
    <row r="16" spans="1:5">
      <c r="A16" s="668" t="s">
        <v>2601</v>
      </c>
      <c r="B16" s="668" t="s">
        <v>2617</v>
      </c>
      <c r="C16" s="668" t="s">
        <v>2618</v>
      </c>
      <c r="D16" s="668" t="s">
        <v>2805</v>
      </c>
      <c r="E16" s="668" t="s">
        <v>2937</v>
      </c>
    </row>
    <row r="17" spans="1:5">
      <c r="A17" s="668" t="s">
        <v>2601</v>
      </c>
      <c r="B17" s="668" t="s">
        <v>2619</v>
      </c>
      <c r="C17" s="668" t="s">
        <v>2620</v>
      </c>
      <c r="D17" s="668" t="s">
        <v>2817</v>
      </c>
      <c r="E17" s="668" t="s">
        <v>2938</v>
      </c>
    </row>
    <row r="18" spans="1:5">
      <c r="A18" s="668" t="s">
        <v>2621</v>
      </c>
      <c r="B18" s="668" t="s">
        <v>2622</v>
      </c>
      <c r="C18" s="668" t="s">
        <v>2623</v>
      </c>
      <c r="D18" s="668" t="s">
        <v>2833</v>
      </c>
      <c r="E18" s="668" t="s">
        <v>2939</v>
      </c>
    </row>
    <row r="19" spans="1:5">
      <c r="A19" s="668" t="s">
        <v>2621</v>
      </c>
      <c r="B19" s="668" t="s">
        <v>2621</v>
      </c>
      <c r="C19" s="668" t="s">
        <v>2624</v>
      </c>
      <c r="D19" s="668" t="s">
        <v>2849</v>
      </c>
      <c r="E19" s="668" t="s">
        <v>2940</v>
      </c>
    </row>
    <row r="20" spans="1:5">
      <c r="A20" s="668" t="s">
        <v>2621</v>
      </c>
      <c r="B20" s="668" t="s">
        <v>2625</v>
      </c>
      <c r="C20" s="668" t="s">
        <v>2626</v>
      </c>
      <c r="D20" s="668" t="s">
        <v>2863</v>
      </c>
      <c r="E20" s="668" t="s">
        <v>2941</v>
      </c>
    </row>
    <row r="21" spans="1:5">
      <c r="A21" s="668" t="s">
        <v>2621</v>
      </c>
      <c r="B21" s="668" t="s">
        <v>2627</v>
      </c>
      <c r="C21" s="668" t="s">
        <v>2628</v>
      </c>
      <c r="D21" s="668" t="s">
        <v>2877</v>
      </c>
      <c r="E21" s="668" t="s">
        <v>2942</v>
      </c>
    </row>
    <row r="22" spans="1:5">
      <c r="A22" s="668" t="s">
        <v>2621</v>
      </c>
      <c r="B22" s="668" t="s">
        <v>2629</v>
      </c>
      <c r="C22" s="668" t="s">
        <v>2630</v>
      </c>
      <c r="D22" s="668" t="s">
        <v>2894</v>
      </c>
      <c r="E22" s="668" t="s">
        <v>2943</v>
      </c>
    </row>
    <row r="23" spans="1:5">
      <c r="A23" s="668" t="s">
        <v>2621</v>
      </c>
      <c r="B23" s="668" t="s">
        <v>2631</v>
      </c>
      <c r="C23" s="668" t="s">
        <v>2632</v>
      </c>
      <c r="D23" s="668" t="s">
        <v>2916</v>
      </c>
      <c r="E23" s="668" t="s">
        <v>2944</v>
      </c>
    </row>
    <row r="24" spans="1:5">
      <c r="A24" s="668" t="s">
        <v>2621</v>
      </c>
      <c r="B24" s="668" t="s">
        <v>2633</v>
      </c>
      <c r="C24" s="668" t="s">
        <v>2634</v>
      </c>
      <c r="D24" s="668" t="s">
        <v>2918</v>
      </c>
      <c r="E24" s="668" t="s">
        <v>2945</v>
      </c>
    </row>
    <row r="25" spans="1:5">
      <c r="A25" s="668" t="s">
        <v>2635</v>
      </c>
      <c r="B25" s="668" t="s">
        <v>2636</v>
      </c>
      <c r="C25" s="668" t="s">
        <v>2637</v>
      </c>
      <c r="D25" s="668" t="s">
        <v>2920</v>
      </c>
      <c r="E25" s="668" t="s">
        <v>2946</v>
      </c>
    </row>
    <row r="26" spans="1:5">
      <c r="A26" s="668" t="s">
        <v>2635</v>
      </c>
      <c r="B26" s="668" t="s">
        <v>2638</v>
      </c>
      <c r="C26" s="668" t="s">
        <v>2639</v>
      </c>
      <c r="D26" s="668"/>
      <c r="E26" s="668"/>
    </row>
    <row r="27" spans="1:5">
      <c r="A27" s="668" t="s">
        <v>2635</v>
      </c>
      <c r="B27" s="668" t="s">
        <v>2635</v>
      </c>
      <c r="C27" s="668" t="s">
        <v>2640</v>
      </c>
      <c r="D27" s="668"/>
      <c r="E27" s="668"/>
    </row>
    <row r="28" spans="1:5">
      <c r="A28" s="668" t="s">
        <v>2635</v>
      </c>
      <c r="B28" s="668" t="s">
        <v>2641</v>
      </c>
      <c r="C28" s="668" t="s">
        <v>2642</v>
      </c>
      <c r="D28" s="668"/>
      <c r="E28" s="668"/>
    </row>
    <row r="29" spans="1:5">
      <c r="A29" s="668" t="s">
        <v>2635</v>
      </c>
      <c r="B29" s="668" t="s">
        <v>2643</v>
      </c>
      <c r="C29" s="668" t="s">
        <v>2644</v>
      </c>
      <c r="D29" s="668"/>
      <c r="E29" s="668"/>
    </row>
    <row r="30" spans="1:5">
      <c r="A30" s="668" t="s">
        <v>2635</v>
      </c>
      <c r="B30" s="668" t="s">
        <v>2645</v>
      </c>
      <c r="C30" s="668" t="s">
        <v>2646</v>
      </c>
      <c r="D30" s="668"/>
      <c r="E30" s="668"/>
    </row>
    <row r="31" spans="1:5">
      <c r="A31" s="668" t="s">
        <v>2635</v>
      </c>
      <c r="B31" s="668" t="s">
        <v>2647</v>
      </c>
      <c r="C31" s="668" t="s">
        <v>2648</v>
      </c>
      <c r="D31" s="668"/>
      <c r="E31" s="668"/>
    </row>
    <row r="32" spans="1:5">
      <c r="A32" s="668" t="s">
        <v>2635</v>
      </c>
      <c r="B32" s="668" t="s">
        <v>2649</v>
      </c>
      <c r="C32" s="668" t="s">
        <v>2650</v>
      </c>
      <c r="D32" s="668"/>
      <c r="E32" s="668"/>
    </row>
    <row r="33" spans="1:5">
      <c r="A33" s="668" t="s">
        <v>2635</v>
      </c>
      <c r="B33" s="668" t="s">
        <v>2651</v>
      </c>
      <c r="C33" s="668" t="s">
        <v>2652</v>
      </c>
      <c r="D33" s="668"/>
      <c r="E33" s="668"/>
    </row>
    <row r="34" spans="1:5">
      <c r="A34" s="668" t="s">
        <v>2653</v>
      </c>
      <c r="B34" s="668" t="s">
        <v>2654</v>
      </c>
      <c r="C34" s="668" t="s">
        <v>2655</v>
      </c>
      <c r="D34" s="668"/>
      <c r="E34" s="668"/>
    </row>
    <row r="35" spans="1:5">
      <c r="A35" s="668" t="s">
        <v>2653</v>
      </c>
      <c r="B35" s="668" t="s">
        <v>2656</v>
      </c>
      <c r="C35" s="668" t="s">
        <v>2657</v>
      </c>
      <c r="D35" s="668"/>
      <c r="E35" s="668"/>
    </row>
    <row r="36" spans="1:5">
      <c r="A36" s="668" t="s">
        <v>2653</v>
      </c>
      <c r="B36" s="668" t="s">
        <v>2658</v>
      </c>
      <c r="C36" s="668" t="s">
        <v>2659</v>
      </c>
      <c r="D36" s="668"/>
      <c r="E36" s="668"/>
    </row>
    <row r="37" spans="1:5">
      <c r="A37" s="668" t="s">
        <v>2653</v>
      </c>
      <c r="B37" s="668" t="s">
        <v>2653</v>
      </c>
      <c r="C37" s="668" t="s">
        <v>2660</v>
      </c>
      <c r="D37" s="668"/>
      <c r="E37" s="668"/>
    </row>
    <row r="38" spans="1:5">
      <c r="A38" s="668" t="s">
        <v>2653</v>
      </c>
      <c r="B38" s="668" t="s">
        <v>2661</v>
      </c>
      <c r="C38" s="668" t="s">
        <v>2662</v>
      </c>
      <c r="D38" s="668"/>
      <c r="E38" s="668"/>
    </row>
    <row r="39" spans="1:5">
      <c r="A39" s="668" t="s">
        <v>2653</v>
      </c>
      <c r="B39" s="668" t="s">
        <v>2663</v>
      </c>
      <c r="C39" s="668" t="s">
        <v>2664</v>
      </c>
      <c r="D39" s="668"/>
      <c r="E39" s="668"/>
    </row>
    <row r="40" spans="1:5">
      <c r="A40" s="668" t="s">
        <v>2653</v>
      </c>
      <c r="B40" s="668" t="s">
        <v>2665</v>
      </c>
      <c r="C40" s="668" t="s">
        <v>2666</v>
      </c>
      <c r="D40" s="668"/>
      <c r="E40" s="668"/>
    </row>
    <row r="41" spans="1:5">
      <c r="A41" s="668" t="s">
        <v>2653</v>
      </c>
      <c r="B41" s="668" t="s">
        <v>2667</v>
      </c>
      <c r="C41" s="668" t="s">
        <v>2668</v>
      </c>
      <c r="D41" s="668"/>
      <c r="E41" s="668"/>
    </row>
    <row r="42" spans="1:5">
      <c r="A42" s="668" t="s">
        <v>2653</v>
      </c>
      <c r="B42" s="668" t="s">
        <v>2669</v>
      </c>
      <c r="C42" s="668" t="s">
        <v>2670</v>
      </c>
      <c r="D42" s="668"/>
      <c r="E42" s="668"/>
    </row>
    <row r="43" spans="1:5">
      <c r="A43" s="668" t="s">
        <v>2671</v>
      </c>
      <c r="B43" s="668" t="s">
        <v>2672</v>
      </c>
      <c r="C43" s="668" t="s">
        <v>2673</v>
      </c>
      <c r="D43" s="668"/>
      <c r="E43" s="668"/>
    </row>
    <row r="44" spans="1:5">
      <c r="A44" s="668" t="s">
        <v>2671</v>
      </c>
      <c r="B44" s="668" t="s">
        <v>2674</v>
      </c>
      <c r="C44" s="668" t="s">
        <v>2675</v>
      </c>
      <c r="D44" s="668"/>
      <c r="E44" s="668"/>
    </row>
    <row r="45" spans="1:5">
      <c r="A45" s="668" t="s">
        <v>2671</v>
      </c>
      <c r="B45" s="668" t="s">
        <v>2676</v>
      </c>
      <c r="C45" s="668" t="s">
        <v>2677</v>
      </c>
      <c r="D45" s="668"/>
      <c r="E45" s="668"/>
    </row>
    <row r="46" spans="1:5">
      <c r="A46" s="668" t="s">
        <v>2671</v>
      </c>
      <c r="B46" s="668" t="s">
        <v>2671</v>
      </c>
      <c r="C46" s="668" t="s">
        <v>2678</v>
      </c>
      <c r="D46" s="668"/>
      <c r="E46" s="668"/>
    </row>
    <row r="47" spans="1:5">
      <c r="A47" s="668" t="s">
        <v>2671</v>
      </c>
      <c r="B47" s="668" t="s">
        <v>2679</v>
      </c>
      <c r="C47" s="668" t="s">
        <v>2680</v>
      </c>
      <c r="D47" s="668"/>
      <c r="E47" s="668"/>
    </row>
    <row r="48" spans="1:5">
      <c r="A48" s="668" t="s">
        <v>2671</v>
      </c>
      <c r="B48" s="668" t="s">
        <v>2681</v>
      </c>
      <c r="C48" s="668" t="s">
        <v>2682</v>
      </c>
      <c r="D48" s="668"/>
      <c r="E48" s="668"/>
    </row>
    <row r="49" spans="1:5">
      <c r="A49" s="668" t="s">
        <v>2671</v>
      </c>
      <c r="B49" s="668" t="s">
        <v>2683</v>
      </c>
      <c r="C49" s="668" t="s">
        <v>2684</v>
      </c>
      <c r="D49" s="668"/>
      <c r="E49" s="668"/>
    </row>
    <row r="50" spans="1:5">
      <c r="A50" s="668" t="s">
        <v>2685</v>
      </c>
      <c r="B50" s="668" t="s">
        <v>2686</v>
      </c>
      <c r="C50" s="668" t="s">
        <v>2687</v>
      </c>
      <c r="D50" s="668"/>
      <c r="E50" s="668"/>
    </row>
    <row r="51" spans="1:5">
      <c r="A51" s="668" t="s">
        <v>2685</v>
      </c>
      <c r="B51" s="668" t="s">
        <v>2688</v>
      </c>
      <c r="C51" s="668" t="s">
        <v>2689</v>
      </c>
      <c r="D51" s="668"/>
      <c r="E51" s="668"/>
    </row>
    <row r="52" spans="1:5">
      <c r="A52" s="668" t="s">
        <v>2685</v>
      </c>
      <c r="B52" s="668" t="s">
        <v>2690</v>
      </c>
      <c r="C52" s="668" t="s">
        <v>2691</v>
      </c>
      <c r="D52" s="668"/>
      <c r="E52" s="668"/>
    </row>
    <row r="53" spans="1:5">
      <c r="A53" s="668" t="s">
        <v>2685</v>
      </c>
      <c r="B53" s="668" t="s">
        <v>2692</v>
      </c>
      <c r="C53" s="668" t="s">
        <v>2693</v>
      </c>
      <c r="D53" s="668"/>
      <c r="E53" s="668"/>
    </row>
    <row r="54" spans="1:5">
      <c r="A54" s="668" t="s">
        <v>2685</v>
      </c>
      <c r="B54" s="668" t="s">
        <v>2685</v>
      </c>
      <c r="C54" s="668" t="s">
        <v>2694</v>
      </c>
      <c r="D54" s="668"/>
      <c r="E54" s="668"/>
    </row>
    <row r="55" spans="1:5">
      <c r="A55" s="668" t="s">
        <v>2685</v>
      </c>
      <c r="B55" s="668" t="s">
        <v>2695</v>
      </c>
      <c r="C55" s="668" t="s">
        <v>2696</v>
      </c>
      <c r="D55" s="668"/>
      <c r="E55" s="668"/>
    </row>
    <row r="56" spans="1:5">
      <c r="A56" s="668" t="s">
        <v>2685</v>
      </c>
      <c r="B56" s="668" t="s">
        <v>2697</v>
      </c>
      <c r="C56" s="668" t="s">
        <v>2698</v>
      </c>
      <c r="D56" s="668"/>
      <c r="E56" s="668"/>
    </row>
    <row r="57" spans="1:5">
      <c r="A57" s="668" t="s">
        <v>2685</v>
      </c>
      <c r="B57" s="668" t="s">
        <v>2699</v>
      </c>
      <c r="C57" s="668" t="s">
        <v>2700</v>
      </c>
      <c r="D57" s="668"/>
      <c r="E57" s="668"/>
    </row>
    <row r="58" spans="1:5">
      <c r="A58" s="668" t="s">
        <v>2701</v>
      </c>
      <c r="B58" s="668" t="s">
        <v>2702</v>
      </c>
      <c r="C58" s="668" t="s">
        <v>2703</v>
      </c>
      <c r="D58" s="668"/>
      <c r="E58" s="668"/>
    </row>
    <row r="59" spans="1:5">
      <c r="A59" s="668" t="s">
        <v>2701</v>
      </c>
      <c r="B59" s="668" t="s">
        <v>2701</v>
      </c>
      <c r="C59" s="668" t="s">
        <v>2704</v>
      </c>
      <c r="D59" s="668"/>
      <c r="E59" s="668"/>
    </row>
    <row r="60" spans="1:5">
      <c r="A60" s="668" t="s">
        <v>2701</v>
      </c>
      <c r="B60" s="668" t="s">
        <v>2705</v>
      </c>
      <c r="C60" s="668" t="s">
        <v>2706</v>
      </c>
      <c r="D60" s="668"/>
      <c r="E60" s="668"/>
    </row>
    <row r="61" spans="1:5">
      <c r="A61" s="668" t="s">
        <v>2701</v>
      </c>
      <c r="B61" s="668" t="s">
        <v>2707</v>
      </c>
      <c r="C61" s="668" t="s">
        <v>2708</v>
      </c>
      <c r="D61" s="668"/>
      <c r="E61" s="668"/>
    </row>
    <row r="62" spans="1:5">
      <c r="A62" s="668" t="s">
        <v>2701</v>
      </c>
      <c r="B62" s="668" t="s">
        <v>2709</v>
      </c>
      <c r="C62" s="668" t="s">
        <v>2710</v>
      </c>
      <c r="D62" s="668"/>
      <c r="E62" s="668"/>
    </row>
    <row r="63" spans="1:5">
      <c r="A63" s="668" t="s">
        <v>2701</v>
      </c>
      <c r="B63" s="668" t="s">
        <v>2711</v>
      </c>
      <c r="C63" s="668" t="s">
        <v>2712</v>
      </c>
      <c r="D63" s="668"/>
      <c r="E63" s="668"/>
    </row>
    <row r="64" spans="1:5">
      <c r="A64" s="668" t="s">
        <v>2701</v>
      </c>
      <c r="B64" s="668" t="s">
        <v>2713</v>
      </c>
      <c r="C64" s="668" t="s">
        <v>2714</v>
      </c>
      <c r="D64" s="668"/>
      <c r="E64" s="668"/>
    </row>
    <row r="65" spans="1:5">
      <c r="A65" s="668" t="s">
        <v>2701</v>
      </c>
      <c r="B65" s="668" t="s">
        <v>2715</v>
      </c>
      <c r="C65" s="668" t="s">
        <v>2716</v>
      </c>
      <c r="D65" s="668"/>
      <c r="E65" s="668"/>
    </row>
    <row r="66" spans="1:5">
      <c r="A66" s="668" t="s">
        <v>2701</v>
      </c>
      <c r="B66" s="668" t="s">
        <v>2717</v>
      </c>
      <c r="C66" s="668" t="s">
        <v>2718</v>
      </c>
      <c r="D66" s="668"/>
      <c r="E66" s="668"/>
    </row>
    <row r="67" spans="1:5">
      <c r="A67" s="668" t="s">
        <v>2719</v>
      </c>
      <c r="B67" s="668" t="s">
        <v>2720</v>
      </c>
      <c r="C67" s="668" t="s">
        <v>2721</v>
      </c>
      <c r="D67" s="668"/>
      <c r="E67" s="668"/>
    </row>
    <row r="68" spans="1:5">
      <c r="A68" s="668" t="s">
        <v>2719</v>
      </c>
      <c r="B68" s="668" t="s">
        <v>2722</v>
      </c>
      <c r="C68" s="668" t="s">
        <v>2723</v>
      </c>
      <c r="D68" s="668"/>
      <c r="E68" s="668"/>
    </row>
    <row r="69" spans="1:5">
      <c r="A69" s="668" t="s">
        <v>2719</v>
      </c>
      <c r="B69" s="668" t="s">
        <v>2724</v>
      </c>
      <c r="C69" s="668" t="s">
        <v>2725</v>
      </c>
      <c r="D69" s="668"/>
      <c r="E69" s="668"/>
    </row>
    <row r="70" spans="1:5">
      <c r="A70" s="668" t="s">
        <v>2719</v>
      </c>
      <c r="B70" s="668" t="s">
        <v>2726</v>
      </c>
      <c r="C70" s="668" t="s">
        <v>2727</v>
      </c>
      <c r="D70" s="668"/>
      <c r="E70" s="668"/>
    </row>
    <row r="71" spans="1:5">
      <c r="A71" s="668" t="s">
        <v>2719</v>
      </c>
      <c r="B71" s="668" t="s">
        <v>2719</v>
      </c>
      <c r="C71" s="668" t="s">
        <v>2728</v>
      </c>
      <c r="D71" s="668"/>
      <c r="E71" s="668"/>
    </row>
    <row r="72" spans="1:5">
      <c r="A72" s="668" t="s">
        <v>2719</v>
      </c>
      <c r="B72" s="668" t="s">
        <v>2729</v>
      </c>
      <c r="C72" s="668" t="s">
        <v>2730</v>
      </c>
      <c r="D72" s="668"/>
      <c r="E72" s="668"/>
    </row>
    <row r="73" spans="1:5">
      <c r="A73" s="668" t="s">
        <v>2719</v>
      </c>
      <c r="B73" s="668" t="s">
        <v>2731</v>
      </c>
      <c r="C73" s="668" t="s">
        <v>2732</v>
      </c>
      <c r="D73" s="668"/>
      <c r="E73" s="668"/>
    </row>
    <row r="74" spans="1:5">
      <c r="A74" s="668" t="s">
        <v>2719</v>
      </c>
      <c r="B74" s="668" t="s">
        <v>2733</v>
      </c>
      <c r="C74" s="668" t="s">
        <v>2734</v>
      </c>
      <c r="D74" s="668"/>
      <c r="E74" s="668"/>
    </row>
    <row r="75" spans="1:5">
      <c r="A75" s="668" t="s">
        <v>2719</v>
      </c>
      <c r="B75" s="668" t="s">
        <v>2735</v>
      </c>
      <c r="C75" s="668" t="s">
        <v>2736</v>
      </c>
      <c r="D75" s="668"/>
      <c r="E75" s="668"/>
    </row>
    <row r="76" spans="1:5">
      <c r="A76" s="668" t="s">
        <v>2719</v>
      </c>
      <c r="B76" s="668" t="s">
        <v>2737</v>
      </c>
      <c r="C76" s="668" t="s">
        <v>2738</v>
      </c>
      <c r="D76" s="668"/>
      <c r="E76" s="668"/>
    </row>
    <row r="77" spans="1:5">
      <c r="A77" s="668" t="s">
        <v>2739</v>
      </c>
      <c r="B77" s="668" t="s">
        <v>2740</v>
      </c>
      <c r="C77" s="668" t="s">
        <v>2741</v>
      </c>
      <c r="D77" s="668"/>
      <c r="E77" s="668"/>
    </row>
    <row r="78" spans="1:5">
      <c r="A78" s="668" t="s">
        <v>2739</v>
      </c>
      <c r="B78" s="668" t="s">
        <v>2739</v>
      </c>
      <c r="C78" s="668" t="s">
        <v>2742</v>
      </c>
      <c r="D78" s="668"/>
      <c r="E78" s="668"/>
    </row>
    <row r="79" spans="1:5">
      <c r="A79" s="668" t="s">
        <v>2739</v>
      </c>
      <c r="B79" s="668" t="s">
        <v>2743</v>
      </c>
      <c r="C79" s="668" t="s">
        <v>2744</v>
      </c>
      <c r="D79" s="668"/>
      <c r="E79" s="668"/>
    </row>
    <row r="80" spans="1:5">
      <c r="A80" s="668" t="s">
        <v>2739</v>
      </c>
      <c r="B80" s="668" t="s">
        <v>2745</v>
      </c>
      <c r="C80" s="668" t="s">
        <v>2746</v>
      </c>
      <c r="D80" s="668"/>
      <c r="E80" s="668"/>
    </row>
    <row r="81" spans="1:5">
      <c r="A81" s="668" t="s">
        <v>2739</v>
      </c>
      <c r="B81" s="668" t="s">
        <v>2747</v>
      </c>
      <c r="C81" s="668" t="s">
        <v>2748</v>
      </c>
      <c r="D81" s="668"/>
      <c r="E81" s="668"/>
    </row>
    <row r="82" spans="1:5">
      <c r="A82" s="668" t="s">
        <v>2739</v>
      </c>
      <c r="B82" s="668" t="s">
        <v>2749</v>
      </c>
      <c r="C82" s="668" t="s">
        <v>2750</v>
      </c>
      <c r="D82" s="668"/>
      <c r="E82" s="668"/>
    </row>
    <row r="83" spans="1:5">
      <c r="A83" s="668" t="s">
        <v>2751</v>
      </c>
      <c r="B83" s="668" t="s">
        <v>2752</v>
      </c>
      <c r="C83" s="668" t="s">
        <v>2753</v>
      </c>
      <c r="D83" s="668"/>
      <c r="E83" s="668"/>
    </row>
    <row r="84" spans="1:5">
      <c r="A84" s="668" t="s">
        <v>2751</v>
      </c>
      <c r="B84" s="668" t="s">
        <v>2754</v>
      </c>
      <c r="C84" s="668" t="s">
        <v>2755</v>
      </c>
      <c r="D84" s="668"/>
      <c r="E84" s="668"/>
    </row>
    <row r="85" spans="1:5">
      <c r="A85" s="668" t="s">
        <v>2751</v>
      </c>
      <c r="B85" s="668" t="s">
        <v>2751</v>
      </c>
      <c r="C85" s="668" t="s">
        <v>2756</v>
      </c>
      <c r="D85" s="668"/>
      <c r="E85" s="668"/>
    </row>
    <row r="86" spans="1:5">
      <c r="A86" s="668" t="s">
        <v>2751</v>
      </c>
      <c r="B86" s="668" t="s">
        <v>2757</v>
      </c>
      <c r="C86" s="668" t="s">
        <v>2758</v>
      </c>
      <c r="D86" s="668"/>
      <c r="E86" s="668"/>
    </row>
    <row r="87" spans="1:5">
      <c r="A87" s="668" t="s">
        <v>2751</v>
      </c>
      <c r="B87" s="668" t="s">
        <v>2759</v>
      </c>
      <c r="C87" s="668" t="s">
        <v>2760</v>
      </c>
      <c r="D87" s="668"/>
      <c r="E87" s="668"/>
    </row>
    <row r="88" spans="1:5">
      <c r="A88" s="668" t="s">
        <v>2751</v>
      </c>
      <c r="B88" s="668" t="s">
        <v>2761</v>
      </c>
      <c r="C88" s="668" t="s">
        <v>2762</v>
      </c>
      <c r="D88" s="668"/>
      <c r="E88" s="668"/>
    </row>
    <row r="89" spans="1:5">
      <c r="A89" s="668" t="s">
        <v>2751</v>
      </c>
      <c r="B89" s="668" t="s">
        <v>2763</v>
      </c>
      <c r="C89" s="668" t="s">
        <v>2764</v>
      </c>
      <c r="D89" s="668"/>
      <c r="E89" s="668"/>
    </row>
    <row r="90" spans="1:5">
      <c r="A90" s="668" t="s">
        <v>2765</v>
      </c>
      <c r="B90" s="668" t="s">
        <v>2766</v>
      </c>
      <c r="C90" s="668" t="s">
        <v>2767</v>
      </c>
      <c r="D90" s="668"/>
      <c r="E90" s="668"/>
    </row>
    <row r="91" spans="1:5">
      <c r="A91" s="668" t="s">
        <v>2765</v>
      </c>
      <c r="B91" s="668" t="s">
        <v>2765</v>
      </c>
      <c r="C91" s="668" t="s">
        <v>2768</v>
      </c>
      <c r="D91" s="668"/>
      <c r="E91" s="668"/>
    </row>
    <row r="92" spans="1:5">
      <c r="A92" s="668" t="s">
        <v>2765</v>
      </c>
      <c r="B92" s="668" t="s">
        <v>2769</v>
      </c>
      <c r="C92" s="668" t="s">
        <v>2770</v>
      </c>
      <c r="D92" s="668"/>
      <c r="E92" s="668"/>
    </row>
    <row r="93" spans="1:5">
      <c r="A93" s="668" t="s">
        <v>2765</v>
      </c>
      <c r="B93" s="668" t="s">
        <v>2771</v>
      </c>
      <c r="C93" s="668" t="s">
        <v>2772</v>
      </c>
      <c r="D93" s="668"/>
      <c r="E93" s="668"/>
    </row>
    <row r="94" spans="1:5">
      <c r="A94" s="668" t="s">
        <v>2765</v>
      </c>
      <c r="B94" s="668" t="s">
        <v>2773</v>
      </c>
      <c r="C94" s="668" t="s">
        <v>2774</v>
      </c>
      <c r="D94" s="668"/>
      <c r="E94" s="668"/>
    </row>
    <row r="95" spans="1:5">
      <c r="A95" s="668" t="s">
        <v>2765</v>
      </c>
      <c r="B95" s="668" t="s">
        <v>2775</v>
      </c>
      <c r="C95" s="668" t="s">
        <v>2776</v>
      </c>
      <c r="D95" s="668"/>
      <c r="E95" s="668"/>
    </row>
    <row r="96" spans="1:5">
      <c r="A96" s="668" t="s">
        <v>2765</v>
      </c>
      <c r="B96" s="668" t="s">
        <v>2777</v>
      </c>
      <c r="C96" s="668" t="s">
        <v>2778</v>
      </c>
      <c r="D96" s="668"/>
      <c r="E96" s="668"/>
    </row>
    <row r="97" spans="1:5">
      <c r="A97" s="668" t="s">
        <v>2779</v>
      </c>
      <c r="B97" s="668" t="s">
        <v>2780</v>
      </c>
      <c r="C97" s="668" t="s">
        <v>2781</v>
      </c>
      <c r="D97" s="668"/>
      <c r="E97" s="668"/>
    </row>
    <row r="98" spans="1:5">
      <c r="A98" s="668" t="s">
        <v>2779</v>
      </c>
      <c r="B98" s="668" t="s">
        <v>2782</v>
      </c>
      <c r="C98" s="668" t="s">
        <v>2783</v>
      </c>
      <c r="D98" s="668"/>
      <c r="E98" s="668"/>
    </row>
    <row r="99" spans="1:5">
      <c r="A99" s="668" t="s">
        <v>2779</v>
      </c>
      <c r="B99" s="668" t="s">
        <v>2784</v>
      </c>
      <c r="C99" s="668" t="s">
        <v>2785</v>
      </c>
      <c r="D99" s="668"/>
      <c r="E99" s="668"/>
    </row>
    <row r="100" spans="1:5">
      <c r="A100" s="668" t="s">
        <v>2779</v>
      </c>
      <c r="B100" s="668" t="s">
        <v>2786</v>
      </c>
      <c r="C100" s="668" t="s">
        <v>2787</v>
      </c>
      <c r="D100" s="668"/>
      <c r="E100" s="668"/>
    </row>
    <row r="101" spans="1:5">
      <c r="A101" s="668" t="s">
        <v>2779</v>
      </c>
      <c r="B101" s="668" t="s">
        <v>2779</v>
      </c>
      <c r="C101" s="668" t="s">
        <v>2788</v>
      </c>
      <c r="D101" s="668"/>
      <c r="E101" s="668"/>
    </row>
    <row r="102" spans="1:5">
      <c r="A102" s="668" t="s">
        <v>2779</v>
      </c>
      <c r="B102" s="668" t="s">
        <v>2789</v>
      </c>
      <c r="C102" s="668" t="s">
        <v>2790</v>
      </c>
      <c r="D102" s="668"/>
      <c r="E102" s="668"/>
    </row>
    <row r="103" spans="1:5">
      <c r="A103" s="668" t="s">
        <v>2791</v>
      </c>
      <c r="B103" s="668" t="s">
        <v>2792</v>
      </c>
      <c r="C103" s="668" t="s">
        <v>2793</v>
      </c>
      <c r="D103" s="668"/>
      <c r="E103" s="668"/>
    </row>
    <row r="104" spans="1:5">
      <c r="A104" s="668" t="s">
        <v>2791</v>
      </c>
      <c r="B104" s="668" t="s">
        <v>2794</v>
      </c>
      <c r="C104" s="668" t="s">
        <v>2795</v>
      </c>
      <c r="D104" s="668"/>
      <c r="E104" s="668"/>
    </row>
    <row r="105" spans="1:5">
      <c r="A105" s="668" t="s">
        <v>2791</v>
      </c>
      <c r="B105" s="668" t="s">
        <v>2796</v>
      </c>
      <c r="C105" s="668" t="s">
        <v>2797</v>
      </c>
      <c r="D105" s="668"/>
      <c r="E105" s="668"/>
    </row>
    <row r="106" spans="1:5">
      <c r="A106" s="668" t="s">
        <v>2791</v>
      </c>
      <c r="B106" s="668" t="s">
        <v>2791</v>
      </c>
      <c r="C106" s="668" t="s">
        <v>2798</v>
      </c>
      <c r="D106" s="668"/>
      <c r="E106" s="668"/>
    </row>
    <row r="107" spans="1:5">
      <c r="A107" s="668" t="s">
        <v>2791</v>
      </c>
      <c r="B107" s="668" t="s">
        <v>2799</v>
      </c>
      <c r="C107" s="668" t="s">
        <v>2800</v>
      </c>
      <c r="D107" s="668"/>
      <c r="E107" s="668"/>
    </row>
    <row r="108" spans="1:5">
      <c r="A108" s="668" t="s">
        <v>2791</v>
      </c>
      <c r="B108" s="668" t="s">
        <v>2801</v>
      </c>
      <c r="C108" s="668" t="s">
        <v>2802</v>
      </c>
      <c r="D108" s="668"/>
      <c r="E108" s="668"/>
    </row>
    <row r="109" spans="1:5">
      <c r="A109" s="668" t="s">
        <v>2791</v>
      </c>
      <c r="B109" s="668" t="s">
        <v>2803</v>
      </c>
      <c r="C109" s="668" t="s">
        <v>2804</v>
      </c>
      <c r="D109" s="668"/>
      <c r="E109" s="668"/>
    </row>
    <row r="110" spans="1:5">
      <c r="A110" s="668" t="s">
        <v>2805</v>
      </c>
      <c r="B110" s="668" t="s">
        <v>2806</v>
      </c>
      <c r="C110" s="668" t="s">
        <v>2807</v>
      </c>
      <c r="D110" s="668"/>
      <c r="E110" s="668"/>
    </row>
    <row r="111" spans="1:5">
      <c r="A111" s="668" t="s">
        <v>2805</v>
      </c>
      <c r="B111" s="668" t="s">
        <v>2808</v>
      </c>
      <c r="C111" s="668" t="s">
        <v>2809</v>
      </c>
      <c r="D111" s="668"/>
      <c r="E111" s="668"/>
    </row>
    <row r="112" spans="1:5">
      <c r="A112" s="668" t="s">
        <v>2805</v>
      </c>
      <c r="B112" s="668" t="s">
        <v>2810</v>
      </c>
      <c r="C112" s="668" t="s">
        <v>2811</v>
      </c>
      <c r="D112" s="668"/>
      <c r="E112" s="668"/>
    </row>
    <row r="113" spans="1:5">
      <c r="A113" s="668" t="s">
        <v>2805</v>
      </c>
      <c r="B113" s="668" t="s">
        <v>2805</v>
      </c>
      <c r="C113" s="668" t="s">
        <v>2812</v>
      </c>
      <c r="D113" s="668"/>
      <c r="E113" s="668"/>
    </row>
    <row r="114" spans="1:5">
      <c r="A114" s="668" t="s">
        <v>2805</v>
      </c>
      <c r="B114" s="668" t="s">
        <v>2813</v>
      </c>
      <c r="C114" s="668" t="s">
        <v>2814</v>
      </c>
      <c r="D114" s="668"/>
      <c r="E114" s="668"/>
    </row>
    <row r="115" spans="1:5">
      <c r="A115" s="668" t="s">
        <v>2805</v>
      </c>
      <c r="B115" s="668" t="s">
        <v>2815</v>
      </c>
      <c r="C115" s="668" t="s">
        <v>2816</v>
      </c>
      <c r="D115" s="668"/>
      <c r="E115" s="668"/>
    </row>
    <row r="116" spans="1:5">
      <c r="A116" s="668" t="s">
        <v>2817</v>
      </c>
      <c r="B116" s="668" t="s">
        <v>2818</v>
      </c>
      <c r="C116" s="668" t="s">
        <v>2819</v>
      </c>
      <c r="D116" s="668"/>
      <c r="E116" s="668"/>
    </row>
    <row r="117" spans="1:5">
      <c r="A117" s="668" t="s">
        <v>2817</v>
      </c>
      <c r="B117" s="668" t="s">
        <v>2820</v>
      </c>
      <c r="C117" s="668" t="s">
        <v>2821</v>
      </c>
      <c r="D117" s="668"/>
      <c r="E117" s="668"/>
    </row>
    <row r="118" spans="1:5">
      <c r="A118" s="668" t="s">
        <v>2817</v>
      </c>
      <c r="B118" s="668" t="s">
        <v>2822</v>
      </c>
      <c r="C118" s="668" t="s">
        <v>2823</v>
      </c>
      <c r="D118" s="668"/>
      <c r="E118" s="668"/>
    </row>
    <row r="119" spans="1:5">
      <c r="A119" s="668" t="s">
        <v>2817</v>
      </c>
      <c r="B119" s="668" t="s">
        <v>2824</v>
      </c>
      <c r="C119" s="668" t="s">
        <v>2825</v>
      </c>
      <c r="D119" s="668"/>
      <c r="E119" s="668"/>
    </row>
    <row r="120" spans="1:5">
      <c r="A120" s="668" t="s">
        <v>2817</v>
      </c>
      <c r="B120" s="668" t="s">
        <v>2826</v>
      </c>
      <c r="C120" s="668" t="s">
        <v>2827</v>
      </c>
      <c r="D120" s="668"/>
      <c r="E120" s="668"/>
    </row>
    <row r="121" spans="1:5">
      <c r="A121" s="668" t="s">
        <v>2817</v>
      </c>
      <c r="B121" s="668" t="s">
        <v>2817</v>
      </c>
      <c r="C121" s="668" t="s">
        <v>2828</v>
      </c>
      <c r="D121" s="668"/>
      <c r="E121" s="668"/>
    </row>
    <row r="122" spans="1:5">
      <c r="A122" s="668" t="s">
        <v>2817</v>
      </c>
      <c r="B122" s="668" t="s">
        <v>2829</v>
      </c>
      <c r="C122" s="668" t="s">
        <v>2830</v>
      </c>
      <c r="D122" s="668"/>
      <c r="E122" s="668"/>
    </row>
    <row r="123" spans="1:5">
      <c r="A123" s="668" t="s">
        <v>2817</v>
      </c>
      <c r="B123" s="668" t="s">
        <v>2831</v>
      </c>
      <c r="C123" s="668" t="s">
        <v>2832</v>
      </c>
      <c r="D123" s="668"/>
      <c r="E123" s="668"/>
    </row>
    <row r="124" spans="1:5">
      <c r="A124" s="668" t="s">
        <v>2833</v>
      </c>
      <c r="B124" s="668" t="s">
        <v>2834</v>
      </c>
      <c r="C124" s="668" t="s">
        <v>2835</v>
      </c>
      <c r="D124" s="668"/>
      <c r="E124" s="668"/>
    </row>
    <row r="125" spans="1:5">
      <c r="A125" s="668" t="s">
        <v>2833</v>
      </c>
      <c r="B125" s="668" t="s">
        <v>2836</v>
      </c>
      <c r="C125" s="668" t="s">
        <v>2837</v>
      </c>
      <c r="D125" s="668"/>
      <c r="E125" s="668"/>
    </row>
    <row r="126" spans="1:5">
      <c r="A126" s="668" t="s">
        <v>2833</v>
      </c>
      <c r="B126" s="668" t="s">
        <v>2838</v>
      </c>
      <c r="C126" s="668" t="s">
        <v>2839</v>
      </c>
      <c r="D126" s="668"/>
      <c r="E126" s="668"/>
    </row>
    <row r="127" spans="1:5">
      <c r="A127" s="668" t="s">
        <v>2833</v>
      </c>
      <c r="B127" s="668" t="s">
        <v>2840</v>
      </c>
      <c r="C127" s="668" t="s">
        <v>2841</v>
      </c>
      <c r="D127" s="668"/>
      <c r="E127" s="668"/>
    </row>
    <row r="128" spans="1:5">
      <c r="A128" s="668" t="s">
        <v>2833</v>
      </c>
      <c r="B128" s="668" t="s">
        <v>2833</v>
      </c>
      <c r="C128" s="668" t="s">
        <v>2842</v>
      </c>
      <c r="D128" s="668"/>
      <c r="E128" s="668"/>
    </row>
    <row r="129" spans="1:5">
      <c r="A129" s="668" t="s">
        <v>2833</v>
      </c>
      <c r="B129" s="668" t="s">
        <v>2843</v>
      </c>
      <c r="C129" s="668" t="s">
        <v>2844</v>
      </c>
      <c r="D129" s="668"/>
      <c r="E129" s="668"/>
    </row>
    <row r="130" spans="1:5">
      <c r="A130" s="668" t="s">
        <v>2833</v>
      </c>
      <c r="B130" s="668" t="s">
        <v>2845</v>
      </c>
      <c r="C130" s="668" t="s">
        <v>2846</v>
      </c>
      <c r="D130" s="668"/>
      <c r="E130" s="668"/>
    </row>
    <row r="131" spans="1:5">
      <c r="A131" s="668" t="s">
        <v>2833</v>
      </c>
      <c r="B131" s="668" t="s">
        <v>2847</v>
      </c>
      <c r="C131" s="668" t="s">
        <v>2848</v>
      </c>
      <c r="D131" s="668"/>
      <c r="E131" s="668"/>
    </row>
    <row r="132" spans="1:5">
      <c r="A132" s="668" t="s">
        <v>2849</v>
      </c>
      <c r="B132" s="668" t="s">
        <v>2850</v>
      </c>
      <c r="C132" s="668" t="s">
        <v>2851</v>
      </c>
      <c r="D132" s="668"/>
      <c r="E132" s="668"/>
    </row>
    <row r="133" spans="1:5">
      <c r="A133" s="668" t="s">
        <v>2849</v>
      </c>
      <c r="B133" s="668" t="s">
        <v>2852</v>
      </c>
      <c r="C133" s="668" t="s">
        <v>2853</v>
      </c>
      <c r="D133" s="668"/>
      <c r="E133" s="668"/>
    </row>
    <row r="134" spans="1:5">
      <c r="A134" s="668" t="s">
        <v>2849</v>
      </c>
      <c r="B134" s="668" t="s">
        <v>2854</v>
      </c>
      <c r="C134" s="668" t="s">
        <v>2855</v>
      </c>
      <c r="D134" s="668"/>
      <c r="E134" s="668"/>
    </row>
    <row r="135" spans="1:5">
      <c r="A135" s="668" t="s">
        <v>2849</v>
      </c>
      <c r="B135" s="668" t="s">
        <v>2856</v>
      </c>
      <c r="C135" s="668" t="s">
        <v>2857</v>
      </c>
      <c r="D135" s="668"/>
      <c r="E135" s="668"/>
    </row>
    <row r="136" spans="1:5">
      <c r="A136" s="668" t="s">
        <v>2849</v>
      </c>
      <c r="B136" s="668" t="s">
        <v>2849</v>
      </c>
      <c r="C136" s="668" t="s">
        <v>2858</v>
      </c>
      <c r="D136" s="668"/>
      <c r="E136" s="668"/>
    </row>
    <row r="137" spans="1:5">
      <c r="A137" s="668" t="s">
        <v>2849</v>
      </c>
      <c r="B137" s="668" t="s">
        <v>2859</v>
      </c>
      <c r="C137" s="668" t="s">
        <v>2860</v>
      </c>
      <c r="D137" s="668"/>
      <c r="E137" s="668"/>
    </row>
    <row r="138" spans="1:5">
      <c r="A138" s="668" t="s">
        <v>2849</v>
      </c>
      <c r="B138" s="668" t="s">
        <v>2861</v>
      </c>
      <c r="C138" s="668" t="s">
        <v>2862</v>
      </c>
      <c r="D138" s="668"/>
      <c r="E138" s="668"/>
    </row>
    <row r="139" spans="1:5">
      <c r="A139" s="668" t="s">
        <v>2863</v>
      </c>
      <c r="B139" s="668" t="s">
        <v>2864</v>
      </c>
      <c r="C139" s="668" t="s">
        <v>2865</v>
      </c>
      <c r="D139" s="668"/>
      <c r="E139" s="668"/>
    </row>
    <row r="140" spans="1:5">
      <c r="A140" s="668" t="s">
        <v>2863</v>
      </c>
      <c r="B140" s="668" t="s">
        <v>2866</v>
      </c>
      <c r="C140" s="668" t="s">
        <v>2867</v>
      </c>
      <c r="D140" s="668"/>
      <c r="E140" s="668"/>
    </row>
    <row r="141" spans="1:5">
      <c r="A141" s="668" t="s">
        <v>2863</v>
      </c>
      <c r="B141" s="668" t="s">
        <v>2868</v>
      </c>
      <c r="C141" s="668" t="s">
        <v>2869</v>
      </c>
      <c r="D141" s="668"/>
      <c r="E141" s="668"/>
    </row>
    <row r="142" spans="1:5">
      <c r="A142" s="668" t="s">
        <v>2863</v>
      </c>
      <c r="B142" s="668" t="s">
        <v>2870</v>
      </c>
      <c r="C142" s="668" t="s">
        <v>2871</v>
      </c>
      <c r="D142" s="668"/>
      <c r="E142" s="668"/>
    </row>
    <row r="143" spans="1:5">
      <c r="A143" s="668" t="s">
        <v>2863</v>
      </c>
      <c r="B143" s="668" t="s">
        <v>2872</v>
      </c>
      <c r="C143" s="668" t="s">
        <v>2873</v>
      </c>
      <c r="D143" s="668"/>
      <c r="E143" s="668"/>
    </row>
    <row r="144" spans="1:5">
      <c r="A144" s="668" t="s">
        <v>2863</v>
      </c>
      <c r="B144" s="668" t="s">
        <v>2863</v>
      </c>
      <c r="C144" s="668" t="s">
        <v>2874</v>
      </c>
      <c r="D144" s="668"/>
      <c r="E144" s="668"/>
    </row>
    <row r="145" spans="1:5">
      <c r="A145" s="668" t="s">
        <v>2863</v>
      </c>
      <c r="B145" s="668" t="s">
        <v>2875</v>
      </c>
      <c r="C145" s="668" t="s">
        <v>2876</v>
      </c>
      <c r="D145" s="668"/>
      <c r="E145" s="668"/>
    </row>
    <row r="146" spans="1:5">
      <c r="A146" s="668" t="s">
        <v>2877</v>
      </c>
      <c r="B146" s="668" t="s">
        <v>2878</v>
      </c>
      <c r="C146" s="668" t="s">
        <v>2879</v>
      </c>
      <c r="D146" s="668"/>
      <c r="E146" s="668"/>
    </row>
    <row r="147" spans="1:5">
      <c r="A147" s="668" t="s">
        <v>2877</v>
      </c>
      <c r="B147" s="668" t="s">
        <v>2686</v>
      </c>
      <c r="C147" s="668" t="s">
        <v>2880</v>
      </c>
      <c r="D147" s="668"/>
      <c r="E147" s="668"/>
    </row>
    <row r="148" spans="1:5">
      <c r="A148" s="668" t="s">
        <v>2877</v>
      </c>
      <c r="B148" s="668" t="s">
        <v>2881</v>
      </c>
      <c r="C148" s="668" t="s">
        <v>2882</v>
      </c>
      <c r="D148" s="668"/>
      <c r="E148" s="668"/>
    </row>
    <row r="149" spans="1:5">
      <c r="A149" s="668" t="s">
        <v>2877</v>
      </c>
      <c r="B149" s="668" t="s">
        <v>2883</v>
      </c>
      <c r="C149" s="668" t="s">
        <v>2884</v>
      </c>
      <c r="D149" s="668"/>
      <c r="E149" s="668"/>
    </row>
    <row r="150" spans="1:5">
      <c r="A150" s="668" t="s">
        <v>2877</v>
      </c>
      <c r="B150" s="668" t="s">
        <v>2885</v>
      </c>
      <c r="C150" s="668" t="s">
        <v>2886</v>
      </c>
      <c r="D150" s="668"/>
      <c r="E150" s="668"/>
    </row>
    <row r="151" spans="1:5">
      <c r="A151" s="668" t="s">
        <v>2877</v>
      </c>
      <c r="B151" s="668" t="s">
        <v>2887</v>
      </c>
      <c r="C151" s="668" t="s">
        <v>2888</v>
      </c>
      <c r="D151" s="668"/>
      <c r="E151" s="668"/>
    </row>
    <row r="152" spans="1:5">
      <c r="A152" s="668" t="s">
        <v>2877</v>
      </c>
      <c r="B152" s="668" t="s">
        <v>2889</v>
      </c>
      <c r="C152" s="668" t="s">
        <v>2890</v>
      </c>
      <c r="D152" s="668"/>
      <c r="E152" s="668"/>
    </row>
    <row r="153" spans="1:5">
      <c r="A153" s="668" t="s">
        <v>2877</v>
      </c>
      <c r="B153" s="668" t="s">
        <v>2877</v>
      </c>
      <c r="C153" s="668" t="s">
        <v>2891</v>
      </c>
      <c r="D153" s="668"/>
      <c r="E153" s="668"/>
    </row>
    <row r="154" spans="1:5">
      <c r="A154" s="668" t="s">
        <v>2877</v>
      </c>
      <c r="B154" s="668" t="s">
        <v>2892</v>
      </c>
      <c r="C154" s="668" t="s">
        <v>2893</v>
      </c>
      <c r="D154" s="668"/>
      <c r="E154" s="668"/>
    </row>
    <row r="155" spans="1:5">
      <c r="A155" s="668" t="s">
        <v>2894</v>
      </c>
      <c r="B155" s="668" t="s">
        <v>2895</v>
      </c>
      <c r="C155" s="668" t="s">
        <v>2896</v>
      </c>
      <c r="D155" s="668"/>
      <c r="E155" s="668"/>
    </row>
    <row r="156" spans="1:5">
      <c r="A156" s="668" t="s">
        <v>2894</v>
      </c>
      <c r="B156" s="668" t="s">
        <v>2897</v>
      </c>
      <c r="C156" s="668" t="s">
        <v>2898</v>
      </c>
      <c r="D156" s="668"/>
      <c r="E156" s="668"/>
    </row>
    <row r="157" spans="1:5">
      <c r="A157" s="668" t="s">
        <v>2894</v>
      </c>
      <c r="B157" s="668" t="s">
        <v>2899</v>
      </c>
      <c r="C157" s="668" t="s">
        <v>2900</v>
      </c>
      <c r="D157" s="668"/>
      <c r="E157" s="668"/>
    </row>
    <row r="158" spans="1:5">
      <c r="A158" s="668" t="s">
        <v>2894</v>
      </c>
      <c r="B158" s="668" t="s">
        <v>2901</v>
      </c>
      <c r="C158" s="668" t="s">
        <v>2902</v>
      </c>
      <c r="D158" s="668"/>
      <c r="E158" s="668"/>
    </row>
    <row r="159" spans="1:5">
      <c r="A159" s="668" t="s">
        <v>2894</v>
      </c>
      <c r="B159" s="668" t="s">
        <v>2903</v>
      </c>
      <c r="C159" s="668" t="s">
        <v>2904</v>
      </c>
      <c r="D159" s="668"/>
      <c r="E159" s="668"/>
    </row>
    <row r="160" spans="1:5">
      <c r="A160" s="668" t="s">
        <v>2894</v>
      </c>
      <c r="B160" s="668" t="s">
        <v>2905</v>
      </c>
      <c r="C160" s="668" t="s">
        <v>2906</v>
      </c>
      <c r="D160" s="668"/>
      <c r="E160" s="668"/>
    </row>
    <row r="161" spans="1:5">
      <c r="A161" s="668" t="s">
        <v>2894</v>
      </c>
      <c r="B161" s="668" t="s">
        <v>2907</v>
      </c>
      <c r="C161" s="668" t="s">
        <v>2908</v>
      </c>
      <c r="D161" s="668"/>
      <c r="E161" s="668"/>
    </row>
    <row r="162" spans="1:5">
      <c r="A162" s="668" t="s">
        <v>2894</v>
      </c>
      <c r="B162" s="668" t="s">
        <v>2909</v>
      </c>
      <c r="C162" s="668" t="s">
        <v>2910</v>
      </c>
      <c r="D162" s="668"/>
      <c r="E162" s="668"/>
    </row>
    <row r="163" spans="1:5">
      <c r="A163" s="668" t="s">
        <v>2894</v>
      </c>
      <c r="B163" s="668" t="s">
        <v>2911</v>
      </c>
      <c r="C163" s="668" t="s">
        <v>2912</v>
      </c>
      <c r="D163" s="668"/>
      <c r="E163" s="668"/>
    </row>
    <row r="164" spans="1:5">
      <c r="A164" s="668" t="s">
        <v>2894</v>
      </c>
      <c r="B164" s="668" t="s">
        <v>2894</v>
      </c>
      <c r="C164" s="668" t="s">
        <v>2913</v>
      </c>
      <c r="D164" s="668"/>
      <c r="E164" s="668"/>
    </row>
    <row r="165" spans="1:5">
      <c r="A165" s="668" t="s">
        <v>2894</v>
      </c>
      <c r="B165" s="668" t="s">
        <v>2914</v>
      </c>
      <c r="C165" s="668" t="s">
        <v>2915</v>
      </c>
      <c r="D165" s="668"/>
      <c r="E165" s="668"/>
    </row>
    <row r="166" spans="1:5">
      <c r="A166" s="668" t="s">
        <v>2916</v>
      </c>
      <c r="B166" s="668" t="s">
        <v>2916</v>
      </c>
      <c r="C166" s="668" t="s">
        <v>2917</v>
      </c>
      <c r="D166" s="668"/>
      <c r="E166" s="668"/>
    </row>
    <row r="167" spans="1:5">
      <c r="A167" s="668" t="s">
        <v>2918</v>
      </c>
      <c r="B167" s="668" t="s">
        <v>2918</v>
      </c>
      <c r="C167" s="668" t="s">
        <v>2919</v>
      </c>
      <c r="D167" s="668"/>
      <c r="E167" s="668"/>
    </row>
    <row r="168" spans="1:5">
      <c r="A168" s="668" t="s">
        <v>2920</v>
      </c>
      <c r="B168" s="668" t="s">
        <v>2920</v>
      </c>
      <c r="C168" s="668" t="s">
        <v>2921</v>
      </c>
      <c r="D168" s="668"/>
      <c r="E168" s="668"/>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283</v>
      </c>
      <c r="B1" s="7" t="s">
        <v>1768</v>
      </c>
      <c r="C1" s="7" t="s">
        <v>1769</v>
      </c>
      <c r="D1" s="7" t="s">
        <v>1770</v>
      </c>
      <c r="E1" s="7" t="s">
        <v>1771</v>
      </c>
      <c r="F1" s="7" t="s">
        <v>1772</v>
      </c>
      <c r="G1" s="7" t="s">
        <v>1773</v>
      </c>
      <c r="H1" s="7" t="s">
        <v>1774</v>
      </c>
      <c r="I1" s="7" t="s">
        <v>1775</v>
      </c>
    </row>
    <row r="2" spans="1:10">
      <c r="A2" s="7">
        <v>1</v>
      </c>
      <c r="B2" s="7" t="s">
        <v>1776</v>
      </c>
      <c r="C2" s="7" t="s">
        <v>19</v>
      </c>
      <c r="D2" s="7" t="s">
        <v>1777</v>
      </c>
      <c r="E2" s="7" t="s">
        <v>1778</v>
      </c>
      <c r="F2" s="7" t="s">
        <v>1779</v>
      </c>
      <c r="G2" s="7" t="s">
        <v>1780</v>
      </c>
      <c r="J2" s="7" t="s">
        <v>2411</v>
      </c>
    </row>
    <row r="3" spans="1:10">
      <c r="A3" s="7">
        <v>2</v>
      </c>
      <c r="B3" s="7" t="s">
        <v>1776</v>
      </c>
      <c r="C3" s="7" t="s">
        <v>19</v>
      </c>
      <c r="D3" s="7" t="s">
        <v>1781</v>
      </c>
      <c r="E3" s="7" t="s">
        <v>1782</v>
      </c>
      <c r="F3" s="7" t="s">
        <v>1783</v>
      </c>
      <c r="G3" s="7" t="s">
        <v>1784</v>
      </c>
      <c r="I3" s="7" t="s">
        <v>1785</v>
      </c>
      <c r="J3" s="7" t="s">
        <v>2411</v>
      </c>
    </row>
    <row r="4" spans="1:10">
      <c r="A4" s="7">
        <v>3</v>
      </c>
      <c r="B4" s="7" t="s">
        <v>1776</v>
      </c>
      <c r="C4" s="7" t="s">
        <v>19</v>
      </c>
      <c r="D4" s="7" t="s">
        <v>1786</v>
      </c>
      <c r="E4" s="7" t="s">
        <v>1787</v>
      </c>
      <c r="F4" s="7" t="s">
        <v>1788</v>
      </c>
      <c r="G4" s="7" t="s">
        <v>1789</v>
      </c>
      <c r="H4" s="7" t="s">
        <v>1790</v>
      </c>
      <c r="J4" s="7" t="s">
        <v>2411</v>
      </c>
    </row>
    <row r="5" spans="1:10">
      <c r="A5" s="7">
        <v>4</v>
      </c>
      <c r="B5" s="7" t="s">
        <v>1776</v>
      </c>
      <c r="C5" s="7" t="s">
        <v>19</v>
      </c>
      <c r="E5" s="7" t="s">
        <v>1791</v>
      </c>
      <c r="F5" s="7" t="s">
        <v>1792</v>
      </c>
      <c r="G5" s="7" t="s">
        <v>1793</v>
      </c>
      <c r="J5" s="7" t="s">
        <v>2411</v>
      </c>
    </row>
    <row r="6" spans="1:10">
      <c r="A6" s="7">
        <v>5</v>
      </c>
      <c r="B6" s="7" t="s">
        <v>1776</v>
      </c>
      <c r="C6" s="7" t="s">
        <v>19</v>
      </c>
      <c r="D6" s="7" t="s">
        <v>1794</v>
      </c>
      <c r="E6" s="7" t="s">
        <v>1795</v>
      </c>
      <c r="F6" s="7" t="s">
        <v>1796</v>
      </c>
      <c r="G6" s="7" t="s">
        <v>1797</v>
      </c>
      <c r="I6" s="7" t="s">
        <v>1798</v>
      </c>
      <c r="J6" s="7" t="s">
        <v>2411</v>
      </c>
    </row>
    <row r="7" spans="1:10">
      <c r="A7" s="7">
        <v>6</v>
      </c>
      <c r="B7" s="7" t="s">
        <v>1776</v>
      </c>
      <c r="C7" s="7" t="s">
        <v>19</v>
      </c>
      <c r="D7" s="7" t="s">
        <v>1799</v>
      </c>
      <c r="E7" s="7" t="s">
        <v>1800</v>
      </c>
      <c r="F7" s="7" t="s">
        <v>1796</v>
      </c>
      <c r="G7" s="7" t="s">
        <v>1801</v>
      </c>
      <c r="I7" s="7" t="s">
        <v>1785</v>
      </c>
      <c r="J7" s="7" t="s">
        <v>2411</v>
      </c>
    </row>
    <row r="8" spans="1:10">
      <c r="A8" s="7">
        <v>7</v>
      </c>
      <c r="B8" s="7" t="s">
        <v>1776</v>
      </c>
      <c r="C8" s="7" t="s">
        <v>19</v>
      </c>
      <c r="D8" s="7" t="s">
        <v>1802</v>
      </c>
      <c r="E8" s="7" t="s">
        <v>1803</v>
      </c>
      <c r="F8" s="7" t="s">
        <v>1804</v>
      </c>
      <c r="G8" s="7" t="s">
        <v>1805</v>
      </c>
      <c r="J8" s="7" t="s">
        <v>2411</v>
      </c>
    </row>
    <row r="9" spans="1:10">
      <c r="A9" s="7">
        <v>8</v>
      </c>
      <c r="B9" s="7" t="s">
        <v>1776</v>
      </c>
      <c r="C9" s="7" t="s">
        <v>19</v>
      </c>
      <c r="D9" s="7" t="s">
        <v>1806</v>
      </c>
      <c r="E9" s="7" t="s">
        <v>1807</v>
      </c>
      <c r="F9" s="7" t="s">
        <v>1808</v>
      </c>
      <c r="G9" s="7" t="s">
        <v>1809</v>
      </c>
      <c r="J9" s="7" t="s">
        <v>2411</v>
      </c>
    </row>
    <row r="10" spans="1:10">
      <c r="A10" s="7">
        <v>9</v>
      </c>
      <c r="B10" s="7" t="s">
        <v>1776</v>
      </c>
      <c r="C10" s="7" t="s">
        <v>19</v>
      </c>
      <c r="D10" s="7" t="s">
        <v>1810</v>
      </c>
      <c r="E10" s="7" t="s">
        <v>1811</v>
      </c>
      <c r="F10" s="7" t="s">
        <v>1812</v>
      </c>
      <c r="G10" s="7" t="s">
        <v>1813</v>
      </c>
      <c r="J10" s="7" t="s">
        <v>2411</v>
      </c>
    </row>
    <row r="11" spans="1:10">
      <c r="A11" s="7">
        <v>10</v>
      </c>
      <c r="B11" s="7" t="s">
        <v>1776</v>
      </c>
      <c r="C11" s="7" t="s">
        <v>19</v>
      </c>
      <c r="D11" s="7" t="s">
        <v>1814</v>
      </c>
      <c r="E11" s="7" t="s">
        <v>1815</v>
      </c>
      <c r="F11" s="7" t="s">
        <v>1816</v>
      </c>
      <c r="G11" s="7" t="s">
        <v>1797</v>
      </c>
      <c r="J11" s="7" t="s">
        <v>2411</v>
      </c>
    </row>
    <row r="12" spans="1:10">
      <c r="A12" s="7">
        <v>11</v>
      </c>
      <c r="B12" s="7" t="s">
        <v>1776</v>
      </c>
      <c r="C12" s="7" t="s">
        <v>19</v>
      </c>
      <c r="D12" s="7" t="s">
        <v>1817</v>
      </c>
      <c r="E12" s="7" t="s">
        <v>1818</v>
      </c>
      <c r="F12" s="7" t="s">
        <v>1819</v>
      </c>
      <c r="G12" s="7" t="s">
        <v>1820</v>
      </c>
      <c r="J12" s="7" t="s">
        <v>2411</v>
      </c>
    </row>
    <row r="13" spans="1:10">
      <c r="A13" s="7">
        <v>12</v>
      </c>
      <c r="B13" s="7" t="s">
        <v>1776</v>
      </c>
      <c r="C13" s="7" t="s">
        <v>19</v>
      </c>
      <c r="D13" s="7" t="s">
        <v>1821</v>
      </c>
      <c r="E13" s="7" t="s">
        <v>1822</v>
      </c>
      <c r="F13" s="7" t="s">
        <v>1823</v>
      </c>
      <c r="G13" s="7" t="s">
        <v>1793</v>
      </c>
      <c r="H13" s="7" t="s">
        <v>1824</v>
      </c>
      <c r="J13" s="7" t="s">
        <v>2411</v>
      </c>
    </row>
    <row r="14" spans="1:10">
      <c r="A14" s="7">
        <v>13</v>
      </c>
      <c r="B14" s="7" t="s">
        <v>1776</v>
      </c>
      <c r="C14" s="7" t="s">
        <v>19</v>
      </c>
      <c r="D14" s="7" t="s">
        <v>1825</v>
      </c>
      <c r="E14" s="7" t="s">
        <v>1826</v>
      </c>
      <c r="F14" s="7" t="s">
        <v>1827</v>
      </c>
      <c r="G14" s="7" t="s">
        <v>1828</v>
      </c>
      <c r="J14" s="7" t="s">
        <v>2411</v>
      </c>
    </row>
    <row r="15" spans="1:10">
      <c r="A15" s="7">
        <v>14</v>
      </c>
      <c r="B15" s="7" t="s">
        <v>1776</v>
      </c>
      <c r="C15" s="7" t="s">
        <v>19</v>
      </c>
      <c r="D15" s="7" t="s">
        <v>1829</v>
      </c>
      <c r="E15" s="7" t="s">
        <v>1830</v>
      </c>
      <c r="F15" s="7" t="s">
        <v>1831</v>
      </c>
      <c r="G15" s="7" t="s">
        <v>1793</v>
      </c>
      <c r="J15" s="7" t="s">
        <v>2411</v>
      </c>
    </row>
    <row r="16" spans="1:10">
      <c r="A16" s="7">
        <v>15</v>
      </c>
      <c r="B16" s="7" t="s">
        <v>1776</v>
      </c>
      <c r="C16" s="7" t="s">
        <v>19</v>
      </c>
      <c r="D16" s="7" t="s">
        <v>1832</v>
      </c>
      <c r="E16" s="7" t="s">
        <v>1833</v>
      </c>
      <c r="F16" s="7" t="s">
        <v>1834</v>
      </c>
      <c r="G16" s="7" t="s">
        <v>1835</v>
      </c>
      <c r="J16" s="7" t="s">
        <v>2411</v>
      </c>
    </row>
    <row r="17" spans="1:10">
      <c r="A17" s="7">
        <v>16</v>
      </c>
      <c r="B17" s="7" t="s">
        <v>1776</v>
      </c>
      <c r="C17" s="7" t="s">
        <v>19</v>
      </c>
      <c r="D17" s="7" t="s">
        <v>1836</v>
      </c>
      <c r="E17" s="7" t="s">
        <v>1837</v>
      </c>
      <c r="F17" s="7" t="s">
        <v>1838</v>
      </c>
      <c r="G17" s="7" t="s">
        <v>1839</v>
      </c>
      <c r="J17" s="7" t="s">
        <v>2411</v>
      </c>
    </row>
    <row r="18" spans="1:10">
      <c r="A18" s="7">
        <v>17</v>
      </c>
      <c r="B18" s="7" t="s">
        <v>1776</v>
      </c>
      <c r="C18" s="7" t="s">
        <v>19</v>
      </c>
      <c r="D18" s="7" t="s">
        <v>1840</v>
      </c>
      <c r="E18" s="7" t="s">
        <v>1841</v>
      </c>
      <c r="F18" s="7" t="s">
        <v>1842</v>
      </c>
      <c r="G18" s="7" t="s">
        <v>1839</v>
      </c>
      <c r="J18" s="7" t="s">
        <v>2411</v>
      </c>
    </row>
    <row r="19" spans="1:10">
      <c r="A19" s="7">
        <v>18</v>
      </c>
      <c r="B19" s="7" t="s">
        <v>1776</v>
      </c>
      <c r="C19" s="7" t="s">
        <v>19</v>
      </c>
      <c r="D19" s="7" t="s">
        <v>1843</v>
      </c>
      <c r="E19" s="7" t="s">
        <v>1844</v>
      </c>
      <c r="F19" s="7" t="s">
        <v>1845</v>
      </c>
      <c r="G19" s="7" t="s">
        <v>1846</v>
      </c>
      <c r="H19" s="7" t="s">
        <v>1847</v>
      </c>
      <c r="J19" s="7" t="s">
        <v>2411</v>
      </c>
    </row>
    <row r="20" spans="1:10">
      <c r="A20" s="7">
        <v>19</v>
      </c>
      <c r="B20" s="7" t="s">
        <v>1776</v>
      </c>
      <c r="C20" s="7" t="s">
        <v>19</v>
      </c>
      <c r="D20" s="7" t="s">
        <v>1848</v>
      </c>
      <c r="E20" s="7" t="s">
        <v>1849</v>
      </c>
      <c r="F20" s="7" t="s">
        <v>1850</v>
      </c>
      <c r="G20" s="7" t="s">
        <v>1835</v>
      </c>
      <c r="J20" s="7" t="s">
        <v>2411</v>
      </c>
    </row>
    <row r="21" spans="1:10">
      <c r="A21" s="7">
        <v>20</v>
      </c>
      <c r="B21" s="7" t="s">
        <v>1776</v>
      </c>
      <c r="C21" s="7" t="s">
        <v>19</v>
      </c>
      <c r="D21" s="7" t="s">
        <v>1851</v>
      </c>
      <c r="E21" s="7" t="s">
        <v>1852</v>
      </c>
      <c r="F21" s="7" t="s">
        <v>1853</v>
      </c>
      <c r="G21" s="7" t="s">
        <v>1854</v>
      </c>
      <c r="I21" s="7" t="s">
        <v>1855</v>
      </c>
      <c r="J21" s="7" t="s">
        <v>2411</v>
      </c>
    </row>
    <row r="22" spans="1:10">
      <c r="A22" s="7">
        <v>21</v>
      </c>
      <c r="B22" s="7" t="s">
        <v>1776</v>
      </c>
      <c r="C22" s="7" t="s">
        <v>19</v>
      </c>
      <c r="D22" s="7" t="s">
        <v>1856</v>
      </c>
      <c r="E22" s="7" t="s">
        <v>1857</v>
      </c>
      <c r="F22" s="7" t="s">
        <v>1858</v>
      </c>
      <c r="G22" s="7" t="s">
        <v>1854</v>
      </c>
      <c r="J22" s="7" t="s">
        <v>2411</v>
      </c>
    </row>
    <row r="23" spans="1:10">
      <c r="A23" s="7">
        <v>22</v>
      </c>
      <c r="B23" s="7" t="s">
        <v>1776</v>
      </c>
      <c r="C23" s="7" t="s">
        <v>19</v>
      </c>
      <c r="D23" s="7" t="s">
        <v>1859</v>
      </c>
      <c r="E23" s="7" t="s">
        <v>1860</v>
      </c>
      <c r="F23" s="7" t="s">
        <v>1861</v>
      </c>
      <c r="G23" s="7" t="s">
        <v>1854</v>
      </c>
      <c r="I23" s="7" t="s">
        <v>1862</v>
      </c>
      <c r="J23" s="7" t="s">
        <v>2411</v>
      </c>
    </row>
    <row r="24" spans="1:10">
      <c r="A24" s="7">
        <v>23</v>
      </c>
      <c r="B24" s="7" t="s">
        <v>1776</v>
      </c>
      <c r="C24" s="7" t="s">
        <v>19</v>
      </c>
      <c r="D24" s="7" t="s">
        <v>1863</v>
      </c>
      <c r="E24" s="7" t="s">
        <v>1864</v>
      </c>
      <c r="F24" s="7" t="s">
        <v>1865</v>
      </c>
      <c r="G24" s="7" t="s">
        <v>1854</v>
      </c>
      <c r="H24" s="7" t="s">
        <v>1866</v>
      </c>
      <c r="J24" s="7" t="s">
        <v>2411</v>
      </c>
    </row>
    <row r="25" spans="1:10">
      <c r="A25" s="7">
        <v>24</v>
      </c>
      <c r="B25" s="7" t="s">
        <v>1776</v>
      </c>
      <c r="C25" s="7" t="s">
        <v>19</v>
      </c>
      <c r="D25" s="7" t="s">
        <v>1867</v>
      </c>
      <c r="E25" s="7" t="s">
        <v>1868</v>
      </c>
      <c r="F25" s="7" t="s">
        <v>1869</v>
      </c>
      <c r="G25" s="7" t="s">
        <v>1854</v>
      </c>
      <c r="J25" s="7" t="s">
        <v>2411</v>
      </c>
    </row>
    <row r="26" spans="1:10">
      <c r="A26" s="7">
        <v>25</v>
      </c>
      <c r="B26" s="7" t="s">
        <v>1776</v>
      </c>
      <c r="C26" s="7" t="s">
        <v>19</v>
      </c>
      <c r="D26" s="7" t="s">
        <v>1870</v>
      </c>
      <c r="E26" s="7" t="s">
        <v>1871</v>
      </c>
      <c r="F26" s="7" t="s">
        <v>1872</v>
      </c>
      <c r="G26" s="7" t="s">
        <v>1854</v>
      </c>
      <c r="I26" s="7" t="s">
        <v>1862</v>
      </c>
      <c r="J26" s="7" t="s">
        <v>2411</v>
      </c>
    </row>
    <row r="27" spans="1:10">
      <c r="A27" s="7">
        <v>26</v>
      </c>
      <c r="B27" s="7" t="s">
        <v>1776</v>
      </c>
      <c r="C27" s="7" t="s">
        <v>19</v>
      </c>
      <c r="D27" s="7" t="s">
        <v>1873</v>
      </c>
      <c r="E27" s="7" t="s">
        <v>1874</v>
      </c>
      <c r="F27" s="7" t="s">
        <v>1875</v>
      </c>
      <c r="G27" s="7" t="s">
        <v>1876</v>
      </c>
      <c r="H27" s="7" t="s">
        <v>1877</v>
      </c>
      <c r="J27" s="7" t="s">
        <v>2411</v>
      </c>
    </row>
    <row r="28" spans="1:10">
      <c r="A28" s="7">
        <v>27</v>
      </c>
      <c r="B28" s="7" t="s">
        <v>1776</v>
      </c>
      <c r="C28" s="7" t="s">
        <v>19</v>
      </c>
      <c r="D28" s="7" t="s">
        <v>1878</v>
      </c>
      <c r="E28" s="7" t="s">
        <v>1879</v>
      </c>
      <c r="F28" s="7" t="s">
        <v>1880</v>
      </c>
      <c r="G28" s="7" t="s">
        <v>1881</v>
      </c>
      <c r="J28" s="7" t="s">
        <v>2411</v>
      </c>
    </row>
    <row r="29" spans="1:10">
      <c r="A29" s="7">
        <v>28</v>
      </c>
      <c r="B29" s="7" t="s">
        <v>1776</v>
      </c>
      <c r="C29" s="7" t="s">
        <v>19</v>
      </c>
      <c r="D29" s="7" t="s">
        <v>1882</v>
      </c>
      <c r="E29" s="7" t="s">
        <v>1883</v>
      </c>
      <c r="F29" s="7" t="s">
        <v>1884</v>
      </c>
      <c r="G29" s="7" t="s">
        <v>1885</v>
      </c>
      <c r="J29" s="7" t="s">
        <v>2411</v>
      </c>
    </row>
    <row r="30" spans="1:10">
      <c r="A30" s="7">
        <v>29</v>
      </c>
      <c r="B30" s="7" t="s">
        <v>1776</v>
      </c>
      <c r="C30" s="7" t="s">
        <v>19</v>
      </c>
      <c r="D30" s="7" t="s">
        <v>1886</v>
      </c>
      <c r="E30" s="7" t="s">
        <v>1887</v>
      </c>
      <c r="F30" s="7" t="s">
        <v>1888</v>
      </c>
      <c r="G30" s="7" t="s">
        <v>1885</v>
      </c>
      <c r="H30" s="7" t="s">
        <v>1889</v>
      </c>
      <c r="I30" s="7" t="s">
        <v>1785</v>
      </c>
      <c r="J30" s="7" t="s">
        <v>2411</v>
      </c>
    </row>
    <row r="31" spans="1:10">
      <c r="A31" s="7">
        <v>30</v>
      </c>
      <c r="B31" s="7" t="s">
        <v>1776</v>
      </c>
      <c r="C31" s="7" t="s">
        <v>19</v>
      </c>
      <c r="D31" s="7" t="s">
        <v>1890</v>
      </c>
      <c r="E31" s="7" t="s">
        <v>1891</v>
      </c>
      <c r="F31" s="7" t="s">
        <v>1884</v>
      </c>
      <c r="G31" s="7" t="s">
        <v>1892</v>
      </c>
      <c r="J31" s="7" t="s">
        <v>2411</v>
      </c>
    </row>
    <row r="32" spans="1:10">
      <c r="A32" s="7">
        <v>31</v>
      </c>
      <c r="B32" s="7" t="s">
        <v>1776</v>
      </c>
      <c r="C32" s="7" t="s">
        <v>19</v>
      </c>
      <c r="D32" s="7" t="s">
        <v>1893</v>
      </c>
      <c r="E32" s="7" t="s">
        <v>1894</v>
      </c>
      <c r="F32" s="7" t="s">
        <v>1895</v>
      </c>
      <c r="G32" s="7" t="s">
        <v>1805</v>
      </c>
      <c r="J32" s="7" t="s">
        <v>2411</v>
      </c>
    </row>
    <row r="33" spans="1:10">
      <c r="A33" s="7">
        <v>32</v>
      </c>
      <c r="B33" s="7" t="s">
        <v>1776</v>
      </c>
      <c r="C33" s="7" t="s">
        <v>19</v>
      </c>
      <c r="D33" s="7" t="s">
        <v>1896</v>
      </c>
      <c r="E33" s="7" t="s">
        <v>1897</v>
      </c>
      <c r="F33" s="7" t="s">
        <v>1898</v>
      </c>
      <c r="G33" s="7" t="s">
        <v>1839</v>
      </c>
      <c r="H33" s="7" t="s">
        <v>1877</v>
      </c>
      <c r="J33" s="7" t="s">
        <v>2411</v>
      </c>
    </row>
    <row r="34" spans="1:10">
      <c r="A34" s="7">
        <v>33</v>
      </c>
      <c r="B34" s="7" t="s">
        <v>1776</v>
      </c>
      <c r="C34" s="7" t="s">
        <v>19</v>
      </c>
      <c r="D34" s="7" t="s">
        <v>1899</v>
      </c>
      <c r="E34" s="7" t="s">
        <v>1900</v>
      </c>
      <c r="F34" s="7" t="s">
        <v>1901</v>
      </c>
      <c r="G34" s="7" t="s">
        <v>1902</v>
      </c>
      <c r="J34" s="7" t="s">
        <v>2411</v>
      </c>
    </row>
    <row r="35" spans="1:10">
      <c r="A35" s="7">
        <v>34</v>
      </c>
      <c r="B35" s="7" t="s">
        <v>1776</v>
      </c>
      <c r="C35" s="7" t="s">
        <v>19</v>
      </c>
      <c r="D35" s="7" t="s">
        <v>1903</v>
      </c>
      <c r="E35" s="7" t="s">
        <v>1904</v>
      </c>
      <c r="F35" s="7" t="s">
        <v>1905</v>
      </c>
      <c r="G35" s="7" t="s">
        <v>1784</v>
      </c>
      <c r="J35" s="7" t="s">
        <v>2411</v>
      </c>
    </row>
    <row r="36" spans="1:10">
      <c r="A36" s="7">
        <v>35</v>
      </c>
      <c r="B36" s="7" t="s">
        <v>1776</v>
      </c>
      <c r="C36" s="7" t="s">
        <v>19</v>
      </c>
      <c r="D36" s="7" t="s">
        <v>1906</v>
      </c>
      <c r="E36" s="7" t="s">
        <v>1907</v>
      </c>
      <c r="F36" s="7" t="s">
        <v>1908</v>
      </c>
      <c r="G36" s="7" t="s">
        <v>1839</v>
      </c>
      <c r="I36" s="7" t="s">
        <v>1909</v>
      </c>
      <c r="J36" s="7" t="s">
        <v>2411</v>
      </c>
    </row>
    <row r="37" spans="1:10">
      <c r="A37" s="7">
        <v>36</v>
      </c>
      <c r="B37" s="7" t="s">
        <v>1776</v>
      </c>
      <c r="C37" s="7" t="s">
        <v>19</v>
      </c>
      <c r="D37" s="7" t="s">
        <v>1910</v>
      </c>
      <c r="E37" s="7" t="s">
        <v>1911</v>
      </c>
      <c r="F37" s="7" t="s">
        <v>1912</v>
      </c>
      <c r="G37" s="7" t="s">
        <v>1839</v>
      </c>
      <c r="J37" s="7" t="s">
        <v>2411</v>
      </c>
    </row>
    <row r="38" spans="1:10">
      <c r="A38" s="7">
        <v>37</v>
      </c>
      <c r="B38" s="7" t="s">
        <v>1776</v>
      </c>
      <c r="C38" s="7" t="s">
        <v>19</v>
      </c>
      <c r="D38" s="7" t="s">
        <v>1913</v>
      </c>
      <c r="E38" s="7" t="s">
        <v>1914</v>
      </c>
      <c r="F38" s="7" t="s">
        <v>1915</v>
      </c>
      <c r="G38" s="7" t="s">
        <v>1902</v>
      </c>
      <c r="J38" s="7" t="s">
        <v>2411</v>
      </c>
    </row>
    <row r="39" spans="1:10">
      <c r="A39" s="7">
        <v>38</v>
      </c>
      <c r="B39" s="7" t="s">
        <v>1776</v>
      </c>
      <c r="C39" s="7" t="s">
        <v>19</v>
      </c>
      <c r="D39" s="7" t="s">
        <v>1916</v>
      </c>
      <c r="E39" s="7" t="s">
        <v>1917</v>
      </c>
      <c r="F39" s="7" t="s">
        <v>1918</v>
      </c>
      <c r="G39" s="7" t="s">
        <v>1839</v>
      </c>
      <c r="J39" s="7" t="s">
        <v>2411</v>
      </c>
    </row>
    <row r="40" spans="1:10">
      <c r="A40" s="7">
        <v>39</v>
      </c>
      <c r="B40" s="7" t="s">
        <v>1776</v>
      </c>
      <c r="C40" s="7" t="s">
        <v>19</v>
      </c>
      <c r="D40" s="7" t="s">
        <v>1919</v>
      </c>
      <c r="E40" s="7" t="s">
        <v>1920</v>
      </c>
      <c r="F40" s="7" t="s">
        <v>1921</v>
      </c>
      <c r="G40" s="7" t="s">
        <v>1922</v>
      </c>
      <c r="J40" s="7" t="s">
        <v>2411</v>
      </c>
    </row>
    <row r="41" spans="1:10">
      <c r="A41" s="7">
        <v>40</v>
      </c>
      <c r="B41" s="7" t="s">
        <v>1776</v>
      </c>
      <c r="C41" s="7" t="s">
        <v>19</v>
      </c>
      <c r="D41" s="7" t="s">
        <v>1923</v>
      </c>
      <c r="E41" s="7" t="s">
        <v>1924</v>
      </c>
      <c r="F41" s="7" t="s">
        <v>1925</v>
      </c>
      <c r="G41" s="7" t="s">
        <v>1922</v>
      </c>
      <c r="H41" s="7" t="s">
        <v>1926</v>
      </c>
      <c r="J41" s="7" t="s">
        <v>2411</v>
      </c>
    </row>
    <row r="42" spans="1:10">
      <c r="A42" s="7">
        <v>41</v>
      </c>
      <c r="B42" s="7" t="s">
        <v>1776</v>
      </c>
      <c r="C42" s="7" t="s">
        <v>19</v>
      </c>
      <c r="D42" s="7" t="s">
        <v>1927</v>
      </c>
      <c r="E42" s="7" t="s">
        <v>1928</v>
      </c>
      <c r="F42" s="7" t="s">
        <v>1929</v>
      </c>
      <c r="G42" s="7" t="s">
        <v>1789</v>
      </c>
      <c r="H42" s="7" t="s">
        <v>1930</v>
      </c>
      <c r="J42" s="7" t="s">
        <v>2411</v>
      </c>
    </row>
    <row r="43" spans="1:10">
      <c r="A43" s="7">
        <v>42</v>
      </c>
      <c r="B43" s="7" t="s">
        <v>1776</v>
      </c>
      <c r="C43" s="7" t="s">
        <v>19</v>
      </c>
      <c r="D43" s="7" t="s">
        <v>1931</v>
      </c>
      <c r="E43" s="7" t="s">
        <v>1932</v>
      </c>
      <c r="F43" s="7" t="s">
        <v>1933</v>
      </c>
      <c r="G43" s="7" t="s">
        <v>1784</v>
      </c>
      <c r="J43" s="7" t="s">
        <v>2411</v>
      </c>
    </row>
    <row r="44" spans="1:10">
      <c r="A44" s="7">
        <v>43</v>
      </c>
      <c r="B44" s="7" t="s">
        <v>1776</v>
      </c>
      <c r="C44" s="7" t="s">
        <v>19</v>
      </c>
      <c r="D44" s="7" t="s">
        <v>1934</v>
      </c>
      <c r="E44" s="7" t="s">
        <v>1935</v>
      </c>
      <c r="F44" s="7" t="s">
        <v>1936</v>
      </c>
      <c r="G44" s="7" t="s">
        <v>1902</v>
      </c>
      <c r="H44" s="7" t="s">
        <v>1937</v>
      </c>
      <c r="J44" s="7" t="s">
        <v>2411</v>
      </c>
    </row>
    <row r="45" spans="1:10">
      <c r="A45" s="7">
        <v>44</v>
      </c>
      <c r="B45" s="7" t="s">
        <v>1776</v>
      </c>
      <c r="C45" s="7" t="s">
        <v>19</v>
      </c>
      <c r="D45" s="7" t="s">
        <v>1938</v>
      </c>
      <c r="E45" s="7" t="s">
        <v>1939</v>
      </c>
      <c r="F45" s="7" t="s">
        <v>1940</v>
      </c>
      <c r="G45" s="7" t="s">
        <v>1902</v>
      </c>
      <c r="I45" s="7" t="s">
        <v>1941</v>
      </c>
      <c r="J45" s="7" t="s">
        <v>2411</v>
      </c>
    </row>
    <row r="46" spans="1:10">
      <c r="A46" s="7">
        <v>45</v>
      </c>
      <c r="B46" s="7" t="s">
        <v>1776</v>
      </c>
      <c r="C46" s="7" t="s">
        <v>19</v>
      </c>
      <c r="D46" s="7" t="s">
        <v>1942</v>
      </c>
      <c r="E46" s="7" t="s">
        <v>1943</v>
      </c>
      <c r="F46" s="7" t="s">
        <v>1944</v>
      </c>
      <c r="G46" s="7" t="s">
        <v>1902</v>
      </c>
      <c r="I46" s="7" t="s">
        <v>1945</v>
      </c>
      <c r="J46" s="7" t="s">
        <v>2411</v>
      </c>
    </row>
    <row r="47" spans="1:10">
      <c r="A47" s="7">
        <v>46</v>
      </c>
      <c r="B47" s="7" t="s">
        <v>1776</v>
      </c>
      <c r="C47" s="7" t="s">
        <v>19</v>
      </c>
      <c r="D47" s="7" t="s">
        <v>1946</v>
      </c>
      <c r="E47" s="7" t="s">
        <v>1947</v>
      </c>
      <c r="F47" s="7" t="s">
        <v>1948</v>
      </c>
      <c r="G47" s="7" t="s">
        <v>1902</v>
      </c>
      <c r="I47" s="7" t="s">
        <v>1949</v>
      </c>
      <c r="J47" s="7" t="s">
        <v>2411</v>
      </c>
    </row>
    <row r="48" spans="1:10">
      <c r="A48" s="7">
        <v>47</v>
      </c>
      <c r="B48" s="7" t="s">
        <v>1776</v>
      </c>
      <c r="C48" s="7" t="s">
        <v>19</v>
      </c>
      <c r="D48" s="7" t="s">
        <v>1950</v>
      </c>
      <c r="E48" s="7" t="s">
        <v>1951</v>
      </c>
      <c r="F48" s="7" t="s">
        <v>1952</v>
      </c>
      <c r="G48" s="7" t="s">
        <v>1902</v>
      </c>
      <c r="J48" s="7" t="s">
        <v>2411</v>
      </c>
    </row>
    <row r="49" spans="1:10">
      <c r="A49" s="7">
        <v>48</v>
      </c>
      <c r="B49" s="7" t="s">
        <v>1776</v>
      </c>
      <c r="C49" s="7" t="s">
        <v>19</v>
      </c>
      <c r="D49" s="7" t="s">
        <v>1953</v>
      </c>
      <c r="E49" s="7" t="s">
        <v>1954</v>
      </c>
      <c r="F49" s="7" t="s">
        <v>1955</v>
      </c>
      <c r="G49" s="7" t="s">
        <v>1902</v>
      </c>
      <c r="I49" s="7" t="s">
        <v>1956</v>
      </c>
      <c r="J49" s="7" t="s">
        <v>2411</v>
      </c>
    </row>
    <row r="50" spans="1:10">
      <c r="A50" s="7">
        <v>49</v>
      </c>
      <c r="B50" s="7" t="s">
        <v>1776</v>
      </c>
      <c r="C50" s="7" t="s">
        <v>19</v>
      </c>
      <c r="D50" s="7" t="s">
        <v>1957</v>
      </c>
      <c r="E50" s="7" t="s">
        <v>1954</v>
      </c>
      <c r="F50" s="7" t="s">
        <v>1958</v>
      </c>
      <c r="G50" s="7" t="s">
        <v>1902</v>
      </c>
      <c r="J50" s="7" t="s">
        <v>2411</v>
      </c>
    </row>
    <row r="51" spans="1:10">
      <c r="A51" s="7">
        <v>50</v>
      </c>
      <c r="B51" s="7" t="s">
        <v>1776</v>
      </c>
      <c r="C51" s="7" t="s">
        <v>19</v>
      </c>
      <c r="D51" s="7" t="s">
        <v>1959</v>
      </c>
      <c r="E51" s="7" t="s">
        <v>1954</v>
      </c>
      <c r="F51" s="7" t="s">
        <v>1960</v>
      </c>
      <c r="G51" s="7" t="s">
        <v>1839</v>
      </c>
      <c r="J51" s="7" t="s">
        <v>2411</v>
      </c>
    </row>
    <row r="52" spans="1:10">
      <c r="A52" s="7">
        <v>51</v>
      </c>
      <c r="B52" s="7" t="s">
        <v>1776</v>
      </c>
      <c r="C52" s="7" t="s">
        <v>19</v>
      </c>
      <c r="D52" s="7" t="s">
        <v>1961</v>
      </c>
      <c r="E52" s="7" t="s">
        <v>1962</v>
      </c>
      <c r="F52" s="7" t="s">
        <v>1963</v>
      </c>
      <c r="G52" s="7" t="s">
        <v>1839</v>
      </c>
      <c r="H52" s="7" t="s">
        <v>1964</v>
      </c>
      <c r="I52" s="7" t="s">
        <v>1965</v>
      </c>
      <c r="J52" s="7" t="s">
        <v>2411</v>
      </c>
    </row>
    <row r="53" spans="1:10">
      <c r="A53" s="7">
        <v>52</v>
      </c>
      <c r="B53" s="7" t="s">
        <v>1776</v>
      </c>
      <c r="C53" s="7" t="s">
        <v>19</v>
      </c>
      <c r="D53" s="7" t="s">
        <v>1966</v>
      </c>
      <c r="E53" s="7" t="s">
        <v>1967</v>
      </c>
      <c r="F53" s="7" t="s">
        <v>1968</v>
      </c>
      <c r="G53" s="7" t="s">
        <v>1969</v>
      </c>
      <c r="J53" s="7" t="s">
        <v>2411</v>
      </c>
    </row>
    <row r="54" spans="1:10">
      <c r="A54" s="7">
        <v>53</v>
      </c>
      <c r="B54" s="7" t="s">
        <v>1776</v>
      </c>
      <c r="C54" s="7" t="s">
        <v>19</v>
      </c>
      <c r="D54" s="7" t="s">
        <v>1970</v>
      </c>
      <c r="E54" s="7" t="s">
        <v>1971</v>
      </c>
      <c r="F54" s="7" t="s">
        <v>1972</v>
      </c>
      <c r="G54" s="7" t="s">
        <v>1922</v>
      </c>
      <c r="H54" s="7" t="s">
        <v>1973</v>
      </c>
      <c r="J54" s="7" t="s">
        <v>2411</v>
      </c>
    </row>
    <row r="55" spans="1:10">
      <c r="A55" s="7">
        <v>54</v>
      </c>
      <c r="B55" s="7" t="s">
        <v>1776</v>
      </c>
      <c r="C55" s="7" t="s">
        <v>19</v>
      </c>
      <c r="D55" s="7" t="s">
        <v>1974</v>
      </c>
      <c r="E55" s="7" t="s">
        <v>1975</v>
      </c>
      <c r="F55" s="7" t="s">
        <v>1976</v>
      </c>
      <c r="G55" s="7" t="s">
        <v>1969</v>
      </c>
      <c r="J55" s="7" t="s">
        <v>2411</v>
      </c>
    </row>
    <row r="56" spans="1:10">
      <c r="A56" s="7">
        <v>55</v>
      </c>
      <c r="B56" s="7" t="s">
        <v>1776</v>
      </c>
      <c r="C56" s="7" t="s">
        <v>19</v>
      </c>
      <c r="D56" s="7" t="s">
        <v>1977</v>
      </c>
      <c r="E56" s="7" t="s">
        <v>1978</v>
      </c>
      <c r="F56" s="7" t="s">
        <v>1979</v>
      </c>
      <c r="G56" s="7" t="s">
        <v>1902</v>
      </c>
      <c r="H56" s="7" t="s">
        <v>1980</v>
      </c>
      <c r="I56" s="7" t="s">
        <v>1981</v>
      </c>
      <c r="J56" s="7" t="s">
        <v>2411</v>
      </c>
    </row>
    <row r="57" spans="1:10">
      <c r="A57" s="7">
        <v>56</v>
      </c>
      <c r="B57" s="7" t="s">
        <v>1776</v>
      </c>
      <c r="C57" s="7" t="s">
        <v>19</v>
      </c>
      <c r="D57" s="7" t="s">
        <v>1982</v>
      </c>
      <c r="E57" s="7" t="s">
        <v>1983</v>
      </c>
      <c r="F57" s="7" t="s">
        <v>1984</v>
      </c>
      <c r="G57" s="7" t="s">
        <v>1902</v>
      </c>
      <c r="J57" s="7" t="s">
        <v>2411</v>
      </c>
    </row>
    <row r="58" spans="1:10">
      <c r="A58" s="7">
        <v>57</v>
      </c>
      <c r="B58" s="7" t="s">
        <v>1776</v>
      </c>
      <c r="C58" s="7" t="s">
        <v>19</v>
      </c>
      <c r="D58" s="7" t="s">
        <v>1985</v>
      </c>
      <c r="E58" s="7" t="s">
        <v>1986</v>
      </c>
      <c r="F58" s="7" t="s">
        <v>1987</v>
      </c>
      <c r="G58" s="7" t="s">
        <v>1902</v>
      </c>
      <c r="I58" s="7" t="s">
        <v>1988</v>
      </c>
      <c r="J58" s="7" t="s">
        <v>2411</v>
      </c>
    </row>
    <row r="59" spans="1:10">
      <c r="A59" s="7">
        <v>58</v>
      </c>
      <c r="B59" s="7" t="s">
        <v>1776</v>
      </c>
      <c r="C59" s="7" t="s">
        <v>19</v>
      </c>
      <c r="D59" s="7" t="s">
        <v>1989</v>
      </c>
      <c r="E59" s="7" t="s">
        <v>1990</v>
      </c>
      <c r="F59" s="7" t="s">
        <v>1991</v>
      </c>
      <c r="G59" s="7" t="s">
        <v>1902</v>
      </c>
      <c r="I59" s="7" t="s">
        <v>1992</v>
      </c>
      <c r="J59" s="7" t="s">
        <v>2411</v>
      </c>
    </row>
    <row r="60" spans="1:10">
      <c r="A60" s="7">
        <v>59</v>
      </c>
      <c r="B60" s="7" t="s">
        <v>1776</v>
      </c>
      <c r="C60" s="7" t="s">
        <v>19</v>
      </c>
      <c r="D60" s="7" t="s">
        <v>1993</v>
      </c>
      <c r="E60" s="7" t="s">
        <v>1994</v>
      </c>
      <c r="F60" s="7" t="s">
        <v>1995</v>
      </c>
      <c r="G60" s="7" t="s">
        <v>1902</v>
      </c>
      <c r="I60" s="7" t="s">
        <v>1996</v>
      </c>
      <c r="J60" s="7" t="s">
        <v>2411</v>
      </c>
    </row>
    <row r="61" spans="1:10">
      <c r="A61" s="7">
        <v>60</v>
      </c>
      <c r="B61" s="7" t="s">
        <v>1776</v>
      </c>
      <c r="C61" s="7" t="s">
        <v>19</v>
      </c>
      <c r="D61" s="7" t="s">
        <v>1997</v>
      </c>
      <c r="E61" s="7" t="s">
        <v>1998</v>
      </c>
      <c r="F61" s="7" t="s">
        <v>1999</v>
      </c>
      <c r="G61" s="7" t="s">
        <v>2000</v>
      </c>
      <c r="J61" s="7" t="s">
        <v>2411</v>
      </c>
    </row>
    <row r="62" spans="1:10">
      <c r="A62" s="7">
        <v>61</v>
      </c>
      <c r="B62" s="7" t="s">
        <v>1776</v>
      </c>
      <c r="C62" s="7" t="s">
        <v>19</v>
      </c>
      <c r="D62" s="7" t="s">
        <v>2001</v>
      </c>
      <c r="E62" s="7" t="s">
        <v>2002</v>
      </c>
      <c r="F62" s="7" t="s">
        <v>2003</v>
      </c>
      <c r="G62" s="7" t="s">
        <v>1846</v>
      </c>
      <c r="J62" s="7" t="s">
        <v>2411</v>
      </c>
    </row>
    <row r="63" spans="1:10">
      <c r="A63" s="7">
        <v>62</v>
      </c>
      <c r="B63" s="7" t="s">
        <v>1776</v>
      </c>
      <c r="C63" s="7" t="s">
        <v>19</v>
      </c>
      <c r="D63" s="7" t="s">
        <v>2004</v>
      </c>
      <c r="E63" s="7" t="s">
        <v>2005</v>
      </c>
      <c r="F63" s="7" t="s">
        <v>2006</v>
      </c>
      <c r="G63" s="7" t="s">
        <v>1846</v>
      </c>
      <c r="J63" s="7" t="s">
        <v>2411</v>
      </c>
    </row>
    <row r="64" spans="1:10">
      <c r="A64" s="7">
        <v>63</v>
      </c>
      <c r="B64" s="7" t="s">
        <v>1776</v>
      </c>
      <c r="C64" s="7" t="s">
        <v>19</v>
      </c>
      <c r="D64" s="7" t="s">
        <v>2007</v>
      </c>
      <c r="E64" s="7" t="s">
        <v>2008</v>
      </c>
      <c r="F64" s="7" t="s">
        <v>2009</v>
      </c>
      <c r="G64" s="7" t="s">
        <v>1902</v>
      </c>
      <c r="J64" s="7" t="s">
        <v>2411</v>
      </c>
    </row>
    <row r="65" spans="1:10">
      <c r="A65" s="7">
        <v>64</v>
      </c>
      <c r="B65" s="7" t="s">
        <v>1776</v>
      </c>
      <c r="C65" s="7" t="s">
        <v>19</v>
      </c>
      <c r="D65" s="7" t="s">
        <v>2010</v>
      </c>
      <c r="E65" s="7" t="s">
        <v>2011</v>
      </c>
      <c r="F65" s="7" t="s">
        <v>2012</v>
      </c>
      <c r="G65" s="7" t="s">
        <v>1902</v>
      </c>
      <c r="I65" s="7" t="s">
        <v>2013</v>
      </c>
      <c r="J65" s="7" t="s">
        <v>2411</v>
      </c>
    </row>
    <row r="66" spans="1:10">
      <c r="A66" s="7">
        <v>65</v>
      </c>
      <c r="B66" s="7" t="s">
        <v>1776</v>
      </c>
      <c r="C66" s="7" t="s">
        <v>19</v>
      </c>
      <c r="D66" s="7" t="s">
        <v>2014</v>
      </c>
      <c r="E66" s="7" t="s">
        <v>2015</v>
      </c>
      <c r="F66" s="7" t="s">
        <v>2016</v>
      </c>
      <c r="G66" s="7" t="s">
        <v>1846</v>
      </c>
      <c r="J66" s="7" t="s">
        <v>2411</v>
      </c>
    </row>
    <row r="67" spans="1:10">
      <c r="A67" s="7">
        <v>66</v>
      </c>
      <c r="B67" s="7" t="s">
        <v>1776</v>
      </c>
      <c r="C67" s="7" t="s">
        <v>19</v>
      </c>
      <c r="D67" s="7" t="s">
        <v>2017</v>
      </c>
      <c r="E67" s="7" t="s">
        <v>2018</v>
      </c>
      <c r="F67" s="7" t="s">
        <v>2019</v>
      </c>
      <c r="G67" s="7" t="s">
        <v>1846</v>
      </c>
      <c r="J67" s="7" t="s">
        <v>2411</v>
      </c>
    </row>
    <row r="68" spans="1:10">
      <c r="A68" s="7">
        <v>67</v>
      </c>
      <c r="B68" s="7" t="s">
        <v>1776</v>
      </c>
      <c r="C68" s="7" t="s">
        <v>19</v>
      </c>
      <c r="D68" s="7" t="s">
        <v>2020</v>
      </c>
      <c r="E68" s="7" t="s">
        <v>2018</v>
      </c>
      <c r="F68" s="7" t="s">
        <v>2021</v>
      </c>
      <c r="G68" s="7" t="s">
        <v>1902</v>
      </c>
      <c r="J68" s="7" t="s">
        <v>2411</v>
      </c>
    </row>
    <row r="69" spans="1:10">
      <c r="A69" s="7">
        <v>68</v>
      </c>
      <c r="B69" s="7" t="s">
        <v>1776</v>
      </c>
      <c r="C69" s="7" t="s">
        <v>19</v>
      </c>
      <c r="D69" s="7" t="s">
        <v>2022</v>
      </c>
      <c r="E69" s="7" t="s">
        <v>2018</v>
      </c>
      <c r="F69" s="7" t="s">
        <v>2023</v>
      </c>
      <c r="G69" s="7" t="s">
        <v>1784</v>
      </c>
      <c r="J69" s="7" t="s">
        <v>2411</v>
      </c>
    </row>
    <row r="70" spans="1:10">
      <c r="A70" s="7">
        <v>69</v>
      </c>
      <c r="B70" s="7" t="s">
        <v>1776</v>
      </c>
      <c r="C70" s="7" t="s">
        <v>19</v>
      </c>
      <c r="D70" s="7" t="s">
        <v>2024</v>
      </c>
      <c r="E70" s="7" t="s">
        <v>2025</v>
      </c>
      <c r="F70" s="7" t="s">
        <v>2026</v>
      </c>
      <c r="G70" s="7" t="s">
        <v>1846</v>
      </c>
      <c r="H70" s="7" t="s">
        <v>2027</v>
      </c>
      <c r="I70" s="7" t="s">
        <v>2028</v>
      </c>
      <c r="J70" s="7" t="s">
        <v>2411</v>
      </c>
    </row>
    <row r="71" spans="1:10">
      <c r="A71" s="7">
        <v>70</v>
      </c>
      <c r="B71" s="7" t="s">
        <v>1776</v>
      </c>
      <c r="C71" s="7" t="s">
        <v>19</v>
      </c>
      <c r="D71" s="7" t="s">
        <v>2029</v>
      </c>
      <c r="E71" s="7" t="s">
        <v>2030</v>
      </c>
      <c r="F71" s="7" t="s">
        <v>2031</v>
      </c>
      <c r="G71" s="7" t="s">
        <v>1839</v>
      </c>
      <c r="J71" s="7" t="s">
        <v>2411</v>
      </c>
    </row>
    <row r="72" spans="1:10">
      <c r="A72" s="7">
        <v>71</v>
      </c>
      <c r="B72" s="7" t="s">
        <v>1776</v>
      </c>
      <c r="C72" s="7" t="s">
        <v>19</v>
      </c>
      <c r="D72" s="7" t="s">
        <v>2032</v>
      </c>
      <c r="E72" s="7" t="s">
        <v>2033</v>
      </c>
      <c r="F72" s="7" t="s">
        <v>2034</v>
      </c>
      <c r="G72" s="7" t="s">
        <v>2000</v>
      </c>
      <c r="I72" s="7" t="s">
        <v>2035</v>
      </c>
      <c r="J72" s="7" t="s">
        <v>2411</v>
      </c>
    </row>
    <row r="73" spans="1:10">
      <c r="A73" s="7">
        <v>72</v>
      </c>
      <c r="B73" s="7" t="s">
        <v>1776</v>
      </c>
      <c r="C73" s="7" t="s">
        <v>19</v>
      </c>
      <c r="D73" s="7" t="s">
        <v>2036</v>
      </c>
      <c r="E73" s="7" t="s">
        <v>2037</v>
      </c>
      <c r="F73" s="7" t="s">
        <v>2038</v>
      </c>
      <c r="G73" s="7" t="s">
        <v>1784</v>
      </c>
      <c r="J73" s="7" t="s">
        <v>2411</v>
      </c>
    </row>
    <row r="74" spans="1:10">
      <c r="A74" s="7">
        <v>73</v>
      </c>
      <c r="B74" s="7" t="s">
        <v>1776</v>
      </c>
      <c r="C74" s="7" t="s">
        <v>19</v>
      </c>
      <c r="D74" s="7" t="s">
        <v>2039</v>
      </c>
      <c r="E74" s="7" t="s">
        <v>2040</v>
      </c>
      <c r="F74" s="7" t="s">
        <v>2041</v>
      </c>
      <c r="G74" s="7" t="s">
        <v>1846</v>
      </c>
      <c r="J74" s="7" t="s">
        <v>2411</v>
      </c>
    </row>
    <row r="75" spans="1:10">
      <c r="A75" s="7">
        <v>74</v>
      </c>
      <c r="B75" s="7" t="s">
        <v>1776</v>
      </c>
      <c r="C75" s="7" t="s">
        <v>19</v>
      </c>
      <c r="D75" s="7" t="s">
        <v>2042</v>
      </c>
      <c r="E75" s="7" t="s">
        <v>2043</v>
      </c>
      <c r="F75" s="7" t="s">
        <v>2044</v>
      </c>
      <c r="G75" s="7" t="s">
        <v>2045</v>
      </c>
      <c r="I75" s="7" t="s">
        <v>2046</v>
      </c>
      <c r="J75" s="7" t="s">
        <v>2411</v>
      </c>
    </row>
    <row r="76" spans="1:10">
      <c r="A76" s="7">
        <v>75</v>
      </c>
      <c r="B76" s="7" t="s">
        <v>1776</v>
      </c>
      <c r="C76" s="7" t="s">
        <v>19</v>
      </c>
      <c r="D76" s="7" t="s">
        <v>2047</v>
      </c>
      <c r="E76" s="7" t="s">
        <v>2048</v>
      </c>
      <c r="F76" s="7" t="s">
        <v>2049</v>
      </c>
      <c r="G76" s="7" t="s">
        <v>1902</v>
      </c>
      <c r="J76" s="7" t="s">
        <v>2411</v>
      </c>
    </row>
    <row r="77" spans="1:10">
      <c r="A77" s="7">
        <v>76</v>
      </c>
      <c r="B77" s="7" t="s">
        <v>1776</v>
      </c>
      <c r="C77" s="7" t="s">
        <v>19</v>
      </c>
      <c r="D77" s="7" t="s">
        <v>2050</v>
      </c>
      <c r="E77" s="7" t="s">
        <v>2051</v>
      </c>
      <c r="F77" s="7" t="s">
        <v>2052</v>
      </c>
      <c r="G77" s="7" t="s">
        <v>1902</v>
      </c>
      <c r="J77" s="7" t="s">
        <v>2411</v>
      </c>
    </row>
    <row r="78" spans="1:10">
      <c r="A78" s="7">
        <v>77</v>
      </c>
      <c r="B78" s="7" t="s">
        <v>1776</v>
      </c>
      <c r="C78" s="7" t="s">
        <v>19</v>
      </c>
      <c r="D78" s="7" t="s">
        <v>2053</v>
      </c>
      <c r="E78" s="7" t="s">
        <v>2054</v>
      </c>
      <c r="F78" s="7" t="s">
        <v>2055</v>
      </c>
      <c r="G78" s="7" t="s">
        <v>1922</v>
      </c>
      <c r="J78" s="7" t="s">
        <v>2411</v>
      </c>
    </row>
    <row r="79" spans="1:10">
      <c r="A79" s="7">
        <v>78</v>
      </c>
      <c r="B79" s="7" t="s">
        <v>1776</v>
      </c>
      <c r="C79" s="7" t="s">
        <v>19</v>
      </c>
      <c r="D79" s="7" t="s">
        <v>2056</v>
      </c>
      <c r="E79" s="7" t="s">
        <v>2057</v>
      </c>
      <c r="F79" s="7" t="s">
        <v>2058</v>
      </c>
      <c r="G79" s="7" t="s">
        <v>1969</v>
      </c>
      <c r="J79" s="7" t="s">
        <v>2411</v>
      </c>
    </row>
    <row r="80" spans="1:10">
      <c r="A80" s="7">
        <v>79</v>
      </c>
      <c r="B80" s="7" t="s">
        <v>1776</v>
      </c>
      <c r="C80" s="7" t="s">
        <v>19</v>
      </c>
      <c r="D80" s="7" t="s">
        <v>2059</v>
      </c>
      <c r="E80" s="7" t="s">
        <v>2060</v>
      </c>
      <c r="F80" s="7" t="s">
        <v>2061</v>
      </c>
      <c r="G80" s="7" t="s">
        <v>1902</v>
      </c>
      <c r="H80" s="7" t="s">
        <v>2062</v>
      </c>
      <c r="J80" s="7" t="s">
        <v>2411</v>
      </c>
    </row>
    <row r="81" spans="1:10">
      <c r="A81" s="7">
        <v>80</v>
      </c>
      <c r="B81" s="7" t="s">
        <v>1776</v>
      </c>
      <c r="C81" s="7" t="s">
        <v>19</v>
      </c>
      <c r="D81" s="7" t="s">
        <v>2063</v>
      </c>
      <c r="E81" s="7" t="s">
        <v>2064</v>
      </c>
      <c r="F81" s="7" t="s">
        <v>2065</v>
      </c>
      <c r="G81" s="7" t="s">
        <v>1784</v>
      </c>
      <c r="J81" s="7" t="s">
        <v>2411</v>
      </c>
    </row>
    <row r="82" spans="1:10">
      <c r="A82" s="7">
        <v>81</v>
      </c>
      <c r="B82" s="7" t="s">
        <v>1776</v>
      </c>
      <c r="C82" s="7" t="s">
        <v>19</v>
      </c>
      <c r="D82" s="7" t="s">
        <v>2066</v>
      </c>
      <c r="E82" s="7" t="s">
        <v>2067</v>
      </c>
      <c r="F82" s="7" t="s">
        <v>2068</v>
      </c>
      <c r="G82" s="7" t="s">
        <v>1839</v>
      </c>
      <c r="J82" s="7" t="s">
        <v>2411</v>
      </c>
    </row>
    <row r="83" spans="1:10">
      <c r="A83" s="7">
        <v>82</v>
      </c>
      <c r="B83" s="7" t="s">
        <v>1776</v>
      </c>
      <c r="C83" s="7" t="s">
        <v>19</v>
      </c>
      <c r="D83" s="7" t="s">
        <v>2069</v>
      </c>
      <c r="E83" s="7" t="s">
        <v>2070</v>
      </c>
      <c r="F83" s="7" t="s">
        <v>2071</v>
      </c>
      <c r="G83" s="7" t="s">
        <v>1839</v>
      </c>
      <c r="I83" s="7" t="s">
        <v>2072</v>
      </c>
      <c r="J83" s="7" t="s">
        <v>2411</v>
      </c>
    </row>
    <row r="84" spans="1:10">
      <c r="A84" s="7">
        <v>83</v>
      </c>
      <c r="B84" s="7" t="s">
        <v>1776</v>
      </c>
      <c r="C84" s="7" t="s">
        <v>19</v>
      </c>
      <c r="D84" s="7" t="s">
        <v>2073</v>
      </c>
      <c r="E84" s="7" t="s">
        <v>2074</v>
      </c>
      <c r="F84" s="7" t="s">
        <v>2075</v>
      </c>
      <c r="G84" s="7" t="s">
        <v>1846</v>
      </c>
      <c r="J84" s="7" t="s">
        <v>2411</v>
      </c>
    </row>
    <row r="85" spans="1:10">
      <c r="A85" s="7">
        <v>84</v>
      </c>
      <c r="B85" s="7" t="s">
        <v>1776</v>
      </c>
      <c r="C85" s="7" t="s">
        <v>19</v>
      </c>
      <c r="D85" s="7" t="s">
        <v>2076</v>
      </c>
      <c r="E85" s="7" t="s">
        <v>2077</v>
      </c>
      <c r="F85" s="7" t="s">
        <v>2078</v>
      </c>
      <c r="G85" s="7" t="s">
        <v>1805</v>
      </c>
      <c r="J85" s="7" t="s">
        <v>2411</v>
      </c>
    </row>
    <row r="86" spans="1:10">
      <c r="A86" s="7">
        <v>85</v>
      </c>
      <c r="B86" s="7" t="s">
        <v>1776</v>
      </c>
      <c r="C86" s="7" t="s">
        <v>19</v>
      </c>
      <c r="D86" s="7" t="s">
        <v>2079</v>
      </c>
      <c r="E86" s="7" t="s">
        <v>2080</v>
      </c>
      <c r="F86" s="7" t="s">
        <v>2081</v>
      </c>
      <c r="G86" s="7" t="s">
        <v>1789</v>
      </c>
      <c r="J86" s="7" t="s">
        <v>2411</v>
      </c>
    </row>
    <row r="87" spans="1:10">
      <c r="A87" s="7">
        <v>86</v>
      </c>
      <c r="B87" s="7" t="s">
        <v>1776</v>
      </c>
      <c r="C87" s="7" t="s">
        <v>19</v>
      </c>
      <c r="D87" s="7" t="s">
        <v>2082</v>
      </c>
      <c r="E87" s="7" t="s">
        <v>2083</v>
      </c>
      <c r="F87" s="7" t="s">
        <v>2084</v>
      </c>
      <c r="G87" s="7" t="s">
        <v>1805</v>
      </c>
      <c r="I87" s="7" t="s">
        <v>2085</v>
      </c>
      <c r="J87" s="7" t="s">
        <v>2411</v>
      </c>
    </row>
    <row r="88" spans="1:10">
      <c r="A88" s="7">
        <v>87</v>
      </c>
      <c r="B88" s="7" t="s">
        <v>1776</v>
      </c>
      <c r="C88" s="7" t="s">
        <v>19</v>
      </c>
      <c r="D88" s="7" t="s">
        <v>2086</v>
      </c>
      <c r="E88" s="7" t="s">
        <v>2087</v>
      </c>
      <c r="F88" s="7" t="s">
        <v>2088</v>
      </c>
      <c r="G88" s="7" t="s">
        <v>1902</v>
      </c>
      <c r="J88" s="7" t="s">
        <v>2411</v>
      </c>
    </row>
    <row r="89" spans="1:10">
      <c r="A89" s="7">
        <v>88</v>
      </c>
      <c r="B89" s="7" t="s">
        <v>1776</v>
      </c>
      <c r="C89" s="7" t="s">
        <v>19</v>
      </c>
      <c r="D89" s="7" t="s">
        <v>2089</v>
      </c>
      <c r="E89" s="7" t="s">
        <v>2090</v>
      </c>
      <c r="F89" s="7" t="s">
        <v>2091</v>
      </c>
      <c r="G89" s="7" t="s">
        <v>1902</v>
      </c>
      <c r="J89" s="7" t="s">
        <v>2411</v>
      </c>
    </row>
    <row r="90" spans="1:10">
      <c r="A90" s="7">
        <v>89</v>
      </c>
      <c r="B90" s="7" t="s">
        <v>1776</v>
      </c>
      <c r="C90" s="7" t="s">
        <v>19</v>
      </c>
      <c r="D90" s="7" t="s">
        <v>2092</v>
      </c>
      <c r="E90" s="7" t="s">
        <v>2093</v>
      </c>
      <c r="F90" s="7" t="s">
        <v>2094</v>
      </c>
      <c r="G90" s="7" t="s">
        <v>1805</v>
      </c>
      <c r="J90" s="7" t="s">
        <v>2411</v>
      </c>
    </row>
    <row r="91" spans="1:10">
      <c r="A91" s="7">
        <v>90</v>
      </c>
      <c r="B91" s="7" t="s">
        <v>1776</v>
      </c>
      <c r="C91" s="7" t="s">
        <v>19</v>
      </c>
      <c r="D91" s="7" t="s">
        <v>2095</v>
      </c>
      <c r="E91" s="7" t="s">
        <v>2096</v>
      </c>
      <c r="F91" s="7" t="s">
        <v>2097</v>
      </c>
      <c r="G91" s="7" t="s">
        <v>1902</v>
      </c>
      <c r="H91" s="7" t="s">
        <v>2098</v>
      </c>
      <c r="I91" s="7" t="s">
        <v>1988</v>
      </c>
      <c r="J91" s="7" t="s">
        <v>2411</v>
      </c>
    </row>
    <row r="92" spans="1:10">
      <c r="A92" s="7">
        <v>91</v>
      </c>
      <c r="B92" s="7" t="s">
        <v>1776</v>
      </c>
      <c r="C92" s="7" t="s">
        <v>19</v>
      </c>
      <c r="D92" s="7" t="s">
        <v>2099</v>
      </c>
      <c r="E92" s="7" t="s">
        <v>2100</v>
      </c>
      <c r="F92" s="7" t="s">
        <v>2101</v>
      </c>
      <c r="G92" s="7" t="s">
        <v>1789</v>
      </c>
      <c r="J92" s="7" t="s">
        <v>2411</v>
      </c>
    </row>
    <row r="93" spans="1:10">
      <c r="A93" s="7">
        <v>92</v>
      </c>
      <c r="B93" s="7" t="s">
        <v>1776</v>
      </c>
      <c r="C93" s="7" t="s">
        <v>19</v>
      </c>
      <c r="D93" s="7" t="s">
        <v>2102</v>
      </c>
      <c r="E93" s="7" t="s">
        <v>2103</v>
      </c>
      <c r="F93" s="7" t="s">
        <v>2104</v>
      </c>
      <c r="G93" s="7" t="s">
        <v>2000</v>
      </c>
      <c r="J93" s="7" t="s">
        <v>2411</v>
      </c>
    </row>
    <row r="94" spans="1:10">
      <c r="A94" s="7">
        <v>93</v>
      </c>
      <c r="B94" s="7" t="s">
        <v>1776</v>
      </c>
      <c r="C94" s="7" t="s">
        <v>19</v>
      </c>
      <c r="D94" s="7" t="s">
        <v>2105</v>
      </c>
      <c r="E94" s="7" t="s">
        <v>2106</v>
      </c>
      <c r="F94" s="7" t="s">
        <v>2107</v>
      </c>
      <c r="G94" s="7" t="s">
        <v>1789</v>
      </c>
      <c r="I94" s="7" t="s">
        <v>2108</v>
      </c>
      <c r="J94" s="7" t="s">
        <v>2411</v>
      </c>
    </row>
    <row r="95" spans="1:10">
      <c r="A95" s="7">
        <v>94</v>
      </c>
      <c r="B95" s="7" t="s">
        <v>1776</v>
      </c>
      <c r="C95" s="7" t="s">
        <v>19</v>
      </c>
      <c r="D95" s="7" t="s">
        <v>2109</v>
      </c>
      <c r="E95" s="7" t="s">
        <v>2110</v>
      </c>
      <c r="F95" s="7" t="s">
        <v>2111</v>
      </c>
      <c r="G95" s="7" t="s">
        <v>1902</v>
      </c>
      <c r="H95" s="7" t="s">
        <v>2112</v>
      </c>
      <c r="I95" s="7" t="s">
        <v>1988</v>
      </c>
      <c r="J95" s="7" t="s">
        <v>2411</v>
      </c>
    </row>
    <row r="96" spans="1:10">
      <c r="A96" s="7">
        <v>95</v>
      </c>
      <c r="B96" s="7" t="s">
        <v>1776</v>
      </c>
      <c r="C96" s="7" t="s">
        <v>19</v>
      </c>
      <c r="D96" s="7" t="s">
        <v>2113</v>
      </c>
      <c r="E96" s="7" t="s">
        <v>2114</v>
      </c>
      <c r="F96" s="7" t="s">
        <v>2115</v>
      </c>
      <c r="G96" s="7" t="s">
        <v>1902</v>
      </c>
      <c r="H96" s="7" t="s">
        <v>2116</v>
      </c>
      <c r="I96" s="7" t="s">
        <v>2117</v>
      </c>
      <c r="J96" s="7" t="s">
        <v>2411</v>
      </c>
    </row>
    <row r="97" spans="1:10">
      <c r="A97" s="7">
        <v>96</v>
      </c>
      <c r="B97" s="7" t="s">
        <v>1776</v>
      </c>
      <c r="C97" s="7" t="s">
        <v>19</v>
      </c>
      <c r="D97" s="7" t="s">
        <v>2118</v>
      </c>
      <c r="E97" s="7" t="s">
        <v>2119</v>
      </c>
      <c r="F97" s="7" t="s">
        <v>2120</v>
      </c>
      <c r="G97" s="7" t="s">
        <v>1789</v>
      </c>
      <c r="J97" s="7" t="s">
        <v>2411</v>
      </c>
    </row>
    <row r="98" spans="1:10">
      <c r="A98" s="7">
        <v>97</v>
      </c>
      <c r="B98" s="7" t="s">
        <v>1776</v>
      </c>
      <c r="C98" s="7" t="s">
        <v>19</v>
      </c>
      <c r="D98" s="7" t="s">
        <v>2121</v>
      </c>
      <c r="E98" s="7" t="s">
        <v>2122</v>
      </c>
      <c r="F98" s="7" t="s">
        <v>2123</v>
      </c>
      <c r="G98" s="7" t="s">
        <v>1846</v>
      </c>
      <c r="J98" s="7" t="s">
        <v>2411</v>
      </c>
    </row>
    <row r="99" spans="1:10">
      <c r="A99" s="7">
        <v>98</v>
      </c>
      <c r="B99" s="7" t="s">
        <v>1776</v>
      </c>
      <c r="C99" s="7" t="s">
        <v>19</v>
      </c>
      <c r="D99" s="7" t="s">
        <v>2124</v>
      </c>
      <c r="E99" s="7" t="s">
        <v>2125</v>
      </c>
      <c r="F99" s="7" t="s">
        <v>2126</v>
      </c>
      <c r="G99" s="7" t="s">
        <v>1784</v>
      </c>
      <c r="I99" s="7" t="s">
        <v>2127</v>
      </c>
      <c r="J99" s="7" t="s">
        <v>2411</v>
      </c>
    </row>
    <row r="100" spans="1:10">
      <c r="A100" s="7">
        <v>99</v>
      </c>
      <c r="B100" s="7" t="s">
        <v>1776</v>
      </c>
      <c r="C100" s="7" t="s">
        <v>19</v>
      </c>
      <c r="D100" s="7" t="s">
        <v>2128</v>
      </c>
      <c r="E100" s="7" t="s">
        <v>2129</v>
      </c>
      <c r="F100" s="7" t="s">
        <v>2130</v>
      </c>
      <c r="G100" s="7" t="s">
        <v>1922</v>
      </c>
      <c r="J100" s="7" t="s">
        <v>2411</v>
      </c>
    </row>
    <row r="101" spans="1:10">
      <c r="A101" s="7">
        <v>100</v>
      </c>
      <c r="B101" s="7" t="s">
        <v>1776</v>
      </c>
      <c r="C101" s="7" t="s">
        <v>19</v>
      </c>
      <c r="D101" s="7" t="s">
        <v>2131</v>
      </c>
      <c r="E101" s="7" t="s">
        <v>2132</v>
      </c>
      <c r="F101" s="7" t="s">
        <v>2133</v>
      </c>
      <c r="G101" s="7" t="s">
        <v>2134</v>
      </c>
      <c r="J101" s="7" t="s">
        <v>2411</v>
      </c>
    </row>
    <row r="102" spans="1:10">
      <c r="A102" s="7">
        <v>101</v>
      </c>
      <c r="B102" s="7" t="s">
        <v>1776</v>
      </c>
      <c r="C102" s="7" t="s">
        <v>19</v>
      </c>
      <c r="D102" s="7" t="s">
        <v>2135</v>
      </c>
      <c r="E102" s="7" t="s">
        <v>2136</v>
      </c>
      <c r="F102" s="7" t="s">
        <v>2137</v>
      </c>
      <c r="G102" s="7" t="s">
        <v>1839</v>
      </c>
      <c r="J102" s="7" t="s">
        <v>2411</v>
      </c>
    </row>
    <row r="103" spans="1:10">
      <c r="A103" s="7">
        <v>102</v>
      </c>
      <c r="B103" s="7" t="s">
        <v>1776</v>
      </c>
      <c r="C103" s="7" t="s">
        <v>19</v>
      </c>
      <c r="D103" s="7" t="s">
        <v>2138</v>
      </c>
      <c r="E103" s="7" t="s">
        <v>2139</v>
      </c>
      <c r="F103" s="7" t="s">
        <v>2140</v>
      </c>
      <c r="G103" s="7" t="s">
        <v>2045</v>
      </c>
      <c r="J103" s="7" t="s">
        <v>2411</v>
      </c>
    </row>
    <row r="104" spans="1:10">
      <c r="A104" s="7">
        <v>103</v>
      </c>
      <c r="B104" s="7" t="s">
        <v>1776</v>
      </c>
      <c r="C104" s="7" t="s">
        <v>19</v>
      </c>
      <c r="D104" s="7" t="s">
        <v>2141</v>
      </c>
      <c r="E104" s="7" t="s">
        <v>2142</v>
      </c>
      <c r="F104" s="7" t="s">
        <v>2143</v>
      </c>
      <c r="G104" s="7" t="s">
        <v>1805</v>
      </c>
      <c r="J104" s="7" t="s">
        <v>2411</v>
      </c>
    </row>
    <row r="105" spans="1:10">
      <c r="A105" s="7">
        <v>104</v>
      </c>
      <c r="B105" s="7" t="s">
        <v>1776</v>
      </c>
      <c r="C105" s="7" t="s">
        <v>19</v>
      </c>
      <c r="D105" s="7" t="s">
        <v>2144</v>
      </c>
      <c r="E105" s="7" t="s">
        <v>2145</v>
      </c>
      <c r="F105" s="7" t="s">
        <v>2146</v>
      </c>
      <c r="G105" s="7" t="s">
        <v>1839</v>
      </c>
      <c r="H105" s="7" t="s">
        <v>2147</v>
      </c>
      <c r="I105" s="7" t="s">
        <v>2148</v>
      </c>
      <c r="J105" s="7" t="s">
        <v>2411</v>
      </c>
    </row>
    <row r="106" spans="1:10">
      <c r="A106" s="7">
        <v>105</v>
      </c>
      <c r="B106" s="7" t="s">
        <v>1776</v>
      </c>
      <c r="C106" s="7" t="s">
        <v>19</v>
      </c>
      <c r="D106" s="7" t="s">
        <v>2149</v>
      </c>
      <c r="E106" s="7" t="s">
        <v>2150</v>
      </c>
      <c r="F106" s="7" t="s">
        <v>2151</v>
      </c>
      <c r="G106" s="7" t="s">
        <v>1846</v>
      </c>
      <c r="J106" s="7" t="s">
        <v>2411</v>
      </c>
    </row>
    <row r="107" spans="1:10">
      <c r="A107" s="7">
        <v>106</v>
      </c>
      <c r="B107" s="7" t="s">
        <v>1776</v>
      </c>
      <c r="C107" s="7" t="s">
        <v>19</v>
      </c>
      <c r="D107" s="7" t="s">
        <v>2152</v>
      </c>
      <c r="E107" s="7" t="s">
        <v>2153</v>
      </c>
      <c r="F107" s="7" t="s">
        <v>2154</v>
      </c>
      <c r="G107" s="7" t="s">
        <v>1793</v>
      </c>
      <c r="I107" s="7" t="s">
        <v>2155</v>
      </c>
      <c r="J107" s="7" t="s">
        <v>2411</v>
      </c>
    </row>
    <row r="108" spans="1:10">
      <c r="A108" s="7">
        <v>107</v>
      </c>
      <c r="B108" s="7" t="s">
        <v>1776</v>
      </c>
      <c r="C108" s="7" t="s">
        <v>19</v>
      </c>
      <c r="D108" s="7" t="s">
        <v>2156</v>
      </c>
      <c r="E108" s="7" t="s">
        <v>2157</v>
      </c>
      <c r="F108" s="7" t="s">
        <v>2158</v>
      </c>
      <c r="G108" s="7" t="s">
        <v>1902</v>
      </c>
      <c r="I108" s="7" t="s">
        <v>2159</v>
      </c>
      <c r="J108" s="7" t="s">
        <v>2411</v>
      </c>
    </row>
    <row r="109" spans="1:10">
      <c r="A109" s="7">
        <v>108</v>
      </c>
      <c r="B109" s="7" t="s">
        <v>1776</v>
      </c>
      <c r="C109" s="7" t="s">
        <v>19</v>
      </c>
      <c r="D109" s="7" t="s">
        <v>2160</v>
      </c>
      <c r="E109" s="7" t="s">
        <v>2161</v>
      </c>
      <c r="F109" s="7" t="s">
        <v>2162</v>
      </c>
      <c r="G109" s="7" t="s">
        <v>2163</v>
      </c>
      <c r="H109" s="7" t="s">
        <v>2164</v>
      </c>
      <c r="I109" s="7" t="s">
        <v>1941</v>
      </c>
      <c r="J109" s="7" t="s">
        <v>2411</v>
      </c>
    </row>
    <row r="110" spans="1:10">
      <c r="A110" s="7">
        <v>109</v>
      </c>
      <c r="B110" s="7" t="s">
        <v>1776</v>
      </c>
      <c r="C110" s="7" t="s">
        <v>19</v>
      </c>
      <c r="D110" s="7" t="s">
        <v>2165</v>
      </c>
      <c r="E110" s="7" t="s">
        <v>2161</v>
      </c>
      <c r="F110" s="7" t="s">
        <v>2166</v>
      </c>
      <c r="G110" s="7" t="s">
        <v>1846</v>
      </c>
      <c r="J110" s="7" t="s">
        <v>2411</v>
      </c>
    </row>
    <row r="111" spans="1:10">
      <c r="A111" s="7">
        <v>110</v>
      </c>
      <c r="B111" s="7" t="s">
        <v>1776</v>
      </c>
      <c r="C111" s="7" t="s">
        <v>19</v>
      </c>
      <c r="D111" s="7" t="s">
        <v>2167</v>
      </c>
      <c r="E111" s="7" t="s">
        <v>2168</v>
      </c>
      <c r="F111" s="7" t="s">
        <v>2169</v>
      </c>
      <c r="G111" s="7" t="s">
        <v>1805</v>
      </c>
      <c r="I111" s="7" t="s">
        <v>1945</v>
      </c>
      <c r="J111" s="7" t="s">
        <v>2411</v>
      </c>
    </row>
    <row r="112" spans="1:10">
      <c r="A112" s="7">
        <v>111</v>
      </c>
      <c r="B112" s="7" t="s">
        <v>1776</v>
      </c>
      <c r="C112" s="7" t="s">
        <v>19</v>
      </c>
      <c r="D112" s="7" t="s">
        <v>2170</v>
      </c>
      <c r="E112" s="7" t="s">
        <v>2171</v>
      </c>
      <c r="F112" s="7" t="s">
        <v>2172</v>
      </c>
      <c r="G112" s="7" t="s">
        <v>2173</v>
      </c>
      <c r="J112" s="7" t="s">
        <v>2411</v>
      </c>
    </row>
    <row r="113" spans="1:10">
      <c r="A113" s="7">
        <v>112</v>
      </c>
      <c r="B113" s="7" t="s">
        <v>1776</v>
      </c>
      <c r="C113" s="7" t="s">
        <v>19</v>
      </c>
      <c r="D113" s="7" t="s">
        <v>2174</v>
      </c>
      <c r="E113" s="7" t="s">
        <v>2175</v>
      </c>
      <c r="F113" s="7" t="s">
        <v>2176</v>
      </c>
      <c r="G113" s="7" t="s">
        <v>1839</v>
      </c>
      <c r="J113" s="7" t="s">
        <v>2411</v>
      </c>
    </row>
    <row r="114" spans="1:10">
      <c r="A114" s="7">
        <v>113</v>
      </c>
      <c r="B114" s="7" t="s">
        <v>1776</v>
      </c>
      <c r="C114" s="7" t="s">
        <v>19</v>
      </c>
      <c r="D114" s="7" t="s">
        <v>2177</v>
      </c>
      <c r="E114" s="7" t="s">
        <v>2178</v>
      </c>
      <c r="F114" s="7" t="s">
        <v>2179</v>
      </c>
      <c r="G114" s="7" t="s">
        <v>1902</v>
      </c>
      <c r="I114" s="7" t="s">
        <v>2180</v>
      </c>
      <c r="J114" s="7" t="s">
        <v>2411</v>
      </c>
    </row>
    <row r="115" spans="1:10">
      <c r="A115" s="7">
        <v>114</v>
      </c>
      <c r="B115" s="7" t="s">
        <v>1776</v>
      </c>
      <c r="C115" s="7" t="s">
        <v>19</v>
      </c>
      <c r="D115" s="7" t="s">
        <v>2181</v>
      </c>
      <c r="E115" s="7" t="s">
        <v>2182</v>
      </c>
      <c r="F115" s="7" t="s">
        <v>2183</v>
      </c>
      <c r="G115" s="7" t="s">
        <v>1902</v>
      </c>
      <c r="I115" s="7" t="s">
        <v>2184</v>
      </c>
      <c r="J115" s="7" t="s">
        <v>2411</v>
      </c>
    </row>
    <row r="116" spans="1:10">
      <c r="A116" s="7">
        <v>115</v>
      </c>
      <c r="B116" s="7" t="s">
        <v>1776</v>
      </c>
      <c r="C116" s="7" t="s">
        <v>19</v>
      </c>
      <c r="D116" s="7" t="s">
        <v>2185</v>
      </c>
      <c r="E116" s="7" t="s">
        <v>2186</v>
      </c>
      <c r="F116" s="7" t="s">
        <v>2187</v>
      </c>
      <c r="G116" s="7" t="s">
        <v>1876</v>
      </c>
      <c r="J116" s="7" t="s">
        <v>2411</v>
      </c>
    </row>
    <row r="117" spans="1:10">
      <c r="A117" s="7">
        <v>116</v>
      </c>
      <c r="B117" s="7" t="s">
        <v>1776</v>
      </c>
      <c r="C117" s="7" t="s">
        <v>19</v>
      </c>
      <c r="D117" s="7" t="s">
        <v>2188</v>
      </c>
      <c r="E117" s="7" t="s">
        <v>2189</v>
      </c>
      <c r="F117" s="7" t="s">
        <v>2190</v>
      </c>
      <c r="G117" s="7" t="s">
        <v>1789</v>
      </c>
      <c r="I117" s="7" t="s">
        <v>2191</v>
      </c>
      <c r="J117" s="7" t="s">
        <v>2411</v>
      </c>
    </row>
    <row r="118" spans="1:10">
      <c r="A118" s="7">
        <v>117</v>
      </c>
      <c r="B118" s="7" t="s">
        <v>1776</v>
      </c>
      <c r="C118" s="7" t="s">
        <v>19</v>
      </c>
      <c r="D118" s="7" t="s">
        <v>2192</v>
      </c>
      <c r="E118" s="7" t="s">
        <v>2193</v>
      </c>
      <c r="F118" s="7" t="s">
        <v>2194</v>
      </c>
      <c r="G118" s="7" t="s">
        <v>1805</v>
      </c>
      <c r="H118" s="7" t="s">
        <v>2195</v>
      </c>
      <c r="J118" s="7" t="s">
        <v>2411</v>
      </c>
    </row>
    <row r="119" spans="1:10">
      <c r="A119" s="7">
        <v>118</v>
      </c>
      <c r="B119" s="7" t="s">
        <v>1776</v>
      </c>
      <c r="C119" s="7" t="s">
        <v>19</v>
      </c>
      <c r="D119" s="7" t="s">
        <v>2196</v>
      </c>
      <c r="E119" s="7" t="s">
        <v>2197</v>
      </c>
      <c r="F119" s="7" t="s">
        <v>2198</v>
      </c>
      <c r="G119" s="7" t="s">
        <v>1789</v>
      </c>
      <c r="H119" s="7" t="s">
        <v>2199</v>
      </c>
      <c r="J119" s="7" t="s">
        <v>2411</v>
      </c>
    </row>
    <row r="120" spans="1:10">
      <c r="A120" s="7">
        <v>119</v>
      </c>
      <c r="B120" s="7" t="s">
        <v>1776</v>
      </c>
      <c r="C120" s="7" t="s">
        <v>19</v>
      </c>
      <c r="D120" s="7" t="s">
        <v>2200</v>
      </c>
      <c r="E120" s="7" t="s">
        <v>2201</v>
      </c>
      <c r="F120" s="7" t="s">
        <v>2202</v>
      </c>
      <c r="G120" s="7" t="s">
        <v>1839</v>
      </c>
      <c r="H120" s="7" t="s">
        <v>2203</v>
      </c>
      <c r="I120" s="7" t="s">
        <v>2204</v>
      </c>
      <c r="J120" s="7" t="s">
        <v>2411</v>
      </c>
    </row>
    <row r="121" spans="1:10">
      <c r="A121" s="7">
        <v>120</v>
      </c>
      <c r="B121" s="7" t="s">
        <v>1776</v>
      </c>
      <c r="C121" s="7" t="s">
        <v>19</v>
      </c>
      <c r="D121" s="7" t="s">
        <v>2205</v>
      </c>
      <c r="E121" s="7" t="s">
        <v>2201</v>
      </c>
      <c r="F121" s="7" t="s">
        <v>2206</v>
      </c>
      <c r="G121" s="7" t="s">
        <v>1839</v>
      </c>
      <c r="J121" s="7" t="s">
        <v>2411</v>
      </c>
    </row>
    <row r="122" spans="1:10">
      <c r="A122" s="7">
        <v>121</v>
      </c>
      <c r="B122" s="7" t="s">
        <v>1776</v>
      </c>
      <c r="C122" s="7" t="s">
        <v>19</v>
      </c>
      <c r="D122" s="7" t="s">
        <v>2207</v>
      </c>
      <c r="E122" s="7" t="s">
        <v>2201</v>
      </c>
      <c r="F122" s="7" t="s">
        <v>2208</v>
      </c>
      <c r="G122" s="7" t="s">
        <v>1793</v>
      </c>
      <c r="J122" s="7" t="s">
        <v>2411</v>
      </c>
    </row>
    <row r="123" spans="1:10">
      <c r="A123" s="7">
        <v>122</v>
      </c>
      <c r="B123" s="7" t="s">
        <v>1776</v>
      </c>
      <c r="C123" s="7" t="s">
        <v>19</v>
      </c>
      <c r="D123" s="7" t="s">
        <v>2209</v>
      </c>
      <c r="E123" s="7" t="s">
        <v>2210</v>
      </c>
      <c r="F123" s="7" t="s">
        <v>2211</v>
      </c>
      <c r="G123" s="7" t="s">
        <v>1839</v>
      </c>
      <c r="J123" s="7" t="s">
        <v>2411</v>
      </c>
    </row>
    <row r="124" spans="1:10">
      <c r="A124" s="7">
        <v>123</v>
      </c>
      <c r="B124" s="7" t="s">
        <v>1776</v>
      </c>
      <c r="C124" s="7" t="s">
        <v>19</v>
      </c>
      <c r="D124" s="7" t="s">
        <v>2212</v>
      </c>
      <c r="E124" s="7" t="s">
        <v>2213</v>
      </c>
      <c r="F124" s="7" t="s">
        <v>2214</v>
      </c>
      <c r="G124" s="7" t="s">
        <v>1784</v>
      </c>
      <c r="I124" s="7" t="s">
        <v>2215</v>
      </c>
      <c r="J124" s="7" t="s">
        <v>2411</v>
      </c>
    </row>
    <row r="125" spans="1:10">
      <c r="A125" s="7">
        <v>124</v>
      </c>
      <c r="B125" s="7" t="s">
        <v>1776</v>
      </c>
      <c r="C125" s="7" t="s">
        <v>19</v>
      </c>
      <c r="D125" s="7" t="s">
        <v>2216</v>
      </c>
      <c r="E125" s="7" t="s">
        <v>2217</v>
      </c>
      <c r="F125" s="7" t="s">
        <v>2218</v>
      </c>
      <c r="G125" s="7" t="s">
        <v>1902</v>
      </c>
      <c r="J125" s="7" t="s">
        <v>2411</v>
      </c>
    </row>
    <row r="126" spans="1:10">
      <c r="A126" s="7">
        <v>125</v>
      </c>
      <c r="B126" s="7" t="s">
        <v>1776</v>
      </c>
      <c r="C126" s="7" t="s">
        <v>19</v>
      </c>
      <c r="D126" s="7" t="s">
        <v>2219</v>
      </c>
      <c r="E126" s="7" t="s">
        <v>2220</v>
      </c>
      <c r="F126" s="7" t="s">
        <v>2221</v>
      </c>
      <c r="G126" s="7" t="s">
        <v>1846</v>
      </c>
      <c r="J126" s="7" t="s">
        <v>2411</v>
      </c>
    </row>
    <row r="127" spans="1:10">
      <c r="A127" s="7">
        <v>126</v>
      </c>
      <c r="B127" s="7" t="s">
        <v>1776</v>
      </c>
      <c r="C127" s="7" t="s">
        <v>19</v>
      </c>
      <c r="D127" s="7" t="s">
        <v>2222</v>
      </c>
      <c r="E127" s="7" t="s">
        <v>2223</v>
      </c>
      <c r="F127" s="7" t="s">
        <v>2224</v>
      </c>
      <c r="G127" s="7" t="s">
        <v>1805</v>
      </c>
      <c r="H127" s="7" t="s">
        <v>2225</v>
      </c>
      <c r="J127" s="7" t="s">
        <v>2411</v>
      </c>
    </row>
    <row r="128" spans="1:10">
      <c r="A128" s="7">
        <v>127</v>
      </c>
      <c r="B128" s="7" t="s">
        <v>1776</v>
      </c>
      <c r="C128" s="7" t="s">
        <v>19</v>
      </c>
      <c r="D128" s="7" t="s">
        <v>2226</v>
      </c>
      <c r="E128" s="7" t="s">
        <v>2227</v>
      </c>
      <c r="F128" s="7" t="s">
        <v>2228</v>
      </c>
      <c r="G128" s="7" t="s">
        <v>1805</v>
      </c>
      <c r="I128" s="7" t="s">
        <v>2127</v>
      </c>
      <c r="J128" s="7" t="s">
        <v>2411</v>
      </c>
    </row>
    <row r="129" spans="1:10">
      <c r="A129" s="7">
        <v>128</v>
      </c>
      <c r="B129" s="7" t="s">
        <v>1776</v>
      </c>
      <c r="C129" s="7" t="s">
        <v>19</v>
      </c>
      <c r="D129" s="7" t="s">
        <v>2229</v>
      </c>
      <c r="E129" s="7" t="s">
        <v>2227</v>
      </c>
      <c r="F129" s="7" t="s">
        <v>2230</v>
      </c>
      <c r="G129" s="7" t="s">
        <v>1789</v>
      </c>
      <c r="H129" s="7" t="s">
        <v>2231</v>
      </c>
      <c r="J129" s="7" t="s">
        <v>2411</v>
      </c>
    </row>
    <row r="130" spans="1:10">
      <c r="A130" s="7">
        <v>129</v>
      </c>
      <c r="B130" s="7" t="s">
        <v>1776</v>
      </c>
      <c r="C130" s="7" t="s">
        <v>19</v>
      </c>
      <c r="D130" s="7" t="s">
        <v>2232</v>
      </c>
      <c r="E130" s="7" t="s">
        <v>2233</v>
      </c>
      <c r="F130" s="7" t="s">
        <v>2234</v>
      </c>
      <c r="G130" s="7" t="s">
        <v>1784</v>
      </c>
      <c r="H130" s="7" t="s">
        <v>2235</v>
      </c>
      <c r="J130" s="7" t="s">
        <v>2411</v>
      </c>
    </row>
    <row r="131" spans="1:10">
      <c r="A131" s="7">
        <v>130</v>
      </c>
      <c r="B131" s="7" t="s">
        <v>1776</v>
      </c>
      <c r="C131" s="7" t="s">
        <v>19</v>
      </c>
      <c r="D131" s="7" t="s">
        <v>2236</v>
      </c>
      <c r="E131" s="7" t="s">
        <v>2233</v>
      </c>
      <c r="F131" s="7" t="s">
        <v>2237</v>
      </c>
      <c r="G131" s="7" t="s">
        <v>2045</v>
      </c>
      <c r="J131" s="7" t="s">
        <v>2411</v>
      </c>
    </row>
    <row r="132" spans="1:10">
      <c r="A132" s="7">
        <v>131</v>
      </c>
      <c r="B132" s="7" t="s">
        <v>1776</v>
      </c>
      <c r="C132" s="7" t="s">
        <v>19</v>
      </c>
      <c r="D132" s="7" t="s">
        <v>2238</v>
      </c>
      <c r="E132" s="7" t="s">
        <v>2239</v>
      </c>
      <c r="F132" s="7" t="s">
        <v>2240</v>
      </c>
      <c r="G132" s="7" t="s">
        <v>1846</v>
      </c>
      <c r="J132" s="7" t="s">
        <v>2411</v>
      </c>
    </row>
    <row r="133" spans="1:10">
      <c r="A133" s="7">
        <v>132</v>
      </c>
      <c r="B133" s="7" t="s">
        <v>1776</v>
      </c>
      <c r="C133" s="7" t="s">
        <v>19</v>
      </c>
      <c r="D133" s="7" t="s">
        <v>2241</v>
      </c>
      <c r="E133" s="7" t="s">
        <v>2242</v>
      </c>
      <c r="F133" s="7" t="s">
        <v>2243</v>
      </c>
      <c r="G133" s="7" t="s">
        <v>1805</v>
      </c>
      <c r="J133" s="7" t="s">
        <v>2411</v>
      </c>
    </row>
    <row r="134" spans="1:10">
      <c r="A134" s="7">
        <v>133</v>
      </c>
      <c r="B134" s="7" t="s">
        <v>1776</v>
      </c>
      <c r="C134" s="7" t="s">
        <v>19</v>
      </c>
      <c r="D134" s="7" t="s">
        <v>2244</v>
      </c>
      <c r="E134" s="7" t="s">
        <v>2245</v>
      </c>
      <c r="F134" s="7" t="s">
        <v>2246</v>
      </c>
      <c r="G134" s="7" t="s">
        <v>1797</v>
      </c>
      <c r="J134" s="7" t="s">
        <v>2411</v>
      </c>
    </row>
    <row r="135" spans="1:10">
      <c r="A135" s="7">
        <v>134</v>
      </c>
      <c r="B135" s="7" t="s">
        <v>1776</v>
      </c>
      <c r="C135" s="7" t="s">
        <v>19</v>
      </c>
      <c r="D135" s="7" t="s">
        <v>2247</v>
      </c>
      <c r="E135" s="7" t="s">
        <v>2248</v>
      </c>
      <c r="F135" s="7" t="s">
        <v>2249</v>
      </c>
      <c r="G135" s="7" t="s">
        <v>1839</v>
      </c>
      <c r="I135" s="7" t="s">
        <v>2250</v>
      </c>
      <c r="J135" s="7" t="s">
        <v>2411</v>
      </c>
    </row>
    <row r="136" spans="1:10">
      <c r="A136" s="7">
        <v>135</v>
      </c>
      <c r="B136" s="7" t="s">
        <v>1776</v>
      </c>
      <c r="C136" s="7" t="s">
        <v>19</v>
      </c>
      <c r="D136" s="7" t="s">
        <v>2251</v>
      </c>
      <c r="E136" s="7" t="s">
        <v>2252</v>
      </c>
      <c r="F136" s="7" t="s">
        <v>2253</v>
      </c>
      <c r="G136" s="7" t="s">
        <v>1839</v>
      </c>
      <c r="J136" s="7" t="s">
        <v>2411</v>
      </c>
    </row>
    <row r="137" spans="1:10">
      <c r="A137" s="7">
        <v>136</v>
      </c>
      <c r="B137" s="7" t="s">
        <v>1776</v>
      </c>
      <c r="C137" s="7" t="s">
        <v>19</v>
      </c>
      <c r="D137" s="7" t="s">
        <v>2254</v>
      </c>
      <c r="E137" s="7" t="s">
        <v>2255</v>
      </c>
      <c r="F137" s="7" t="s">
        <v>2256</v>
      </c>
      <c r="G137" s="7" t="s">
        <v>2257</v>
      </c>
      <c r="J137" s="7" t="s">
        <v>2411</v>
      </c>
    </row>
    <row r="138" spans="1:10">
      <c r="A138" s="7">
        <v>137</v>
      </c>
      <c r="B138" s="7" t="s">
        <v>1776</v>
      </c>
      <c r="C138" s="7" t="s">
        <v>19</v>
      </c>
      <c r="D138" s="7" t="s">
        <v>2258</v>
      </c>
      <c r="E138" s="7" t="s">
        <v>2259</v>
      </c>
      <c r="F138" s="7" t="s">
        <v>2260</v>
      </c>
      <c r="G138" s="7" t="s">
        <v>1846</v>
      </c>
      <c r="H138" s="7" t="s">
        <v>2261</v>
      </c>
      <c r="J138" s="7" t="s">
        <v>2411</v>
      </c>
    </row>
    <row r="139" spans="1:10">
      <c r="A139" s="7">
        <v>138</v>
      </c>
      <c r="B139" s="7" t="s">
        <v>1776</v>
      </c>
      <c r="C139" s="7" t="s">
        <v>19</v>
      </c>
      <c r="D139" s="7" t="s">
        <v>2262</v>
      </c>
      <c r="E139" s="7" t="s">
        <v>2263</v>
      </c>
      <c r="F139" s="7" t="s">
        <v>2264</v>
      </c>
      <c r="G139" s="7" t="s">
        <v>1828</v>
      </c>
      <c r="J139" s="7" t="s">
        <v>2411</v>
      </c>
    </row>
    <row r="140" spans="1:10">
      <c r="A140" s="7">
        <v>139</v>
      </c>
      <c r="B140" s="7" t="s">
        <v>1776</v>
      </c>
      <c r="C140" s="7" t="s">
        <v>19</v>
      </c>
      <c r="D140" s="7" t="s">
        <v>2265</v>
      </c>
      <c r="E140" s="7" t="s">
        <v>2266</v>
      </c>
      <c r="F140" s="7" t="s">
        <v>2267</v>
      </c>
      <c r="G140" s="7" t="s">
        <v>1902</v>
      </c>
      <c r="H140" s="7" t="s">
        <v>2268</v>
      </c>
      <c r="J140" s="7" t="s">
        <v>2411</v>
      </c>
    </row>
    <row r="141" spans="1:10">
      <c r="A141" s="7">
        <v>140</v>
      </c>
      <c r="B141" s="7" t="s">
        <v>1776</v>
      </c>
      <c r="C141" s="7" t="s">
        <v>19</v>
      </c>
      <c r="D141" s="7" t="s">
        <v>2269</v>
      </c>
      <c r="E141" s="7" t="s">
        <v>2270</v>
      </c>
      <c r="F141" s="7" t="s">
        <v>2271</v>
      </c>
      <c r="G141" s="7" t="s">
        <v>1805</v>
      </c>
      <c r="J141" s="7" t="s">
        <v>2411</v>
      </c>
    </row>
    <row r="142" spans="1:10">
      <c r="A142" s="7">
        <v>141</v>
      </c>
      <c r="B142" s="7" t="s">
        <v>1776</v>
      </c>
      <c r="C142" s="7" t="s">
        <v>19</v>
      </c>
      <c r="D142" s="7" t="s">
        <v>2272</v>
      </c>
      <c r="E142" s="7" t="s">
        <v>2273</v>
      </c>
      <c r="F142" s="7" t="s">
        <v>2274</v>
      </c>
      <c r="G142" s="7" t="s">
        <v>1805</v>
      </c>
      <c r="J142" s="7" t="s">
        <v>2411</v>
      </c>
    </row>
    <row r="143" spans="1:10">
      <c r="A143" s="7">
        <v>142</v>
      </c>
      <c r="B143" s="7" t="s">
        <v>1776</v>
      </c>
      <c r="C143" s="7" t="s">
        <v>19</v>
      </c>
      <c r="D143" s="7" t="s">
        <v>2275</v>
      </c>
      <c r="E143" s="7" t="s">
        <v>2276</v>
      </c>
      <c r="F143" s="7" t="s">
        <v>2277</v>
      </c>
      <c r="G143" s="7" t="s">
        <v>1876</v>
      </c>
      <c r="J143" s="7" t="s">
        <v>2411</v>
      </c>
    </row>
    <row r="144" spans="1:10">
      <c r="A144" s="7">
        <v>143</v>
      </c>
      <c r="B144" s="7" t="s">
        <v>1776</v>
      </c>
      <c r="C144" s="7" t="s">
        <v>19</v>
      </c>
      <c r="D144" s="7" t="s">
        <v>2278</v>
      </c>
      <c r="E144" s="7" t="s">
        <v>2279</v>
      </c>
      <c r="F144" s="7" t="s">
        <v>2280</v>
      </c>
      <c r="G144" s="7" t="s">
        <v>1805</v>
      </c>
      <c r="J144" s="7" t="s">
        <v>2411</v>
      </c>
    </row>
    <row r="145" spans="1:10">
      <c r="A145" s="7">
        <v>144</v>
      </c>
      <c r="B145" s="7" t="s">
        <v>1776</v>
      </c>
      <c r="C145" s="7" t="s">
        <v>19</v>
      </c>
      <c r="D145" s="7" t="s">
        <v>2281</v>
      </c>
      <c r="E145" s="7" t="s">
        <v>2282</v>
      </c>
      <c r="F145" s="7" t="s">
        <v>2283</v>
      </c>
      <c r="G145" s="7" t="s">
        <v>1839</v>
      </c>
      <c r="H145" s="7" t="s">
        <v>2284</v>
      </c>
      <c r="J145" s="7" t="s">
        <v>2411</v>
      </c>
    </row>
    <row r="146" spans="1:10">
      <c r="A146" s="7">
        <v>145</v>
      </c>
      <c r="B146" s="7" t="s">
        <v>1776</v>
      </c>
      <c r="C146" s="7" t="s">
        <v>19</v>
      </c>
      <c r="D146" s="7" t="s">
        <v>2285</v>
      </c>
      <c r="E146" s="7" t="s">
        <v>2286</v>
      </c>
      <c r="F146" s="7" t="s">
        <v>2287</v>
      </c>
      <c r="G146" s="7" t="s">
        <v>1805</v>
      </c>
      <c r="J146" s="7" t="s">
        <v>2411</v>
      </c>
    </row>
    <row r="147" spans="1:10">
      <c r="A147" s="7">
        <v>146</v>
      </c>
      <c r="B147" s="7" t="s">
        <v>1776</v>
      </c>
      <c r="C147" s="7" t="s">
        <v>19</v>
      </c>
      <c r="D147" s="7" t="s">
        <v>2288</v>
      </c>
      <c r="E147" s="7" t="s">
        <v>2289</v>
      </c>
      <c r="F147" s="7" t="s">
        <v>2290</v>
      </c>
      <c r="G147" s="7" t="s">
        <v>1828</v>
      </c>
      <c r="J147" s="7" t="s">
        <v>2411</v>
      </c>
    </row>
    <row r="148" spans="1:10">
      <c r="A148" s="7">
        <v>147</v>
      </c>
      <c r="B148" s="7" t="s">
        <v>1776</v>
      </c>
      <c r="C148" s="7" t="s">
        <v>19</v>
      </c>
      <c r="D148" s="7" t="s">
        <v>2291</v>
      </c>
      <c r="E148" s="7" t="s">
        <v>2292</v>
      </c>
      <c r="F148" s="7" t="s">
        <v>2293</v>
      </c>
      <c r="G148" s="7" t="s">
        <v>1784</v>
      </c>
      <c r="J148" s="7" t="s">
        <v>2411</v>
      </c>
    </row>
    <row r="149" spans="1:10">
      <c r="A149" s="7">
        <v>148</v>
      </c>
      <c r="B149" s="7" t="s">
        <v>1776</v>
      </c>
      <c r="C149" s="7" t="s">
        <v>19</v>
      </c>
      <c r="D149" s="7" t="s">
        <v>2294</v>
      </c>
      <c r="E149" s="7" t="s">
        <v>2295</v>
      </c>
      <c r="F149" s="7" t="s">
        <v>2296</v>
      </c>
      <c r="G149" s="7" t="s">
        <v>1784</v>
      </c>
      <c r="J149" s="7" t="s">
        <v>2411</v>
      </c>
    </row>
    <row r="150" spans="1:10">
      <c r="A150" s="7">
        <v>149</v>
      </c>
      <c r="B150" s="7" t="s">
        <v>1776</v>
      </c>
      <c r="C150" s="7" t="s">
        <v>19</v>
      </c>
      <c r="D150" s="7" t="s">
        <v>2297</v>
      </c>
      <c r="E150" s="7" t="s">
        <v>2298</v>
      </c>
      <c r="F150" s="7" t="s">
        <v>2299</v>
      </c>
      <c r="G150" s="7" t="s">
        <v>1839</v>
      </c>
      <c r="J150" s="7" t="s">
        <v>2411</v>
      </c>
    </row>
    <row r="151" spans="1:10">
      <c r="A151" s="7">
        <v>150</v>
      </c>
      <c r="B151" s="7" t="s">
        <v>1776</v>
      </c>
      <c r="C151" s="7" t="s">
        <v>19</v>
      </c>
      <c r="D151" s="7" t="s">
        <v>2300</v>
      </c>
      <c r="E151" s="7" t="s">
        <v>2301</v>
      </c>
      <c r="F151" s="7" t="s">
        <v>2302</v>
      </c>
      <c r="G151" s="7" t="s">
        <v>2303</v>
      </c>
      <c r="H151" s="7" t="s">
        <v>2304</v>
      </c>
      <c r="J151" s="7" t="s">
        <v>2411</v>
      </c>
    </row>
    <row r="152" spans="1:10">
      <c r="A152" s="7">
        <v>151</v>
      </c>
      <c r="B152" s="7" t="s">
        <v>1776</v>
      </c>
      <c r="C152" s="7" t="s">
        <v>19</v>
      </c>
      <c r="D152" s="7" t="s">
        <v>2305</v>
      </c>
      <c r="E152" s="7" t="s">
        <v>2306</v>
      </c>
      <c r="F152" s="7" t="s">
        <v>2307</v>
      </c>
      <c r="G152" s="7" t="s">
        <v>1793</v>
      </c>
      <c r="J152" s="7" t="s">
        <v>2411</v>
      </c>
    </row>
    <row r="153" spans="1:10">
      <c r="A153" s="7">
        <v>152</v>
      </c>
      <c r="B153" s="7" t="s">
        <v>1776</v>
      </c>
      <c r="C153" s="7" t="s">
        <v>19</v>
      </c>
      <c r="D153" s="7" t="s">
        <v>2308</v>
      </c>
      <c r="E153" s="7" t="s">
        <v>2309</v>
      </c>
      <c r="F153" s="7" t="s">
        <v>2310</v>
      </c>
      <c r="G153" s="7" t="s">
        <v>1902</v>
      </c>
      <c r="H153" s="7" t="s">
        <v>2311</v>
      </c>
      <c r="J153" s="7" t="s">
        <v>2411</v>
      </c>
    </row>
    <row r="154" spans="1:10">
      <c r="A154" s="7">
        <v>153</v>
      </c>
      <c r="B154" s="7" t="s">
        <v>1776</v>
      </c>
      <c r="C154" s="7" t="s">
        <v>19</v>
      </c>
      <c r="D154" s="7" t="s">
        <v>2312</v>
      </c>
      <c r="E154" s="7" t="s">
        <v>2313</v>
      </c>
      <c r="F154" s="7" t="s">
        <v>2314</v>
      </c>
      <c r="G154" s="7" t="s">
        <v>1902</v>
      </c>
      <c r="I154" s="7" t="s">
        <v>2191</v>
      </c>
      <c r="J154" s="7" t="s">
        <v>2411</v>
      </c>
    </row>
    <row r="155" spans="1:10">
      <c r="A155" s="7">
        <v>154</v>
      </c>
      <c r="B155" s="7" t="s">
        <v>1776</v>
      </c>
      <c r="C155" s="7" t="s">
        <v>19</v>
      </c>
      <c r="D155" s="7" t="s">
        <v>2315</v>
      </c>
      <c r="E155" s="7" t="s">
        <v>2316</v>
      </c>
      <c r="F155" s="7" t="s">
        <v>2317</v>
      </c>
      <c r="G155" s="7" t="s">
        <v>1839</v>
      </c>
      <c r="I155" s="7" t="s">
        <v>2072</v>
      </c>
      <c r="J155" s="7" t="s">
        <v>2411</v>
      </c>
    </row>
    <row r="156" spans="1:10">
      <c r="A156" s="7">
        <v>155</v>
      </c>
      <c r="B156" s="7" t="s">
        <v>1776</v>
      </c>
      <c r="C156" s="7" t="s">
        <v>19</v>
      </c>
      <c r="D156" s="7" t="s">
        <v>2318</v>
      </c>
      <c r="E156" s="7" t="s">
        <v>2319</v>
      </c>
      <c r="F156" s="7" t="s">
        <v>2320</v>
      </c>
      <c r="G156" s="7" t="s">
        <v>1839</v>
      </c>
      <c r="H156" s="7" t="s">
        <v>2321</v>
      </c>
      <c r="J156" s="7" t="s">
        <v>2411</v>
      </c>
    </row>
    <row r="157" spans="1:10">
      <c r="A157" s="7">
        <v>156</v>
      </c>
      <c r="B157" s="7" t="s">
        <v>1776</v>
      </c>
      <c r="C157" s="7" t="s">
        <v>19</v>
      </c>
      <c r="D157" s="7" t="s">
        <v>2322</v>
      </c>
      <c r="E157" s="7" t="s">
        <v>2323</v>
      </c>
      <c r="F157" s="7" t="s">
        <v>2324</v>
      </c>
      <c r="G157" s="7" t="s">
        <v>1828</v>
      </c>
      <c r="J157" s="7" t="s">
        <v>2411</v>
      </c>
    </row>
    <row r="158" spans="1:10">
      <c r="A158" s="7">
        <v>157</v>
      </c>
      <c r="B158" s="7" t="s">
        <v>1776</v>
      </c>
      <c r="C158" s="7" t="s">
        <v>19</v>
      </c>
      <c r="D158" s="7" t="s">
        <v>2325</v>
      </c>
      <c r="E158" s="7" t="s">
        <v>2326</v>
      </c>
      <c r="F158" s="7" t="s">
        <v>2327</v>
      </c>
      <c r="G158" s="7" t="s">
        <v>1793</v>
      </c>
      <c r="I158" s="7" t="s">
        <v>2328</v>
      </c>
      <c r="J158" s="7" t="s">
        <v>2411</v>
      </c>
    </row>
    <row r="159" spans="1:10">
      <c r="A159" s="7">
        <v>158</v>
      </c>
      <c r="B159" s="7" t="s">
        <v>1776</v>
      </c>
      <c r="C159" s="7" t="s">
        <v>19</v>
      </c>
      <c r="D159" s="7" t="s">
        <v>2329</v>
      </c>
      <c r="E159" s="7" t="s">
        <v>2330</v>
      </c>
      <c r="F159" s="7" t="s">
        <v>2331</v>
      </c>
      <c r="G159" s="7" t="s">
        <v>1789</v>
      </c>
      <c r="I159" s="7" t="s">
        <v>2332</v>
      </c>
      <c r="J159" s="7" t="s">
        <v>2411</v>
      </c>
    </row>
    <row r="160" spans="1:10">
      <c r="A160" s="7">
        <v>159</v>
      </c>
      <c r="B160" s="7" t="s">
        <v>1776</v>
      </c>
      <c r="C160" s="7" t="s">
        <v>19</v>
      </c>
      <c r="D160" s="7" t="s">
        <v>2333</v>
      </c>
      <c r="E160" s="7" t="s">
        <v>2334</v>
      </c>
      <c r="F160" s="7" t="s">
        <v>2335</v>
      </c>
      <c r="G160" s="7" t="s">
        <v>2336</v>
      </c>
      <c r="H160" s="7" t="s">
        <v>2337</v>
      </c>
      <c r="J160" s="7" t="s">
        <v>2411</v>
      </c>
    </row>
    <row r="161" spans="1:10">
      <c r="A161" s="7">
        <v>160</v>
      </c>
      <c r="B161" s="7" t="s">
        <v>1776</v>
      </c>
      <c r="C161" s="7" t="s">
        <v>19</v>
      </c>
      <c r="D161" s="7" t="s">
        <v>2338</v>
      </c>
      <c r="E161" s="7" t="s">
        <v>2339</v>
      </c>
      <c r="F161" s="7" t="s">
        <v>2340</v>
      </c>
      <c r="G161" s="7" t="s">
        <v>1839</v>
      </c>
      <c r="I161" s="7" t="s">
        <v>2341</v>
      </c>
      <c r="J161" s="7" t="s">
        <v>2411</v>
      </c>
    </row>
    <row r="162" spans="1:10">
      <c r="A162" s="7">
        <v>161</v>
      </c>
      <c r="B162" s="7" t="s">
        <v>1776</v>
      </c>
      <c r="C162" s="7" t="s">
        <v>19</v>
      </c>
      <c r="D162" s="7" t="s">
        <v>2342</v>
      </c>
      <c r="E162" s="7" t="s">
        <v>2343</v>
      </c>
      <c r="F162" s="7" t="s">
        <v>2344</v>
      </c>
      <c r="G162" s="7" t="s">
        <v>1846</v>
      </c>
      <c r="J162" s="7" t="s">
        <v>2411</v>
      </c>
    </row>
    <row r="163" spans="1:10">
      <c r="A163" s="7">
        <v>162</v>
      </c>
      <c r="B163" s="7" t="s">
        <v>1776</v>
      </c>
      <c r="C163" s="7" t="s">
        <v>19</v>
      </c>
      <c r="D163" s="7" t="s">
        <v>2345</v>
      </c>
      <c r="E163" s="7" t="s">
        <v>2346</v>
      </c>
      <c r="F163" s="7" t="s">
        <v>2347</v>
      </c>
      <c r="G163" s="7" t="s">
        <v>1839</v>
      </c>
      <c r="H163" s="7" t="s">
        <v>2348</v>
      </c>
      <c r="J163" s="7" t="s">
        <v>2411</v>
      </c>
    </row>
    <row r="164" spans="1:10">
      <c r="A164" s="7">
        <v>163</v>
      </c>
      <c r="B164" s="7" t="s">
        <v>1776</v>
      </c>
      <c r="C164" s="7" t="s">
        <v>19</v>
      </c>
      <c r="D164" s="7" t="s">
        <v>2349</v>
      </c>
      <c r="E164" s="7" t="s">
        <v>2350</v>
      </c>
      <c r="F164" s="7" t="s">
        <v>2351</v>
      </c>
      <c r="G164" s="7" t="s">
        <v>1805</v>
      </c>
      <c r="J164" s="7" t="s">
        <v>2411</v>
      </c>
    </row>
    <row r="165" spans="1:10">
      <c r="A165" s="7">
        <v>164</v>
      </c>
      <c r="B165" s="7" t="s">
        <v>1776</v>
      </c>
      <c r="C165" s="7" t="s">
        <v>19</v>
      </c>
      <c r="D165" s="7" t="s">
        <v>2352</v>
      </c>
      <c r="E165" s="7" t="s">
        <v>2353</v>
      </c>
      <c r="F165" s="7" t="s">
        <v>2354</v>
      </c>
      <c r="G165" s="7" t="s">
        <v>2355</v>
      </c>
      <c r="H165" s="7" t="s">
        <v>2356</v>
      </c>
      <c r="J165" s="7" t="s">
        <v>2411</v>
      </c>
    </row>
    <row r="166" spans="1:10">
      <c r="A166" s="7">
        <v>165</v>
      </c>
      <c r="B166" s="7" t="s">
        <v>1776</v>
      </c>
      <c r="C166" s="7" t="s">
        <v>19</v>
      </c>
      <c r="D166" s="7" t="s">
        <v>2357</v>
      </c>
      <c r="E166" s="7" t="s">
        <v>2358</v>
      </c>
      <c r="F166" s="7" t="s">
        <v>2359</v>
      </c>
      <c r="G166" s="7" t="s">
        <v>2360</v>
      </c>
      <c r="J166" s="7" t="s">
        <v>2411</v>
      </c>
    </row>
    <row r="167" spans="1:10">
      <c r="A167" s="7">
        <v>166</v>
      </c>
      <c r="B167" s="7" t="s">
        <v>1776</v>
      </c>
      <c r="C167" s="7" t="s">
        <v>19</v>
      </c>
      <c r="D167" s="7" t="s">
        <v>2361</v>
      </c>
      <c r="E167" s="7" t="s">
        <v>2362</v>
      </c>
      <c r="F167" s="7" t="s">
        <v>2363</v>
      </c>
      <c r="G167" s="7" t="s">
        <v>2360</v>
      </c>
      <c r="J167" s="7" t="s">
        <v>2411</v>
      </c>
    </row>
    <row r="168" spans="1:10">
      <c r="A168" s="7">
        <v>167</v>
      </c>
      <c r="B168" s="7" t="s">
        <v>1776</v>
      </c>
      <c r="C168" s="7" t="s">
        <v>19</v>
      </c>
      <c r="D168" s="7" t="s">
        <v>2364</v>
      </c>
      <c r="E168" s="7" t="s">
        <v>2365</v>
      </c>
      <c r="F168" s="7" t="s">
        <v>2366</v>
      </c>
      <c r="G168" s="7" t="s">
        <v>2000</v>
      </c>
      <c r="J168" s="7" t="s">
        <v>2411</v>
      </c>
    </row>
    <row r="169" spans="1:10">
      <c r="A169" s="7">
        <v>168</v>
      </c>
      <c r="B169" s="7" t="s">
        <v>1776</v>
      </c>
      <c r="C169" s="7" t="s">
        <v>19</v>
      </c>
      <c r="D169" s="7" t="s">
        <v>2367</v>
      </c>
      <c r="E169" s="7" t="s">
        <v>2368</v>
      </c>
      <c r="F169" s="7" t="s">
        <v>2369</v>
      </c>
      <c r="G169" s="7" t="s">
        <v>1789</v>
      </c>
      <c r="H169" s="7" t="s">
        <v>2370</v>
      </c>
      <c r="I169" s="7" t="s">
        <v>2371</v>
      </c>
      <c r="J169" s="7" t="s">
        <v>2411</v>
      </c>
    </row>
    <row r="170" spans="1:10">
      <c r="A170" s="7">
        <v>169</v>
      </c>
      <c r="B170" s="7" t="s">
        <v>1776</v>
      </c>
      <c r="C170" s="7" t="s">
        <v>19</v>
      </c>
      <c r="D170" s="7" t="s">
        <v>2372</v>
      </c>
      <c r="E170" s="7" t="s">
        <v>2373</v>
      </c>
      <c r="F170" s="7" t="s">
        <v>2374</v>
      </c>
      <c r="G170" s="7" t="s">
        <v>2375</v>
      </c>
      <c r="H170" s="7" t="s">
        <v>2376</v>
      </c>
      <c r="J170" s="7" t="s">
        <v>2411</v>
      </c>
    </row>
    <row r="171" spans="1:10">
      <c r="A171" s="7">
        <v>170</v>
      </c>
      <c r="B171" s="7" t="s">
        <v>1776</v>
      </c>
      <c r="C171" s="7" t="s">
        <v>19</v>
      </c>
      <c r="D171" s="7" t="s">
        <v>2377</v>
      </c>
      <c r="E171" s="7" t="s">
        <v>2378</v>
      </c>
      <c r="F171" s="7" t="s">
        <v>2379</v>
      </c>
      <c r="G171" s="7" t="s">
        <v>1835</v>
      </c>
      <c r="J171" s="7" t="s">
        <v>2411</v>
      </c>
    </row>
    <row r="172" spans="1:10">
      <c r="A172" s="7">
        <v>171</v>
      </c>
      <c r="B172" s="7" t="s">
        <v>1776</v>
      </c>
      <c r="C172" s="7" t="s">
        <v>19</v>
      </c>
      <c r="D172" s="7" t="s">
        <v>2380</v>
      </c>
      <c r="E172" s="7" t="s">
        <v>2381</v>
      </c>
      <c r="F172" s="7" t="s">
        <v>2382</v>
      </c>
      <c r="G172" s="7" t="s">
        <v>1789</v>
      </c>
      <c r="J172" s="7" t="s">
        <v>2411</v>
      </c>
    </row>
    <row r="173" spans="1:10">
      <c r="A173" s="7">
        <v>172</v>
      </c>
      <c r="B173" s="7" t="s">
        <v>1776</v>
      </c>
      <c r="C173" s="7" t="s">
        <v>19</v>
      </c>
      <c r="D173" s="7" t="s">
        <v>2383</v>
      </c>
      <c r="E173" s="7" t="s">
        <v>2384</v>
      </c>
      <c r="F173" s="7" t="s">
        <v>2385</v>
      </c>
      <c r="G173" s="7" t="s">
        <v>1793</v>
      </c>
      <c r="J173" s="7" t="s">
        <v>2411</v>
      </c>
    </row>
    <row r="174" spans="1:10">
      <c r="A174" s="7">
        <v>173</v>
      </c>
      <c r="B174" s="7" t="s">
        <v>1776</v>
      </c>
      <c r="C174" s="7" t="s">
        <v>19</v>
      </c>
      <c r="D174" s="7" t="s">
        <v>2386</v>
      </c>
      <c r="E174" s="7" t="s">
        <v>2387</v>
      </c>
      <c r="F174" s="7" t="s">
        <v>2388</v>
      </c>
      <c r="G174" s="7" t="s">
        <v>1793</v>
      </c>
      <c r="J174" s="7" t="s">
        <v>2411</v>
      </c>
    </row>
    <row r="175" spans="1:10">
      <c r="A175" s="7">
        <v>174</v>
      </c>
      <c r="B175" s="7" t="s">
        <v>1776</v>
      </c>
      <c r="C175" s="7" t="s">
        <v>19</v>
      </c>
      <c r="D175" s="7" t="s">
        <v>2389</v>
      </c>
      <c r="E175" s="7" t="s">
        <v>2390</v>
      </c>
      <c r="F175" s="7" t="s">
        <v>2391</v>
      </c>
      <c r="G175" s="7" t="s">
        <v>1797</v>
      </c>
      <c r="I175" s="7" t="s">
        <v>1785</v>
      </c>
      <c r="J175" s="7" t="s">
        <v>2411</v>
      </c>
    </row>
    <row r="176" spans="1:10">
      <c r="A176" s="7">
        <v>175</v>
      </c>
      <c r="B176" s="7" t="s">
        <v>1776</v>
      </c>
      <c r="C176" s="7" t="s">
        <v>19</v>
      </c>
      <c r="D176" s="7" t="s">
        <v>2392</v>
      </c>
      <c r="E176" s="7" t="s">
        <v>2393</v>
      </c>
      <c r="F176" s="7" t="s">
        <v>2394</v>
      </c>
      <c r="G176" s="7" t="s">
        <v>1839</v>
      </c>
      <c r="J176" s="7" t="s">
        <v>2411</v>
      </c>
    </row>
    <row r="177" spans="1:10">
      <c r="A177" s="7">
        <v>176</v>
      </c>
      <c r="B177" s="7" t="s">
        <v>1776</v>
      </c>
      <c r="C177" s="7" t="s">
        <v>19</v>
      </c>
      <c r="D177" s="7" t="s">
        <v>2395</v>
      </c>
      <c r="E177" s="7" t="s">
        <v>2396</v>
      </c>
      <c r="F177" s="7" t="s">
        <v>2397</v>
      </c>
      <c r="G177" s="7" t="s">
        <v>2398</v>
      </c>
      <c r="I177" s="7" t="s">
        <v>2399</v>
      </c>
      <c r="J177" s="7" t="s">
        <v>2411</v>
      </c>
    </row>
    <row r="178" spans="1:10">
      <c r="A178" s="7">
        <v>177</v>
      </c>
      <c r="B178" s="7" t="s">
        <v>1776</v>
      </c>
      <c r="C178" s="7" t="s">
        <v>19</v>
      </c>
      <c r="D178" s="7" t="s">
        <v>2400</v>
      </c>
      <c r="E178" s="7" t="s">
        <v>2401</v>
      </c>
      <c r="F178" s="7" t="s">
        <v>2402</v>
      </c>
      <c r="G178" s="7" t="s">
        <v>1780</v>
      </c>
      <c r="J178" s="7" t="s">
        <v>2411</v>
      </c>
    </row>
    <row r="179" spans="1:10">
      <c r="A179" s="7">
        <v>178</v>
      </c>
      <c r="B179" s="7" t="s">
        <v>1776</v>
      </c>
      <c r="C179" s="7" t="s">
        <v>19</v>
      </c>
      <c r="D179" s="7" t="s">
        <v>2403</v>
      </c>
      <c r="E179" s="7" t="s">
        <v>2404</v>
      </c>
      <c r="F179" s="7" t="s">
        <v>2405</v>
      </c>
      <c r="G179" s="7" t="s">
        <v>2406</v>
      </c>
      <c r="J179" s="7" t="s">
        <v>2411</v>
      </c>
    </row>
    <row r="180" spans="1:10">
      <c r="A180" s="7">
        <v>179</v>
      </c>
      <c r="B180" s="7" t="s">
        <v>1776</v>
      </c>
      <c r="C180" s="7" t="s">
        <v>19</v>
      </c>
      <c r="D180" s="7" t="s">
        <v>2407</v>
      </c>
      <c r="E180" s="7" t="s">
        <v>2408</v>
      </c>
      <c r="F180" s="7" t="s">
        <v>2409</v>
      </c>
      <c r="G180" s="7" t="s">
        <v>2410</v>
      </c>
      <c r="J180" s="7" t="s">
        <v>2411</v>
      </c>
    </row>
    <row r="181" spans="1:10">
      <c r="A181" s="7">
        <v>1</v>
      </c>
      <c r="B181" s="7" t="s">
        <v>1776</v>
      </c>
      <c r="C181" s="7" t="s">
        <v>19</v>
      </c>
      <c r="D181" s="7" t="s">
        <v>1777</v>
      </c>
      <c r="E181" s="7" t="s">
        <v>1778</v>
      </c>
      <c r="F181" s="7" t="s">
        <v>1779</v>
      </c>
      <c r="G181" s="7" t="s">
        <v>1780</v>
      </c>
      <c r="J181" s="7" t="s">
        <v>2463</v>
      </c>
    </row>
    <row r="182" spans="1:10">
      <c r="A182" s="7">
        <v>2</v>
      </c>
      <c r="B182" s="7" t="s">
        <v>1776</v>
      </c>
      <c r="C182" s="7" t="s">
        <v>19</v>
      </c>
      <c r="D182" s="7" t="s">
        <v>1781</v>
      </c>
      <c r="E182" s="7" t="s">
        <v>1782</v>
      </c>
      <c r="F182" s="7" t="s">
        <v>1783</v>
      </c>
      <c r="G182" s="7" t="s">
        <v>1784</v>
      </c>
      <c r="I182" s="7" t="s">
        <v>1785</v>
      </c>
      <c r="J182" s="7" t="s">
        <v>2463</v>
      </c>
    </row>
    <row r="183" spans="1:10">
      <c r="A183" s="7">
        <v>3</v>
      </c>
      <c r="B183" s="7" t="s">
        <v>1776</v>
      </c>
      <c r="C183" s="7" t="s">
        <v>19</v>
      </c>
      <c r="E183" s="7" t="s">
        <v>1791</v>
      </c>
      <c r="F183" s="7" t="s">
        <v>1792</v>
      </c>
      <c r="G183" s="7" t="s">
        <v>1793</v>
      </c>
      <c r="J183" s="7" t="s">
        <v>2463</v>
      </c>
    </row>
    <row r="184" spans="1:10">
      <c r="A184" s="7">
        <v>4</v>
      </c>
      <c r="B184" s="7" t="s">
        <v>1776</v>
      </c>
      <c r="C184" s="7" t="s">
        <v>19</v>
      </c>
      <c r="D184" s="7" t="s">
        <v>1794</v>
      </c>
      <c r="E184" s="7" t="s">
        <v>1795</v>
      </c>
      <c r="F184" s="7" t="s">
        <v>1796</v>
      </c>
      <c r="G184" s="7" t="s">
        <v>1797</v>
      </c>
      <c r="I184" s="7" t="s">
        <v>1798</v>
      </c>
      <c r="J184" s="7" t="s">
        <v>2463</v>
      </c>
    </row>
    <row r="185" spans="1:10">
      <c r="A185" s="7">
        <v>5</v>
      </c>
      <c r="B185" s="7" t="s">
        <v>1776</v>
      </c>
      <c r="C185" s="7" t="s">
        <v>19</v>
      </c>
      <c r="D185" s="7" t="s">
        <v>1799</v>
      </c>
      <c r="E185" s="7" t="s">
        <v>1800</v>
      </c>
      <c r="F185" s="7" t="s">
        <v>1796</v>
      </c>
      <c r="G185" s="7" t="s">
        <v>1801</v>
      </c>
      <c r="I185" s="7" t="s">
        <v>1785</v>
      </c>
      <c r="J185" s="7" t="s">
        <v>2463</v>
      </c>
    </row>
    <row r="186" spans="1:10">
      <c r="A186" s="7">
        <v>6</v>
      </c>
      <c r="B186" s="7" t="s">
        <v>1776</v>
      </c>
      <c r="C186" s="7" t="s">
        <v>19</v>
      </c>
      <c r="D186" s="7" t="s">
        <v>1806</v>
      </c>
      <c r="E186" s="7" t="s">
        <v>1807</v>
      </c>
      <c r="F186" s="7" t="s">
        <v>1808</v>
      </c>
      <c r="G186" s="7" t="s">
        <v>1809</v>
      </c>
      <c r="J186" s="7" t="s">
        <v>2463</v>
      </c>
    </row>
    <row r="187" spans="1:10">
      <c r="A187" s="7">
        <v>7</v>
      </c>
      <c r="B187" s="7" t="s">
        <v>1776</v>
      </c>
      <c r="C187" s="7" t="s">
        <v>19</v>
      </c>
      <c r="D187" s="7" t="s">
        <v>1810</v>
      </c>
      <c r="E187" s="7" t="s">
        <v>1811</v>
      </c>
      <c r="F187" s="7" t="s">
        <v>1812</v>
      </c>
      <c r="G187" s="7" t="s">
        <v>1813</v>
      </c>
      <c r="J187" s="7" t="s">
        <v>2463</v>
      </c>
    </row>
    <row r="188" spans="1:10">
      <c r="A188" s="7">
        <v>8</v>
      </c>
      <c r="B188" s="7" t="s">
        <v>1776</v>
      </c>
      <c r="C188" s="7" t="s">
        <v>19</v>
      </c>
      <c r="D188" s="7" t="s">
        <v>2412</v>
      </c>
      <c r="E188" s="7" t="s">
        <v>2413</v>
      </c>
      <c r="F188" s="7" t="s">
        <v>2414</v>
      </c>
      <c r="G188" s="7" t="s">
        <v>1828</v>
      </c>
      <c r="I188" s="7" t="s">
        <v>2415</v>
      </c>
      <c r="J188" s="7" t="s">
        <v>2463</v>
      </c>
    </row>
    <row r="189" spans="1:10">
      <c r="A189" s="7">
        <v>9</v>
      </c>
      <c r="B189" s="7" t="s">
        <v>1776</v>
      </c>
      <c r="C189" s="7" t="s">
        <v>19</v>
      </c>
      <c r="D189" s="7" t="s">
        <v>1814</v>
      </c>
      <c r="E189" s="7" t="s">
        <v>1815</v>
      </c>
      <c r="F189" s="7" t="s">
        <v>1816</v>
      </c>
      <c r="G189" s="7" t="s">
        <v>1797</v>
      </c>
      <c r="J189" s="7" t="s">
        <v>2463</v>
      </c>
    </row>
    <row r="190" spans="1:10">
      <c r="A190" s="7">
        <v>10</v>
      </c>
      <c r="B190" s="7" t="s">
        <v>1776</v>
      </c>
      <c r="C190" s="7" t="s">
        <v>19</v>
      </c>
      <c r="D190" s="7" t="s">
        <v>2416</v>
      </c>
      <c r="E190" s="7" t="s">
        <v>2417</v>
      </c>
      <c r="F190" s="7" t="s">
        <v>2418</v>
      </c>
      <c r="G190" s="7" t="s">
        <v>1793</v>
      </c>
      <c r="J190" s="7" t="s">
        <v>2463</v>
      </c>
    </row>
    <row r="191" spans="1:10">
      <c r="A191" s="7">
        <v>11</v>
      </c>
      <c r="B191" s="7" t="s">
        <v>1776</v>
      </c>
      <c r="C191" s="7" t="s">
        <v>19</v>
      </c>
      <c r="D191" s="7" t="s">
        <v>2419</v>
      </c>
      <c r="E191" s="7" t="s">
        <v>2420</v>
      </c>
      <c r="F191" s="7" t="s">
        <v>2421</v>
      </c>
      <c r="G191" s="7" t="s">
        <v>1797</v>
      </c>
      <c r="I191" s="7" t="s">
        <v>2422</v>
      </c>
      <c r="J191" s="7" t="s">
        <v>2463</v>
      </c>
    </row>
    <row r="192" spans="1:10">
      <c r="A192" s="7">
        <v>12</v>
      </c>
      <c r="B192" s="7" t="s">
        <v>1776</v>
      </c>
      <c r="C192" s="7" t="s">
        <v>19</v>
      </c>
      <c r="D192" s="7" t="s">
        <v>1817</v>
      </c>
      <c r="E192" s="7" t="s">
        <v>1818</v>
      </c>
      <c r="F192" s="7" t="s">
        <v>1819</v>
      </c>
      <c r="G192" s="7" t="s">
        <v>1820</v>
      </c>
      <c r="J192" s="7" t="s">
        <v>2463</v>
      </c>
    </row>
    <row r="193" spans="1:10">
      <c r="A193" s="7">
        <v>13</v>
      </c>
      <c r="B193" s="7" t="s">
        <v>1776</v>
      </c>
      <c r="C193" s="7" t="s">
        <v>19</v>
      </c>
      <c r="D193" s="7" t="s">
        <v>1821</v>
      </c>
      <c r="E193" s="7" t="s">
        <v>1822</v>
      </c>
      <c r="F193" s="7" t="s">
        <v>1823</v>
      </c>
      <c r="G193" s="7" t="s">
        <v>1793</v>
      </c>
      <c r="H193" s="7" t="s">
        <v>1824</v>
      </c>
      <c r="J193" s="7" t="s">
        <v>2463</v>
      </c>
    </row>
    <row r="194" spans="1:10">
      <c r="A194" s="7">
        <v>14</v>
      </c>
      <c r="B194" s="7" t="s">
        <v>1776</v>
      </c>
      <c r="C194" s="7" t="s">
        <v>19</v>
      </c>
      <c r="D194" s="7" t="s">
        <v>1829</v>
      </c>
      <c r="E194" s="7" t="s">
        <v>1830</v>
      </c>
      <c r="F194" s="7" t="s">
        <v>1831</v>
      </c>
      <c r="G194" s="7" t="s">
        <v>1793</v>
      </c>
      <c r="J194" s="7" t="s">
        <v>2463</v>
      </c>
    </row>
    <row r="195" spans="1:10">
      <c r="A195" s="7">
        <v>15</v>
      </c>
      <c r="B195" s="7" t="s">
        <v>1776</v>
      </c>
      <c r="C195" s="7" t="s">
        <v>19</v>
      </c>
      <c r="D195" s="7" t="s">
        <v>1832</v>
      </c>
      <c r="E195" s="7" t="s">
        <v>1833</v>
      </c>
      <c r="F195" s="7" t="s">
        <v>1834</v>
      </c>
      <c r="G195" s="7" t="s">
        <v>1835</v>
      </c>
      <c r="J195" s="7" t="s">
        <v>2463</v>
      </c>
    </row>
    <row r="196" spans="1:10">
      <c r="A196" s="7">
        <v>16</v>
      </c>
      <c r="B196" s="7" t="s">
        <v>1776</v>
      </c>
      <c r="C196" s="7" t="s">
        <v>19</v>
      </c>
      <c r="D196" s="7" t="s">
        <v>1836</v>
      </c>
      <c r="E196" s="7" t="s">
        <v>1837</v>
      </c>
      <c r="F196" s="7" t="s">
        <v>1838</v>
      </c>
      <c r="G196" s="7" t="s">
        <v>1839</v>
      </c>
      <c r="J196" s="7" t="s">
        <v>2463</v>
      </c>
    </row>
    <row r="197" spans="1:10">
      <c r="A197" s="7">
        <v>17</v>
      </c>
      <c r="B197" s="7" t="s">
        <v>1776</v>
      </c>
      <c r="C197" s="7" t="s">
        <v>19</v>
      </c>
      <c r="D197" s="7" t="s">
        <v>1863</v>
      </c>
      <c r="E197" s="7" t="s">
        <v>1864</v>
      </c>
      <c r="F197" s="7" t="s">
        <v>1865</v>
      </c>
      <c r="G197" s="7" t="s">
        <v>1854</v>
      </c>
      <c r="H197" s="7" t="s">
        <v>1866</v>
      </c>
      <c r="J197" s="7" t="s">
        <v>2463</v>
      </c>
    </row>
    <row r="198" spans="1:10">
      <c r="A198" s="7">
        <v>18</v>
      </c>
      <c r="B198" s="7" t="s">
        <v>1776</v>
      </c>
      <c r="C198" s="7" t="s">
        <v>19</v>
      </c>
      <c r="D198" s="7" t="s">
        <v>1873</v>
      </c>
      <c r="E198" s="7" t="s">
        <v>1874</v>
      </c>
      <c r="F198" s="7" t="s">
        <v>1875</v>
      </c>
      <c r="G198" s="7" t="s">
        <v>1876</v>
      </c>
      <c r="H198" s="7" t="s">
        <v>1877</v>
      </c>
      <c r="J198" s="7" t="s">
        <v>2463</v>
      </c>
    </row>
    <row r="199" spans="1:10">
      <c r="A199" s="7">
        <v>19</v>
      </c>
      <c r="B199" s="7" t="s">
        <v>1776</v>
      </c>
      <c r="C199" s="7" t="s">
        <v>19</v>
      </c>
      <c r="D199" s="7" t="s">
        <v>1878</v>
      </c>
      <c r="E199" s="7" t="s">
        <v>1879</v>
      </c>
      <c r="F199" s="7" t="s">
        <v>1880</v>
      </c>
      <c r="G199" s="7" t="s">
        <v>1881</v>
      </c>
      <c r="J199" s="7" t="s">
        <v>2463</v>
      </c>
    </row>
    <row r="200" spans="1:10">
      <c r="A200" s="7">
        <v>20</v>
      </c>
      <c r="B200" s="7" t="s">
        <v>1776</v>
      </c>
      <c r="C200" s="7" t="s">
        <v>19</v>
      </c>
      <c r="D200" s="7" t="s">
        <v>1882</v>
      </c>
      <c r="E200" s="7" t="s">
        <v>1883</v>
      </c>
      <c r="F200" s="7" t="s">
        <v>1884</v>
      </c>
      <c r="G200" s="7" t="s">
        <v>1885</v>
      </c>
      <c r="J200" s="7" t="s">
        <v>2463</v>
      </c>
    </row>
    <row r="201" spans="1:10">
      <c r="A201" s="7">
        <v>21</v>
      </c>
      <c r="B201" s="7" t="s">
        <v>1776</v>
      </c>
      <c r="C201" s="7" t="s">
        <v>19</v>
      </c>
      <c r="D201" s="7" t="s">
        <v>1886</v>
      </c>
      <c r="E201" s="7" t="s">
        <v>1887</v>
      </c>
      <c r="F201" s="7" t="s">
        <v>1888</v>
      </c>
      <c r="G201" s="7" t="s">
        <v>1885</v>
      </c>
      <c r="H201" s="7" t="s">
        <v>1889</v>
      </c>
      <c r="I201" s="7" t="s">
        <v>1785</v>
      </c>
      <c r="J201" s="7" t="s">
        <v>2463</v>
      </c>
    </row>
    <row r="202" spans="1:10">
      <c r="A202" s="7">
        <v>22</v>
      </c>
      <c r="B202" s="7" t="s">
        <v>1776</v>
      </c>
      <c r="C202" s="7" t="s">
        <v>19</v>
      </c>
      <c r="D202" s="7" t="s">
        <v>1890</v>
      </c>
      <c r="E202" s="7" t="s">
        <v>1891</v>
      </c>
      <c r="F202" s="7" t="s">
        <v>1884</v>
      </c>
      <c r="G202" s="7" t="s">
        <v>1892</v>
      </c>
      <c r="J202" s="7" t="s">
        <v>2463</v>
      </c>
    </row>
    <row r="203" spans="1:10">
      <c r="A203" s="7">
        <v>23</v>
      </c>
      <c r="B203" s="7" t="s">
        <v>1776</v>
      </c>
      <c r="C203" s="7" t="s">
        <v>19</v>
      </c>
      <c r="D203" s="7" t="s">
        <v>1899</v>
      </c>
      <c r="E203" s="7" t="s">
        <v>1900</v>
      </c>
      <c r="F203" s="7" t="s">
        <v>1901</v>
      </c>
      <c r="G203" s="7" t="s">
        <v>1902</v>
      </c>
      <c r="J203" s="7" t="s">
        <v>2463</v>
      </c>
    </row>
    <row r="204" spans="1:10">
      <c r="A204" s="7">
        <v>24</v>
      </c>
      <c r="B204" s="7" t="s">
        <v>1776</v>
      </c>
      <c r="C204" s="7" t="s">
        <v>19</v>
      </c>
      <c r="D204" s="7" t="s">
        <v>1903</v>
      </c>
      <c r="E204" s="7" t="s">
        <v>1904</v>
      </c>
      <c r="F204" s="7" t="s">
        <v>1905</v>
      </c>
      <c r="G204" s="7" t="s">
        <v>1784</v>
      </c>
      <c r="J204" s="7" t="s">
        <v>2463</v>
      </c>
    </row>
    <row r="205" spans="1:10">
      <c r="A205" s="7">
        <v>25</v>
      </c>
      <c r="B205" s="7" t="s">
        <v>1776</v>
      </c>
      <c r="C205" s="7" t="s">
        <v>19</v>
      </c>
      <c r="D205" s="7" t="s">
        <v>1906</v>
      </c>
      <c r="E205" s="7" t="s">
        <v>1907</v>
      </c>
      <c r="F205" s="7" t="s">
        <v>1908</v>
      </c>
      <c r="G205" s="7" t="s">
        <v>1839</v>
      </c>
      <c r="I205" s="7" t="s">
        <v>1909</v>
      </c>
      <c r="J205" s="7" t="s">
        <v>2463</v>
      </c>
    </row>
    <row r="206" spans="1:10">
      <c r="A206" s="7">
        <v>26</v>
      </c>
      <c r="B206" s="7" t="s">
        <v>1776</v>
      </c>
      <c r="C206" s="7" t="s">
        <v>19</v>
      </c>
      <c r="D206" s="7" t="s">
        <v>1910</v>
      </c>
      <c r="E206" s="7" t="s">
        <v>1911</v>
      </c>
      <c r="F206" s="7" t="s">
        <v>1912</v>
      </c>
      <c r="G206" s="7" t="s">
        <v>1839</v>
      </c>
      <c r="J206" s="7" t="s">
        <v>2463</v>
      </c>
    </row>
    <row r="207" spans="1:10">
      <c r="A207" s="7">
        <v>27</v>
      </c>
      <c r="B207" s="7" t="s">
        <v>1776</v>
      </c>
      <c r="C207" s="7" t="s">
        <v>19</v>
      </c>
      <c r="D207" s="7" t="s">
        <v>1916</v>
      </c>
      <c r="E207" s="7" t="s">
        <v>1917</v>
      </c>
      <c r="F207" s="7" t="s">
        <v>1918</v>
      </c>
      <c r="G207" s="7" t="s">
        <v>1839</v>
      </c>
      <c r="J207" s="7" t="s">
        <v>2463</v>
      </c>
    </row>
    <row r="208" spans="1:10">
      <c r="A208" s="7">
        <v>28</v>
      </c>
      <c r="B208" s="7" t="s">
        <v>1776</v>
      </c>
      <c r="C208" s="7" t="s">
        <v>19</v>
      </c>
      <c r="D208" s="7" t="s">
        <v>1923</v>
      </c>
      <c r="E208" s="7" t="s">
        <v>1924</v>
      </c>
      <c r="F208" s="7" t="s">
        <v>1925</v>
      </c>
      <c r="G208" s="7" t="s">
        <v>1922</v>
      </c>
      <c r="H208" s="7" t="s">
        <v>1926</v>
      </c>
      <c r="J208" s="7" t="s">
        <v>2463</v>
      </c>
    </row>
    <row r="209" spans="1:10">
      <c r="A209" s="7">
        <v>29</v>
      </c>
      <c r="B209" s="7" t="s">
        <v>1776</v>
      </c>
      <c r="C209" s="7" t="s">
        <v>19</v>
      </c>
      <c r="D209" s="7" t="s">
        <v>1927</v>
      </c>
      <c r="E209" s="7" t="s">
        <v>1928</v>
      </c>
      <c r="F209" s="7" t="s">
        <v>1929</v>
      </c>
      <c r="G209" s="7" t="s">
        <v>1789</v>
      </c>
      <c r="H209" s="7" t="s">
        <v>1930</v>
      </c>
      <c r="J209" s="7" t="s">
        <v>2463</v>
      </c>
    </row>
    <row r="210" spans="1:10">
      <c r="A210" s="7">
        <v>30</v>
      </c>
      <c r="B210" s="7" t="s">
        <v>1776</v>
      </c>
      <c r="C210" s="7" t="s">
        <v>19</v>
      </c>
      <c r="D210" s="7" t="s">
        <v>1946</v>
      </c>
      <c r="E210" s="7" t="s">
        <v>1947</v>
      </c>
      <c r="F210" s="7" t="s">
        <v>1948</v>
      </c>
      <c r="G210" s="7" t="s">
        <v>1902</v>
      </c>
      <c r="I210" s="7" t="s">
        <v>1949</v>
      </c>
      <c r="J210" s="7" t="s">
        <v>2463</v>
      </c>
    </row>
    <row r="211" spans="1:10">
      <c r="A211" s="7">
        <v>31</v>
      </c>
      <c r="B211" s="7" t="s">
        <v>1776</v>
      </c>
      <c r="C211" s="7" t="s">
        <v>19</v>
      </c>
      <c r="D211" s="7" t="s">
        <v>1950</v>
      </c>
      <c r="E211" s="7" t="s">
        <v>1951</v>
      </c>
      <c r="F211" s="7" t="s">
        <v>1952</v>
      </c>
      <c r="G211" s="7" t="s">
        <v>1902</v>
      </c>
      <c r="J211" s="7" t="s">
        <v>2463</v>
      </c>
    </row>
    <row r="212" spans="1:10">
      <c r="A212" s="7">
        <v>32</v>
      </c>
      <c r="B212" s="7" t="s">
        <v>1776</v>
      </c>
      <c r="C212" s="7" t="s">
        <v>19</v>
      </c>
      <c r="D212" s="7" t="s">
        <v>1953</v>
      </c>
      <c r="E212" s="7" t="s">
        <v>1954</v>
      </c>
      <c r="F212" s="7" t="s">
        <v>1955</v>
      </c>
      <c r="G212" s="7" t="s">
        <v>1902</v>
      </c>
      <c r="I212" s="7" t="s">
        <v>1956</v>
      </c>
      <c r="J212" s="7" t="s">
        <v>2463</v>
      </c>
    </row>
    <row r="213" spans="1:10">
      <c r="A213" s="7">
        <v>33</v>
      </c>
      <c r="B213" s="7" t="s">
        <v>1776</v>
      </c>
      <c r="C213" s="7" t="s">
        <v>19</v>
      </c>
      <c r="D213" s="7" t="s">
        <v>1957</v>
      </c>
      <c r="E213" s="7" t="s">
        <v>1954</v>
      </c>
      <c r="F213" s="7" t="s">
        <v>1958</v>
      </c>
      <c r="G213" s="7" t="s">
        <v>1902</v>
      </c>
      <c r="J213" s="7" t="s">
        <v>2463</v>
      </c>
    </row>
    <row r="214" spans="1:10">
      <c r="A214" s="7">
        <v>34</v>
      </c>
      <c r="B214" s="7" t="s">
        <v>1776</v>
      </c>
      <c r="C214" s="7" t="s">
        <v>19</v>
      </c>
      <c r="D214" s="7" t="s">
        <v>1959</v>
      </c>
      <c r="E214" s="7" t="s">
        <v>1954</v>
      </c>
      <c r="F214" s="7" t="s">
        <v>1960</v>
      </c>
      <c r="G214" s="7" t="s">
        <v>1839</v>
      </c>
      <c r="J214" s="7" t="s">
        <v>2463</v>
      </c>
    </row>
    <row r="215" spans="1:10">
      <c r="A215" s="7">
        <v>35</v>
      </c>
      <c r="B215" s="7" t="s">
        <v>1776</v>
      </c>
      <c r="C215" s="7" t="s">
        <v>19</v>
      </c>
      <c r="D215" s="7" t="s">
        <v>1961</v>
      </c>
      <c r="E215" s="7" t="s">
        <v>1962</v>
      </c>
      <c r="F215" s="7" t="s">
        <v>1963</v>
      </c>
      <c r="G215" s="7" t="s">
        <v>1839</v>
      </c>
      <c r="H215" s="7" t="s">
        <v>1964</v>
      </c>
      <c r="I215" s="7" t="s">
        <v>1965</v>
      </c>
      <c r="J215" s="7" t="s">
        <v>2463</v>
      </c>
    </row>
    <row r="216" spans="1:10">
      <c r="A216" s="7">
        <v>36</v>
      </c>
      <c r="B216" s="7" t="s">
        <v>1776</v>
      </c>
      <c r="C216" s="7" t="s">
        <v>19</v>
      </c>
      <c r="D216" s="7" t="s">
        <v>2423</v>
      </c>
      <c r="E216" s="7" t="s">
        <v>2424</v>
      </c>
      <c r="F216" s="7" t="s">
        <v>2425</v>
      </c>
      <c r="G216" s="7" t="s">
        <v>1876</v>
      </c>
      <c r="J216" s="7" t="s">
        <v>2463</v>
      </c>
    </row>
    <row r="217" spans="1:10">
      <c r="A217" s="7">
        <v>37</v>
      </c>
      <c r="B217" s="7" t="s">
        <v>1776</v>
      </c>
      <c r="C217" s="7" t="s">
        <v>19</v>
      </c>
      <c r="D217" s="7" t="s">
        <v>1982</v>
      </c>
      <c r="E217" s="7" t="s">
        <v>1983</v>
      </c>
      <c r="F217" s="7" t="s">
        <v>1984</v>
      </c>
      <c r="G217" s="7" t="s">
        <v>1902</v>
      </c>
      <c r="J217" s="7" t="s">
        <v>2463</v>
      </c>
    </row>
    <row r="218" spans="1:10">
      <c r="A218" s="7">
        <v>38</v>
      </c>
      <c r="B218" s="7" t="s">
        <v>1776</v>
      </c>
      <c r="C218" s="7" t="s">
        <v>19</v>
      </c>
      <c r="D218" s="7" t="s">
        <v>1989</v>
      </c>
      <c r="E218" s="7" t="s">
        <v>1990</v>
      </c>
      <c r="F218" s="7" t="s">
        <v>1991</v>
      </c>
      <c r="G218" s="7" t="s">
        <v>1902</v>
      </c>
      <c r="I218" s="7" t="s">
        <v>1992</v>
      </c>
      <c r="J218" s="7" t="s">
        <v>2463</v>
      </c>
    </row>
    <row r="219" spans="1:10">
      <c r="A219" s="7">
        <v>39</v>
      </c>
      <c r="B219" s="7" t="s">
        <v>1776</v>
      </c>
      <c r="C219" s="7" t="s">
        <v>19</v>
      </c>
      <c r="D219" s="7" t="s">
        <v>1993</v>
      </c>
      <c r="E219" s="7" t="s">
        <v>1994</v>
      </c>
      <c r="F219" s="7" t="s">
        <v>1995</v>
      </c>
      <c r="G219" s="7" t="s">
        <v>1902</v>
      </c>
      <c r="I219" s="7" t="s">
        <v>1996</v>
      </c>
      <c r="J219" s="7" t="s">
        <v>2463</v>
      </c>
    </row>
    <row r="220" spans="1:10">
      <c r="A220" s="7">
        <v>40</v>
      </c>
      <c r="B220" s="7" t="s">
        <v>1776</v>
      </c>
      <c r="C220" s="7" t="s">
        <v>19</v>
      </c>
      <c r="D220" s="7" t="s">
        <v>2007</v>
      </c>
      <c r="E220" s="7" t="s">
        <v>2008</v>
      </c>
      <c r="F220" s="7" t="s">
        <v>2009</v>
      </c>
      <c r="G220" s="7" t="s">
        <v>1902</v>
      </c>
      <c r="J220" s="7" t="s">
        <v>2463</v>
      </c>
    </row>
    <row r="221" spans="1:10">
      <c r="A221" s="7">
        <v>41</v>
      </c>
      <c r="B221" s="7" t="s">
        <v>1776</v>
      </c>
      <c r="C221" s="7" t="s">
        <v>19</v>
      </c>
      <c r="D221" s="7" t="s">
        <v>2024</v>
      </c>
      <c r="E221" s="7" t="s">
        <v>2025</v>
      </c>
      <c r="F221" s="7" t="s">
        <v>2026</v>
      </c>
      <c r="G221" s="7" t="s">
        <v>1846</v>
      </c>
      <c r="H221" s="7" t="s">
        <v>2027</v>
      </c>
      <c r="I221" s="7" t="s">
        <v>2028</v>
      </c>
      <c r="J221" s="7" t="s">
        <v>2463</v>
      </c>
    </row>
    <row r="222" spans="1:10">
      <c r="A222" s="7">
        <v>42</v>
      </c>
      <c r="B222" s="7" t="s">
        <v>1776</v>
      </c>
      <c r="C222" s="7" t="s">
        <v>19</v>
      </c>
      <c r="D222" s="7" t="s">
        <v>2029</v>
      </c>
      <c r="E222" s="7" t="s">
        <v>2030</v>
      </c>
      <c r="F222" s="7" t="s">
        <v>2031</v>
      </c>
      <c r="G222" s="7" t="s">
        <v>1839</v>
      </c>
      <c r="J222" s="7" t="s">
        <v>2463</v>
      </c>
    </row>
    <row r="223" spans="1:10">
      <c r="A223" s="7">
        <v>43</v>
      </c>
      <c r="B223" s="7" t="s">
        <v>1776</v>
      </c>
      <c r="C223" s="7" t="s">
        <v>19</v>
      </c>
      <c r="D223" s="7" t="s">
        <v>2032</v>
      </c>
      <c r="E223" s="7" t="s">
        <v>2033</v>
      </c>
      <c r="F223" s="7" t="s">
        <v>2034</v>
      </c>
      <c r="G223" s="7" t="s">
        <v>2000</v>
      </c>
      <c r="I223" s="7" t="s">
        <v>2035</v>
      </c>
      <c r="J223" s="7" t="s">
        <v>2463</v>
      </c>
    </row>
    <row r="224" spans="1:10">
      <c r="A224" s="7">
        <v>44</v>
      </c>
      <c r="B224" s="7" t="s">
        <v>1776</v>
      </c>
      <c r="C224" s="7" t="s">
        <v>19</v>
      </c>
      <c r="D224" s="7" t="s">
        <v>2066</v>
      </c>
      <c r="E224" s="7" t="s">
        <v>2067</v>
      </c>
      <c r="F224" s="7" t="s">
        <v>2068</v>
      </c>
      <c r="G224" s="7" t="s">
        <v>1839</v>
      </c>
      <c r="J224" s="7" t="s">
        <v>2463</v>
      </c>
    </row>
    <row r="225" spans="1:10">
      <c r="A225" s="7">
        <v>45</v>
      </c>
      <c r="B225" s="7" t="s">
        <v>1776</v>
      </c>
      <c r="C225" s="7" t="s">
        <v>19</v>
      </c>
      <c r="D225" s="7" t="s">
        <v>2069</v>
      </c>
      <c r="E225" s="7" t="s">
        <v>2070</v>
      </c>
      <c r="F225" s="7" t="s">
        <v>2071</v>
      </c>
      <c r="G225" s="7" t="s">
        <v>1839</v>
      </c>
      <c r="I225" s="7" t="s">
        <v>2072</v>
      </c>
      <c r="J225" s="7" t="s">
        <v>2463</v>
      </c>
    </row>
    <row r="226" spans="1:10">
      <c r="A226" s="7">
        <v>46</v>
      </c>
      <c r="B226" s="7" t="s">
        <v>1776</v>
      </c>
      <c r="C226" s="7" t="s">
        <v>19</v>
      </c>
      <c r="D226" s="7" t="s">
        <v>2076</v>
      </c>
      <c r="E226" s="7" t="s">
        <v>2077</v>
      </c>
      <c r="F226" s="7" t="s">
        <v>2078</v>
      </c>
      <c r="G226" s="7" t="s">
        <v>1805</v>
      </c>
      <c r="J226" s="7" t="s">
        <v>2463</v>
      </c>
    </row>
    <row r="227" spans="1:10">
      <c r="A227" s="7">
        <v>47</v>
      </c>
      <c r="B227" s="7" t="s">
        <v>1776</v>
      </c>
      <c r="C227" s="7" t="s">
        <v>19</v>
      </c>
      <c r="D227" s="7" t="s">
        <v>2082</v>
      </c>
      <c r="E227" s="7" t="s">
        <v>2083</v>
      </c>
      <c r="F227" s="7" t="s">
        <v>2084</v>
      </c>
      <c r="G227" s="7" t="s">
        <v>1805</v>
      </c>
      <c r="I227" s="7" t="s">
        <v>2085</v>
      </c>
      <c r="J227" s="7" t="s">
        <v>2463</v>
      </c>
    </row>
    <row r="228" spans="1:10">
      <c r="A228" s="7">
        <v>48</v>
      </c>
      <c r="B228" s="7" t="s">
        <v>1776</v>
      </c>
      <c r="C228" s="7" t="s">
        <v>19</v>
      </c>
      <c r="D228" s="7" t="s">
        <v>2086</v>
      </c>
      <c r="E228" s="7" t="s">
        <v>2087</v>
      </c>
      <c r="F228" s="7" t="s">
        <v>2088</v>
      </c>
      <c r="G228" s="7" t="s">
        <v>1902</v>
      </c>
      <c r="J228" s="7" t="s">
        <v>2463</v>
      </c>
    </row>
    <row r="229" spans="1:10">
      <c r="A229" s="7">
        <v>49</v>
      </c>
      <c r="B229" s="7" t="s">
        <v>1776</v>
      </c>
      <c r="C229" s="7" t="s">
        <v>19</v>
      </c>
      <c r="D229" s="7" t="s">
        <v>2102</v>
      </c>
      <c r="E229" s="7" t="s">
        <v>2103</v>
      </c>
      <c r="F229" s="7" t="s">
        <v>2104</v>
      </c>
      <c r="G229" s="7" t="s">
        <v>2000</v>
      </c>
      <c r="J229" s="7" t="s">
        <v>2463</v>
      </c>
    </row>
    <row r="230" spans="1:10">
      <c r="A230" s="7">
        <v>50</v>
      </c>
      <c r="B230" s="7" t="s">
        <v>1776</v>
      </c>
      <c r="C230" s="7" t="s">
        <v>19</v>
      </c>
      <c r="D230" s="7" t="s">
        <v>2105</v>
      </c>
      <c r="E230" s="7" t="s">
        <v>2106</v>
      </c>
      <c r="F230" s="7" t="s">
        <v>2107</v>
      </c>
      <c r="G230" s="7" t="s">
        <v>1789</v>
      </c>
      <c r="I230" s="7" t="s">
        <v>2108</v>
      </c>
      <c r="J230" s="7" t="s">
        <v>2463</v>
      </c>
    </row>
    <row r="231" spans="1:10">
      <c r="A231" s="7">
        <v>51</v>
      </c>
      <c r="B231" s="7" t="s">
        <v>1776</v>
      </c>
      <c r="C231" s="7" t="s">
        <v>19</v>
      </c>
      <c r="D231" s="7" t="s">
        <v>2118</v>
      </c>
      <c r="E231" s="7" t="s">
        <v>2119</v>
      </c>
      <c r="F231" s="7" t="s">
        <v>2120</v>
      </c>
      <c r="G231" s="7" t="s">
        <v>1789</v>
      </c>
      <c r="J231" s="7" t="s">
        <v>2463</v>
      </c>
    </row>
    <row r="232" spans="1:10">
      <c r="A232" s="7">
        <v>52</v>
      </c>
      <c r="B232" s="7" t="s">
        <v>1776</v>
      </c>
      <c r="C232" s="7" t="s">
        <v>19</v>
      </c>
      <c r="D232" s="7" t="s">
        <v>2135</v>
      </c>
      <c r="E232" s="7" t="s">
        <v>2136</v>
      </c>
      <c r="F232" s="7" t="s">
        <v>2137</v>
      </c>
      <c r="G232" s="7" t="s">
        <v>1839</v>
      </c>
      <c r="J232" s="7" t="s">
        <v>2463</v>
      </c>
    </row>
    <row r="233" spans="1:10">
      <c r="A233" s="7">
        <v>53</v>
      </c>
      <c r="B233" s="7" t="s">
        <v>1776</v>
      </c>
      <c r="C233" s="7" t="s">
        <v>19</v>
      </c>
      <c r="D233" s="7" t="s">
        <v>2138</v>
      </c>
      <c r="E233" s="7" t="s">
        <v>2139</v>
      </c>
      <c r="F233" s="7" t="s">
        <v>2140</v>
      </c>
      <c r="G233" s="7" t="s">
        <v>2045</v>
      </c>
      <c r="J233" s="7" t="s">
        <v>2463</v>
      </c>
    </row>
    <row r="234" spans="1:10">
      <c r="A234" s="7">
        <v>54</v>
      </c>
      <c r="B234" s="7" t="s">
        <v>1776</v>
      </c>
      <c r="C234" s="7" t="s">
        <v>19</v>
      </c>
      <c r="D234" s="7" t="s">
        <v>2141</v>
      </c>
      <c r="E234" s="7" t="s">
        <v>2142</v>
      </c>
      <c r="F234" s="7" t="s">
        <v>2143</v>
      </c>
      <c r="G234" s="7" t="s">
        <v>1805</v>
      </c>
      <c r="J234" s="7" t="s">
        <v>2463</v>
      </c>
    </row>
    <row r="235" spans="1:10">
      <c r="A235" s="7">
        <v>55</v>
      </c>
      <c r="B235" s="7" t="s">
        <v>1776</v>
      </c>
      <c r="C235" s="7" t="s">
        <v>19</v>
      </c>
      <c r="D235" s="7" t="s">
        <v>2149</v>
      </c>
      <c r="E235" s="7" t="s">
        <v>2150</v>
      </c>
      <c r="F235" s="7" t="s">
        <v>2151</v>
      </c>
      <c r="G235" s="7" t="s">
        <v>1846</v>
      </c>
      <c r="J235" s="7" t="s">
        <v>2463</v>
      </c>
    </row>
    <row r="236" spans="1:10">
      <c r="A236" s="7">
        <v>56</v>
      </c>
      <c r="B236" s="7" t="s">
        <v>1776</v>
      </c>
      <c r="C236" s="7" t="s">
        <v>19</v>
      </c>
      <c r="D236" s="7" t="s">
        <v>2152</v>
      </c>
      <c r="E236" s="7" t="s">
        <v>2153</v>
      </c>
      <c r="F236" s="7" t="s">
        <v>2154</v>
      </c>
      <c r="G236" s="7" t="s">
        <v>1793</v>
      </c>
      <c r="I236" s="7" t="s">
        <v>2155</v>
      </c>
      <c r="J236" s="7" t="s">
        <v>2463</v>
      </c>
    </row>
    <row r="237" spans="1:10">
      <c r="A237" s="7">
        <v>57</v>
      </c>
      <c r="B237" s="7" t="s">
        <v>1776</v>
      </c>
      <c r="C237" s="7" t="s">
        <v>19</v>
      </c>
      <c r="D237" s="7" t="s">
        <v>2156</v>
      </c>
      <c r="E237" s="7" t="s">
        <v>2157</v>
      </c>
      <c r="F237" s="7" t="s">
        <v>2158</v>
      </c>
      <c r="G237" s="7" t="s">
        <v>1902</v>
      </c>
      <c r="I237" s="7" t="s">
        <v>2159</v>
      </c>
      <c r="J237" s="7" t="s">
        <v>2463</v>
      </c>
    </row>
    <row r="238" spans="1:10">
      <c r="A238" s="7">
        <v>58</v>
      </c>
      <c r="B238" s="7" t="s">
        <v>1776</v>
      </c>
      <c r="C238" s="7" t="s">
        <v>19</v>
      </c>
      <c r="D238" s="7" t="s">
        <v>2167</v>
      </c>
      <c r="E238" s="7" t="s">
        <v>2168</v>
      </c>
      <c r="F238" s="7" t="s">
        <v>2169</v>
      </c>
      <c r="G238" s="7" t="s">
        <v>1805</v>
      </c>
      <c r="I238" s="7" t="s">
        <v>1945</v>
      </c>
      <c r="J238" s="7" t="s">
        <v>2463</v>
      </c>
    </row>
    <row r="239" spans="1:10">
      <c r="A239" s="7">
        <v>59</v>
      </c>
      <c r="B239" s="7" t="s">
        <v>1776</v>
      </c>
      <c r="C239" s="7" t="s">
        <v>19</v>
      </c>
      <c r="D239" s="7" t="s">
        <v>2177</v>
      </c>
      <c r="E239" s="7" t="s">
        <v>2178</v>
      </c>
      <c r="F239" s="7" t="s">
        <v>2179</v>
      </c>
      <c r="G239" s="7" t="s">
        <v>1902</v>
      </c>
      <c r="I239" s="7" t="s">
        <v>2180</v>
      </c>
      <c r="J239" s="7" t="s">
        <v>2463</v>
      </c>
    </row>
    <row r="240" spans="1:10">
      <c r="A240" s="7">
        <v>60</v>
      </c>
      <c r="B240" s="7" t="s">
        <v>1776</v>
      </c>
      <c r="C240" s="7" t="s">
        <v>19</v>
      </c>
      <c r="D240" s="7" t="s">
        <v>2185</v>
      </c>
      <c r="E240" s="7" t="s">
        <v>2186</v>
      </c>
      <c r="F240" s="7" t="s">
        <v>2187</v>
      </c>
      <c r="G240" s="7" t="s">
        <v>1876</v>
      </c>
      <c r="J240" s="7" t="s">
        <v>2463</v>
      </c>
    </row>
    <row r="241" spans="1:10">
      <c r="A241" s="7">
        <v>61</v>
      </c>
      <c r="B241" s="7" t="s">
        <v>1776</v>
      </c>
      <c r="C241" s="7" t="s">
        <v>19</v>
      </c>
      <c r="D241" s="7" t="s">
        <v>2426</v>
      </c>
      <c r="E241" s="7" t="s">
        <v>2427</v>
      </c>
      <c r="F241" s="7" t="s">
        <v>2428</v>
      </c>
      <c r="G241" s="7" t="s">
        <v>1828</v>
      </c>
      <c r="J241" s="7" t="s">
        <v>2463</v>
      </c>
    </row>
    <row r="242" spans="1:10">
      <c r="A242" s="7">
        <v>62</v>
      </c>
      <c r="B242" s="7" t="s">
        <v>1776</v>
      </c>
      <c r="C242" s="7" t="s">
        <v>19</v>
      </c>
      <c r="D242" s="7" t="s">
        <v>2192</v>
      </c>
      <c r="E242" s="7" t="s">
        <v>2193</v>
      </c>
      <c r="F242" s="7" t="s">
        <v>2194</v>
      </c>
      <c r="G242" s="7" t="s">
        <v>1805</v>
      </c>
      <c r="H242" s="7" t="s">
        <v>2195</v>
      </c>
      <c r="J242" s="7" t="s">
        <v>2463</v>
      </c>
    </row>
    <row r="243" spans="1:10">
      <c r="A243" s="7">
        <v>63</v>
      </c>
      <c r="B243" s="7" t="s">
        <v>1776</v>
      </c>
      <c r="C243" s="7" t="s">
        <v>19</v>
      </c>
      <c r="D243" s="7" t="s">
        <v>2429</v>
      </c>
      <c r="E243" s="7" t="s">
        <v>2430</v>
      </c>
      <c r="F243" s="7" t="s">
        <v>2431</v>
      </c>
      <c r="G243" s="7" t="s">
        <v>1805</v>
      </c>
      <c r="J243" s="7" t="s">
        <v>2463</v>
      </c>
    </row>
    <row r="244" spans="1:10">
      <c r="A244" s="7">
        <v>64</v>
      </c>
      <c r="B244" s="7" t="s">
        <v>1776</v>
      </c>
      <c r="C244" s="7" t="s">
        <v>19</v>
      </c>
      <c r="D244" s="7" t="s">
        <v>2200</v>
      </c>
      <c r="E244" s="7" t="s">
        <v>2201</v>
      </c>
      <c r="F244" s="7" t="s">
        <v>2202</v>
      </c>
      <c r="G244" s="7" t="s">
        <v>1839</v>
      </c>
      <c r="H244" s="7" t="s">
        <v>2203</v>
      </c>
      <c r="I244" s="7" t="s">
        <v>2204</v>
      </c>
      <c r="J244" s="7" t="s">
        <v>2463</v>
      </c>
    </row>
    <row r="245" spans="1:10">
      <c r="A245" s="7">
        <v>65</v>
      </c>
      <c r="B245" s="7" t="s">
        <v>1776</v>
      </c>
      <c r="C245" s="7" t="s">
        <v>19</v>
      </c>
      <c r="D245" s="7" t="s">
        <v>2205</v>
      </c>
      <c r="E245" s="7" t="s">
        <v>2201</v>
      </c>
      <c r="F245" s="7" t="s">
        <v>2206</v>
      </c>
      <c r="G245" s="7" t="s">
        <v>1839</v>
      </c>
      <c r="J245" s="7" t="s">
        <v>2463</v>
      </c>
    </row>
    <row r="246" spans="1:10">
      <c r="A246" s="7">
        <v>66</v>
      </c>
      <c r="B246" s="7" t="s">
        <v>1776</v>
      </c>
      <c r="C246" s="7" t="s">
        <v>19</v>
      </c>
      <c r="D246" s="7" t="s">
        <v>2207</v>
      </c>
      <c r="E246" s="7" t="s">
        <v>2201</v>
      </c>
      <c r="F246" s="7" t="s">
        <v>2208</v>
      </c>
      <c r="G246" s="7" t="s">
        <v>1793</v>
      </c>
      <c r="J246" s="7" t="s">
        <v>2463</v>
      </c>
    </row>
    <row r="247" spans="1:10">
      <c r="A247" s="7">
        <v>67</v>
      </c>
      <c r="B247" s="7" t="s">
        <v>1776</v>
      </c>
      <c r="C247" s="7" t="s">
        <v>19</v>
      </c>
      <c r="D247" s="7" t="s">
        <v>2209</v>
      </c>
      <c r="E247" s="7" t="s">
        <v>2210</v>
      </c>
      <c r="F247" s="7" t="s">
        <v>2211</v>
      </c>
      <c r="G247" s="7" t="s">
        <v>1839</v>
      </c>
      <c r="J247" s="7" t="s">
        <v>2463</v>
      </c>
    </row>
    <row r="248" spans="1:10">
      <c r="A248" s="7">
        <v>68</v>
      </c>
      <c r="B248" s="7" t="s">
        <v>1776</v>
      </c>
      <c r="C248" s="7" t="s">
        <v>19</v>
      </c>
      <c r="D248" s="7" t="s">
        <v>2432</v>
      </c>
      <c r="E248" s="7" t="s">
        <v>2433</v>
      </c>
      <c r="F248" s="7" t="s">
        <v>2434</v>
      </c>
      <c r="G248" s="7" t="s">
        <v>1828</v>
      </c>
      <c r="J248" s="7" t="s">
        <v>2463</v>
      </c>
    </row>
    <row r="249" spans="1:10">
      <c r="A249" s="7">
        <v>69</v>
      </c>
      <c r="B249" s="7" t="s">
        <v>1776</v>
      </c>
      <c r="C249" s="7" t="s">
        <v>19</v>
      </c>
      <c r="D249" s="7" t="s">
        <v>2216</v>
      </c>
      <c r="E249" s="7" t="s">
        <v>2217</v>
      </c>
      <c r="F249" s="7" t="s">
        <v>2218</v>
      </c>
      <c r="G249" s="7" t="s">
        <v>1902</v>
      </c>
      <c r="J249" s="7" t="s">
        <v>2463</v>
      </c>
    </row>
    <row r="250" spans="1:10">
      <c r="A250" s="7">
        <v>70</v>
      </c>
      <c r="B250" s="7" t="s">
        <v>1776</v>
      </c>
      <c r="C250" s="7" t="s">
        <v>19</v>
      </c>
      <c r="D250" s="7" t="s">
        <v>2219</v>
      </c>
      <c r="E250" s="7" t="s">
        <v>2220</v>
      </c>
      <c r="F250" s="7" t="s">
        <v>2221</v>
      </c>
      <c r="G250" s="7" t="s">
        <v>1846</v>
      </c>
      <c r="J250" s="7" t="s">
        <v>2463</v>
      </c>
    </row>
    <row r="251" spans="1:10">
      <c r="A251" s="7">
        <v>71</v>
      </c>
      <c r="B251" s="7" t="s">
        <v>1776</v>
      </c>
      <c r="C251" s="7" t="s">
        <v>19</v>
      </c>
      <c r="D251" s="7" t="s">
        <v>2232</v>
      </c>
      <c r="E251" s="7" t="s">
        <v>2233</v>
      </c>
      <c r="F251" s="7" t="s">
        <v>2234</v>
      </c>
      <c r="G251" s="7" t="s">
        <v>1784</v>
      </c>
      <c r="H251" s="7" t="s">
        <v>2235</v>
      </c>
      <c r="J251" s="7" t="s">
        <v>2463</v>
      </c>
    </row>
    <row r="252" spans="1:10">
      <c r="A252" s="7">
        <v>72</v>
      </c>
      <c r="B252" s="7" t="s">
        <v>1776</v>
      </c>
      <c r="C252" s="7" t="s">
        <v>19</v>
      </c>
      <c r="D252" s="7" t="s">
        <v>2236</v>
      </c>
      <c r="E252" s="7" t="s">
        <v>2233</v>
      </c>
      <c r="F252" s="7" t="s">
        <v>2237</v>
      </c>
      <c r="G252" s="7" t="s">
        <v>2045</v>
      </c>
      <c r="J252" s="7" t="s">
        <v>2463</v>
      </c>
    </row>
    <row r="253" spans="1:10">
      <c r="A253" s="7">
        <v>73</v>
      </c>
      <c r="B253" s="7" t="s">
        <v>1776</v>
      </c>
      <c r="C253" s="7" t="s">
        <v>19</v>
      </c>
      <c r="D253" s="7" t="s">
        <v>2435</v>
      </c>
      <c r="E253" s="7" t="s">
        <v>2436</v>
      </c>
      <c r="F253" s="7" t="s">
        <v>2437</v>
      </c>
      <c r="G253" s="7" t="s">
        <v>1922</v>
      </c>
      <c r="I253" s="7" t="s">
        <v>2438</v>
      </c>
      <c r="J253" s="7" t="s">
        <v>2463</v>
      </c>
    </row>
    <row r="254" spans="1:10">
      <c r="A254" s="7">
        <v>74</v>
      </c>
      <c r="B254" s="7" t="s">
        <v>1776</v>
      </c>
      <c r="C254" s="7" t="s">
        <v>19</v>
      </c>
      <c r="D254" s="7" t="s">
        <v>2238</v>
      </c>
      <c r="E254" s="7" t="s">
        <v>2239</v>
      </c>
      <c r="F254" s="7" t="s">
        <v>2240</v>
      </c>
      <c r="G254" s="7" t="s">
        <v>1846</v>
      </c>
      <c r="J254" s="7" t="s">
        <v>2463</v>
      </c>
    </row>
    <row r="255" spans="1:10">
      <c r="A255" s="7">
        <v>75</v>
      </c>
      <c r="B255" s="7" t="s">
        <v>1776</v>
      </c>
      <c r="C255" s="7" t="s">
        <v>19</v>
      </c>
      <c r="D255" s="7" t="s">
        <v>2241</v>
      </c>
      <c r="E255" s="7" t="s">
        <v>2242</v>
      </c>
      <c r="F255" s="7" t="s">
        <v>2243</v>
      </c>
      <c r="G255" s="7" t="s">
        <v>1805</v>
      </c>
      <c r="J255" s="7" t="s">
        <v>2463</v>
      </c>
    </row>
    <row r="256" spans="1:10">
      <c r="A256" s="7">
        <v>76</v>
      </c>
      <c r="B256" s="7" t="s">
        <v>1776</v>
      </c>
      <c r="C256" s="7" t="s">
        <v>19</v>
      </c>
      <c r="D256" s="7" t="s">
        <v>2247</v>
      </c>
      <c r="E256" s="7" t="s">
        <v>2248</v>
      </c>
      <c r="F256" s="7" t="s">
        <v>2249</v>
      </c>
      <c r="G256" s="7" t="s">
        <v>1839</v>
      </c>
      <c r="I256" s="7" t="s">
        <v>2250</v>
      </c>
      <c r="J256" s="7" t="s">
        <v>2463</v>
      </c>
    </row>
    <row r="257" spans="1:10">
      <c r="A257" s="7">
        <v>77</v>
      </c>
      <c r="B257" s="7" t="s">
        <v>1776</v>
      </c>
      <c r="C257" s="7" t="s">
        <v>19</v>
      </c>
      <c r="D257" s="7" t="s">
        <v>2258</v>
      </c>
      <c r="E257" s="7" t="s">
        <v>2259</v>
      </c>
      <c r="F257" s="7" t="s">
        <v>2260</v>
      </c>
      <c r="G257" s="7" t="s">
        <v>1846</v>
      </c>
      <c r="H257" s="7" t="s">
        <v>2261</v>
      </c>
      <c r="J257" s="7" t="s">
        <v>2463</v>
      </c>
    </row>
    <row r="258" spans="1:10">
      <c r="A258" s="7">
        <v>78</v>
      </c>
      <c r="B258" s="7" t="s">
        <v>1776</v>
      </c>
      <c r="C258" s="7" t="s">
        <v>19</v>
      </c>
      <c r="D258" s="7" t="s">
        <v>2262</v>
      </c>
      <c r="E258" s="7" t="s">
        <v>2263</v>
      </c>
      <c r="F258" s="7" t="s">
        <v>2264</v>
      </c>
      <c r="G258" s="7" t="s">
        <v>1828</v>
      </c>
      <c r="J258" s="7" t="s">
        <v>2463</v>
      </c>
    </row>
    <row r="259" spans="1:10">
      <c r="A259" s="7">
        <v>79</v>
      </c>
      <c r="B259" s="7" t="s">
        <v>1776</v>
      </c>
      <c r="C259" s="7" t="s">
        <v>19</v>
      </c>
      <c r="D259" s="7" t="s">
        <v>2269</v>
      </c>
      <c r="E259" s="7" t="s">
        <v>2270</v>
      </c>
      <c r="F259" s="7" t="s">
        <v>2271</v>
      </c>
      <c r="G259" s="7" t="s">
        <v>1805</v>
      </c>
      <c r="J259" s="7" t="s">
        <v>2463</v>
      </c>
    </row>
    <row r="260" spans="1:10">
      <c r="A260" s="7">
        <v>80</v>
      </c>
      <c r="B260" s="7" t="s">
        <v>1776</v>
      </c>
      <c r="C260" s="7" t="s">
        <v>19</v>
      </c>
      <c r="D260" s="7" t="s">
        <v>2272</v>
      </c>
      <c r="E260" s="7" t="s">
        <v>2273</v>
      </c>
      <c r="F260" s="7" t="s">
        <v>2274</v>
      </c>
      <c r="G260" s="7" t="s">
        <v>1805</v>
      </c>
      <c r="J260" s="7" t="s">
        <v>2463</v>
      </c>
    </row>
    <row r="261" spans="1:10">
      <c r="A261" s="7">
        <v>81</v>
      </c>
      <c r="B261" s="7" t="s">
        <v>1776</v>
      </c>
      <c r="C261" s="7" t="s">
        <v>19</v>
      </c>
      <c r="D261" s="7" t="s">
        <v>2278</v>
      </c>
      <c r="E261" s="7" t="s">
        <v>2279</v>
      </c>
      <c r="F261" s="7" t="s">
        <v>2280</v>
      </c>
      <c r="G261" s="7" t="s">
        <v>1805</v>
      </c>
      <c r="J261" s="7" t="s">
        <v>2463</v>
      </c>
    </row>
    <row r="262" spans="1:10">
      <c r="A262" s="7">
        <v>82</v>
      </c>
      <c r="B262" s="7" t="s">
        <v>1776</v>
      </c>
      <c r="C262" s="7" t="s">
        <v>19</v>
      </c>
      <c r="D262" s="7" t="s">
        <v>2281</v>
      </c>
      <c r="E262" s="7" t="s">
        <v>2282</v>
      </c>
      <c r="F262" s="7" t="s">
        <v>2283</v>
      </c>
      <c r="G262" s="7" t="s">
        <v>1839</v>
      </c>
      <c r="H262" s="7" t="s">
        <v>2284</v>
      </c>
      <c r="J262" s="7" t="s">
        <v>2463</v>
      </c>
    </row>
    <row r="263" spans="1:10">
      <c r="A263" s="7">
        <v>83</v>
      </c>
      <c r="B263" s="7" t="s">
        <v>1776</v>
      </c>
      <c r="C263" s="7" t="s">
        <v>19</v>
      </c>
      <c r="D263" s="7" t="s">
        <v>2439</v>
      </c>
      <c r="E263" s="7" t="s">
        <v>2440</v>
      </c>
      <c r="F263" s="7" t="s">
        <v>2441</v>
      </c>
      <c r="G263" s="7" t="s">
        <v>1828</v>
      </c>
      <c r="J263" s="7" t="s">
        <v>2463</v>
      </c>
    </row>
    <row r="264" spans="1:10">
      <c r="A264" s="7">
        <v>84</v>
      </c>
      <c r="B264" s="7" t="s">
        <v>1776</v>
      </c>
      <c r="C264" s="7" t="s">
        <v>19</v>
      </c>
      <c r="D264" s="7" t="s">
        <v>2288</v>
      </c>
      <c r="E264" s="7" t="s">
        <v>2289</v>
      </c>
      <c r="F264" s="7" t="s">
        <v>2290</v>
      </c>
      <c r="G264" s="7" t="s">
        <v>1828</v>
      </c>
      <c r="J264" s="7" t="s">
        <v>2463</v>
      </c>
    </row>
    <row r="265" spans="1:10">
      <c r="A265" s="7">
        <v>85</v>
      </c>
      <c r="B265" s="7" t="s">
        <v>1776</v>
      </c>
      <c r="C265" s="7" t="s">
        <v>19</v>
      </c>
      <c r="D265" s="7" t="s">
        <v>2291</v>
      </c>
      <c r="E265" s="7" t="s">
        <v>2292</v>
      </c>
      <c r="F265" s="7" t="s">
        <v>2293</v>
      </c>
      <c r="G265" s="7" t="s">
        <v>1784</v>
      </c>
      <c r="J265" s="7" t="s">
        <v>2463</v>
      </c>
    </row>
    <row r="266" spans="1:10">
      <c r="A266" s="7">
        <v>86</v>
      </c>
      <c r="B266" s="7" t="s">
        <v>1776</v>
      </c>
      <c r="C266" s="7" t="s">
        <v>19</v>
      </c>
      <c r="D266" s="7" t="s">
        <v>2297</v>
      </c>
      <c r="E266" s="7" t="s">
        <v>2298</v>
      </c>
      <c r="F266" s="7" t="s">
        <v>2299</v>
      </c>
      <c r="G266" s="7" t="s">
        <v>1839</v>
      </c>
      <c r="J266" s="7" t="s">
        <v>2463</v>
      </c>
    </row>
    <row r="267" spans="1:10">
      <c r="A267" s="7">
        <v>87</v>
      </c>
      <c r="B267" s="7" t="s">
        <v>1776</v>
      </c>
      <c r="C267" s="7" t="s">
        <v>19</v>
      </c>
      <c r="D267" s="7" t="s">
        <v>2300</v>
      </c>
      <c r="E267" s="7" t="s">
        <v>2301</v>
      </c>
      <c r="F267" s="7" t="s">
        <v>2302</v>
      </c>
      <c r="G267" s="7" t="s">
        <v>2303</v>
      </c>
      <c r="H267" s="7" t="s">
        <v>2304</v>
      </c>
      <c r="J267" s="7" t="s">
        <v>2463</v>
      </c>
    </row>
    <row r="268" spans="1:10">
      <c r="A268" s="7">
        <v>88</v>
      </c>
      <c r="B268" s="7" t="s">
        <v>1776</v>
      </c>
      <c r="C268" s="7" t="s">
        <v>19</v>
      </c>
      <c r="D268" s="7" t="s">
        <v>2305</v>
      </c>
      <c r="E268" s="7" t="s">
        <v>2306</v>
      </c>
      <c r="F268" s="7" t="s">
        <v>2307</v>
      </c>
      <c r="G268" s="7" t="s">
        <v>1793</v>
      </c>
      <c r="J268" s="7" t="s">
        <v>2463</v>
      </c>
    </row>
    <row r="269" spans="1:10">
      <c r="A269" s="7">
        <v>89</v>
      </c>
      <c r="B269" s="7" t="s">
        <v>1776</v>
      </c>
      <c r="C269" s="7" t="s">
        <v>19</v>
      </c>
      <c r="D269" s="7" t="s">
        <v>2442</v>
      </c>
      <c r="E269" s="7" t="s">
        <v>2443</v>
      </c>
      <c r="F269" s="7" t="s">
        <v>2444</v>
      </c>
      <c r="G269" s="7" t="s">
        <v>1828</v>
      </c>
      <c r="J269" s="7" t="s">
        <v>2463</v>
      </c>
    </row>
    <row r="270" spans="1:10">
      <c r="A270" s="7">
        <v>90</v>
      </c>
      <c r="B270" s="7" t="s">
        <v>1776</v>
      </c>
      <c r="C270" s="7" t="s">
        <v>19</v>
      </c>
      <c r="D270" s="7" t="s">
        <v>2315</v>
      </c>
      <c r="E270" s="7" t="s">
        <v>2316</v>
      </c>
      <c r="F270" s="7" t="s">
        <v>2317</v>
      </c>
      <c r="G270" s="7" t="s">
        <v>1839</v>
      </c>
      <c r="I270" s="7" t="s">
        <v>2072</v>
      </c>
      <c r="J270" s="7" t="s">
        <v>2463</v>
      </c>
    </row>
    <row r="271" spans="1:10">
      <c r="A271" s="7">
        <v>91</v>
      </c>
      <c r="B271" s="7" t="s">
        <v>1776</v>
      </c>
      <c r="C271" s="7" t="s">
        <v>19</v>
      </c>
      <c r="D271" s="7" t="s">
        <v>2318</v>
      </c>
      <c r="E271" s="7" t="s">
        <v>2319</v>
      </c>
      <c r="F271" s="7" t="s">
        <v>2320</v>
      </c>
      <c r="G271" s="7" t="s">
        <v>1839</v>
      </c>
      <c r="H271" s="7" t="s">
        <v>2321</v>
      </c>
      <c r="J271" s="7" t="s">
        <v>2463</v>
      </c>
    </row>
    <row r="272" spans="1:10">
      <c r="A272" s="7">
        <v>92</v>
      </c>
      <c r="B272" s="7" t="s">
        <v>1776</v>
      </c>
      <c r="C272" s="7" t="s">
        <v>19</v>
      </c>
      <c r="D272" s="7" t="s">
        <v>2322</v>
      </c>
      <c r="E272" s="7" t="s">
        <v>2323</v>
      </c>
      <c r="F272" s="7" t="s">
        <v>2324</v>
      </c>
      <c r="G272" s="7" t="s">
        <v>1828</v>
      </c>
      <c r="J272" s="7" t="s">
        <v>2463</v>
      </c>
    </row>
    <row r="273" spans="1:10">
      <c r="A273" s="7">
        <v>93</v>
      </c>
      <c r="B273" s="7" t="s">
        <v>1776</v>
      </c>
      <c r="C273" s="7" t="s">
        <v>19</v>
      </c>
      <c r="D273" s="7" t="s">
        <v>2445</v>
      </c>
      <c r="E273" s="7" t="s">
        <v>2446</v>
      </c>
      <c r="F273" s="7" t="s">
        <v>2447</v>
      </c>
      <c r="G273" s="7" t="s">
        <v>1828</v>
      </c>
      <c r="J273" s="7" t="s">
        <v>2463</v>
      </c>
    </row>
    <row r="274" spans="1:10">
      <c r="A274" s="7">
        <v>94</v>
      </c>
      <c r="B274" s="7" t="s">
        <v>1776</v>
      </c>
      <c r="C274" s="7" t="s">
        <v>19</v>
      </c>
      <c r="D274" s="7" t="s">
        <v>2333</v>
      </c>
      <c r="E274" s="7" t="s">
        <v>2334</v>
      </c>
      <c r="F274" s="7" t="s">
        <v>2335</v>
      </c>
      <c r="G274" s="7" t="s">
        <v>2336</v>
      </c>
      <c r="H274" s="7" t="s">
        <v>2337</v>
      </c>
      <c r="J274" s="7" t="s">
        <v>2463</v>
      </c>
    </row>
    <row r="275" spans="1:10">
      <c r="A275" s="7">
        <v>95</v>
      </c>
      <c r="B275" s="7" t="s">
        <v>1776</v>
      </c>
      <c r="C275" s="7" t="s">
        <v>19</v>
      </c>
      <c r="D275" s="7" t="s">
        <v>2338</v>
      </c>
      <c r="E275" s="7" t="s">
        <v>2339</v>
      </c>
      <c r="F275" s="7" t="s">
        <v>2340</v>
      </c>
      <c r="G275" s="7" t="s">
        <v>1839</v>
      </c>
      <c r="I275" s="7" t="s">
        <v>2341</v>
      </c>
      <c r="J275" s="7" t="s">
        <v>2463</v>
      </c>
    </row>
    <row r="276" spans="1:10">
      <c r="A276" s="7">
        <v>96</v>
      </c>
      <c r="B276" s="7" t="s">
        <v>1776</v>
      </c>
      <c r="C276" s="7" t="s">
        <v>19</v>
      </c>
      <c r="D276" s="7" t="s">
        <v>2448</v>
      </c>
      <c r="E276" s="7" t="s">
        <v>2449</v>
      </c>
      <c r="F276" s="7" t="s">
        <v>2450</v>
      </c>
      <c r="G276" s="7" t="s">
        <v>1828</v>
      </c>
      <c r="H276" s="7" t="s">
        <v>2451</v>
      </c>
      <c r="J276" s="7" t="s">
        <v>2463</v>
      </c>
    </row>
    <row r="277" spans="1:10">
      <c r="A277" s="7">
        <v>97</v>
      </c>
      <c r="B277" s="7" t="s">
        <v>1776</v>
      </c>
      <c r="C277" s="7" t="s">
        <v>19</v>
      </c>
      <c r="D277" s="7" t="s">
        <v>2452</v>
      </c>
      <c r="E277" s="7" t="s">
        <v>2453</v>
      </c>
      <c r="F277" s="7" t="s">
        <v>2454</v>
      </c>
      <c r="G277" s="7" t="s">
        <v>1784</v>
      </c>
      <c r="H277" s="7" t="s">
        <v>2455</v>
      </c>
      <c r="J277" s="7" t="s">
        <v>2463</v>
      </c>
    </row>
    <row r="278" spans="1:10">
      <c r="A278" s="7">
        <v>98</v>
      </c>
      <c r="B278" s="7" t="s">
        <v>1776</v>
      </c>
      <c r="C278" s="7" t="s">
        <v>19</v>
      </c>
      <c r="D278" s="7" t="s">
        <v>2456</v>
      </c>
      <c r="E278" s="7" t="s">
        <v>2457</v>
      </c>
      <c r="F278" s="7" t="s">
        <v>2458</v>
      </c>
      <c r="G278" s="7" t="s">
        <v>1805</v>
      </c>
      <c r="H278" s="7" t="s">
        <v>2459</v>
      </c>
      <c r="I278" s="7" t="s">
        <v>1785</v>
      </c>
      <c r="J278" s="7" t="s">
        <v>2463</v>
      </c>
    </row>
    <row r="279" spans="1:10">
      <c r="A279" s="7">
        <v>99</v>
      </c>
      <c r="B279" s="7" t="s">
        <v>1776</v>
      </c>
      <c r="C279" s="7" t="s">
        <v>19</v>
      </c>
      <c r="D279" s="7" t="s">
        <v>2349</v>
      </c>
      <c r="E279" s="7" t="s">
        <v>2350</v>
      </c>
      <c r="F279" s="7" t="s">
        <v>2351</v>
      </c>
      <c r="G279" s="7" t="s">
        <v>1805</v>
      </c>
      <c r="J279" s="7" t="s">
        <v>2463</v>
      </c>
    </row>
    <row r="280" spans="1:10">
      <c r="A280" s="7">
        <v>100</v>
      </c>
      <c r="B280" s="7" t="s">
        <v>1776</v>
      </c>
      <c r="C280" s="7" t="s">
        <v>19</v>
      </c>
      <c r="D280" s="7" t="s">
        <v>2383</v>
      </c>
      <c r="E280" s="7" t="s">
        <v>2384</v>
      </c>
      <c r="F280" s="7" t="s">
        <v>2385</v>
      </c>
      <c r="G280" s="7" t="s">
        <v>1793</v>
      </c>
      <c r="J280" s="7" t="s">
        <v>2463</v>
      </c>
    </row>
    <row r="281" spans="1:10">
      <c r="A281" s="7">
        <v>101</v>
      </c>
      <c r="B281" s="7" t="s">
        <v>1776</v>
      </c>
      <c r="C281" s="7" t="s">
        <v>19</v>
      </c>
      <c r="D281" s="7" t="s">
        <v>2460</v>
      </c>
      <c r="E281" s="7" t="s">
        <v>2461</v>
      </c>
      <c r="F281" s="7" t="s">
        <v>2409</v>
      </c>
      <c r="G281" s="7" t="s">
        <v>2462</v>
      </c>
      <c r="J281" s="7" t="s">
        <v>2463</v>
      </c>
    </row>
    <row r="282" spans="1:10">
      <c r="A282" s="7">
        <v>102</v>
      </c>
      <c r="B282" s="7" t="s">
        <v>1776</v>
      </c>
      <c r="C282" s="7" t="s">
        <v>19</v>
      </c>
      <c r="D282" s="7" t="s">
        <v>2392</v>
      </c>
      <c r="E282" s="7" t="s">
        <v>2393</v>
      </c>
      <c r="F282" s="7" t="s">
        <v>2394</v>
      </c>
      <c r="G282" s="7" t="s">
        <v>1839</v>
      </c>
      <c r="J282" s="7" t="s">
        <v>2463</v>
      </c>
    </row>
    <row r="283" spans="1:10">
      <c r="A283" s="7">
        <v>103</v>
      </c>
      <c r="B283" s="7" t="s">
        <v>1776</v>
      </c>
      <c r="C283" s="7" t="s">
        <v>19</v>
      </c>
      <c r="D283" s="7" t="s">
        <v>2395</v>
      </c>
      <c r="E283" s="7" t="s">
        <v>2396</v>
      </c>
      <c r="F283" s="7" t="s">
        <v>2397</v>
      </c>
      <c r="G283" s="7" t="s">
        <v>2398</v>
      </c>
      <c r="I283" s="7" t="s">
        <v>2399</v>
      </c>
      <c r="J283" s="7" t="s">
        <v>2463</v>
      </c>
    </row>
    <row r="284" spans="1:10">
      <c r="A284" s="7">
        <v>104</v>
      </c>
      <c r="B284" s="7" t="s">
        <v>1776</v>
      </c>
      <c r="C284" s="7" t="s">
        <v>19</v>
      </c>
      <c r="D284" s="7" t="s">
        <v>2403</v>
      </c>
      <c r="E284" s="7" t="s">
        <v>2404</v>
      </c>
      <c r="F284" s="7" t="s">
        <v>2405</v>
      </c>
      <c r="G284" s="7" t="s">
        <v>2406</v>
      </c>
      <c r="J284" s="7" t="s">
        <v>2463</v>
      </c>
    </row>
    <row r="285" spans="1:10">
      <c r="A285" s="7">
        <v>105</v>
      </c>
      <c r="B285" s="7" t="s">
        <v>1776</v>
      </c>
      <c r="C285" s="7" t="s">
        <v>19</v>
      </c>
      <c r="D285" s="7" t="s">
        <v>2407</v>
      </c>
      <c r="E285" s="7" t="s">
        <v>2408</v>
      </c>
      <c r="F285" s="7" t="s">
        <v>2409</v>
      </c>
      <c r="G285" s="7" t="s">
        <v>2410</v>
      </c>
      <c r="J285" s="7" t="s">
        <v>2463</v>
      </c>
    </row>
  </sheetData>
  <sheetProtection formatColumns="0" formatRows="0"/>
  <phoneticPr fontId="1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896</v>
      </c>
      <c r="B1" t="s">
        <v>2466</v>
      </c>
      <c r="C1" t="s">
        <v>2468</v>
      </c>
    </row>
    <row r="2" spans="1:3">
      <c r="A2" t="s">
        <v>897</v>
      </c>
      <c r="B2" t="s">
        <v>2467</v>
      </c>
    </row>
    <row r="3" spans="1:3">
      <c r="A3" t="s">
        <v>898</v>
      </c>
      <c r="C3" t="s">
        <v>2469</v>
      </c>
    </row>
    <row r="4" spans="1:3">
      <c r="A4" t="s">
        <v>899</v>
      </c>
      <c r="C4" t="s">
        <v>2470</v>
      </c>
    </row>
    <row r="5" spans="1:3">
      <c r="A5" t="s">
        <v>900</v>
      </c>
      <c r="C5" t="s">
        <v>2471</v>
      </c>
    </row>
    <row r="6" spans="1:3">
      <c r="A6" t="s">
        <v>901</v>
      </c>
      <c r="C6" t="s">
        <v>2472</v>
      </c>
    </row>
    <row r="7" spans="1:3">
      <c r="A7" t="s">
        <v>902</v>
      </c>
      <c r="C7" t="s">
        <v>2473</v>
      </c>
    </row>
    <row r="8" spans="1:3">
      <c r="A8" t="s">
        <v>2464</v>
      </c>
      <c r="C8" t="s">
        <v>2474</v>
      </c>
    </row>
    <row r="9" spans="1:3">
      <c r="A9" t="s">
        <v>903</v>
      </c>
      <c r="C9" t="s">
        <v>2475</v>
      </c>
    </row>
    <row r="10" spans="1:3">
      <c r="A10" t="s">
        <v>904</v>
      </c>
      <c r="C10" t="s">
        <v>2476</v>
      </c>
    </row>
    <row r="11" spans="1:3">
      <c r="A11" t="s">
        <v>905</v>
      </c>
      <c r="C11" t="s">
        <v>2477</v>
      </c>
    </row>
    <row r="12" spans="1:3">
      <c r="A12" t="s">
        <v>906</v>
      </c>
      <c r="C12" t="s">
        <v>2478</v>
      </c>
    </row>
    <row r="13" spans="1:3">
      <c r="A13" t="s">
        <v>907</v>
      </c>
      <c r="C13" t="s">
        <v>2479</v>
      </c>
    </row>
    <row r="14" spans="1:3">
      <c r="A14" t="s">
        <v>908</v>
      </c>
      <c r="C14" t="s">
        <v>2480</v>
      </c>
    </row>
    <row r="15" spans="1:3">
      <c r="A15" t="s">
        <v>909</v>
      </c>
      <c r="C15" t="s">
        <v>2481</v>
      </c>
    </row>
    <row r="16" spans="1:3">
      <c r="A16" t="s">
        <v>910</v>
      </c>
      <c r="C16" t="s">
        <v>2482</v>
      </c>
    </row>
    <row r="17" spans="1:3">
      <c r="A17" t="s">
        <v>911</v>
      </c>
      <c r="C17" t="s">
        <v>2483</v>
      </c>
    </row>
    <row r="18" spans="1:3">
      <c r="A18" t="s">
        <v>912</v>
      </c>
      <c r="C18" t="s">
        <v>2484</v>
      </c>
    </row>
    <row r="19" spans="1:3">
      <c r="A19" t="s">
        <v>913</v>
      </c>
      <c r="C19" t="s">
        <v>2485</v>
      </c>
    </row>
    <row r="20" spans="1:3">
      <c r="A20" t="s">
        <v>914</v>
      </c>
      <c r="C20" t="s">
        <v>2486</v>
      </c>
    </row>
    <row r="21" spans="1:3">
      <c r="A21" t="s">
        <v>915</v>
      </c>
      <c r="C21" t="s">
        <v>2487</v>
      </c>
    </row>
    <row r="22" spans="1:3">
      <c r="A22" t="s">
        <v>916</v>
      </c>
      <c r="C22" t="s">
        <v>2488</v>
      </c>
    </row>
    <row r="23" spans="1:3">
      <c r="A23" t="s">
        <v>917</v>
      </c>
      <c r="C23" t="s">
        <v>2489</v>
      </c>
    </row>
    <row r="24" spans="1:3">
      <c r="A24" t="s">
        <v>918</v>
      </c>
      <c r="C24" t="s">
        <v>2490</v>
      </c>
    </row>
    <row r="25" spans="1:3">
      <c r="A25" t="s">
        <v>919</v>
      </c>
      <c r="C25" t="s">
        <v>2491</v>
      </c>
    </row>
    <row r="26" spans="1:3">
      <c r="A26" t="s">
        <v>920</v>
      </c>
      <c r="C26" t="s">
        <v>2492</v>
      </c>
    </row>
    <row r="27" spans="1:3">
      <c r="A27" t="s">
        <v>921</v>
      </c>
      <c r="C27" t="s">
        <v>2493</v>
      </c>
    </row>
    <row r="28" spans="1:3">
      <c r="A28" t="s">
        <v>922</v>
      </c>
      <c r="C28" t="s">
        <v>2494</v>
      </c>
    </row>
    <row r="29" spans="1:3">
      <c r="A29" t="s">
        <v>923</v>
      </c>
      <c r="C29" t="s">
        <v>2495</v>
      </c>
    </row>
    <row r="30" spans="1:3">
      <c r="A30" t="s">
        <v>924</v>
      </c>
      <c r="C30" t="s">
        <v>2496</v>
      </c>
    </row>
    <row r="31" spans="1:3">
      <c r="A31" t="s">
        <v>925</v>
      </c>
      <c r="C31" t="s">
        <v>2497</v>
      </c>
    </row>
    <row r="32" spans="1:3">
      <c r="A32" t="s">
        <v>926</v>
      </c>
      <c r="C32" t="s">
        <v>2498</v>
      </c>
    </row>
    <row r="33" spans="1:3">
      <c r="A33" t="s">
        <v>927</v>
      </c>
      <c r="C33" t="s">
        <v>2499</v>
      </c>
    </row>
    <row r="34" spans="1:3">
      <c r="A34" t="s">
        <v>928</v>
      </c>
      <c r="C34" t="s">
        <v>2500</v>
      </c>
    </row>
    <row r="35" spans="1:3">
      <c r="A35" t="s">
        <v>929</v>
      </c>
      <c r="C35" t="s">
        <v>2501</v>
      </c>
    </row>
    <row r="36" spans="1:3">
      <c r="A36" t="s">
        <v>930</v>
      </c>
      <c r="C36" t="s">
        <v>2502</v>
      </c>
    </row>
    <row r="37" spans="1:3">
      <c r="A37" t="s">
        <v>931</v>
      </c>
      <c r="C37" t="s">
        <v>2503</v>
      </c>
    </row>
    <row r="38" spans="1:3">
      <c r="A38" t="s">
        <v>932</v>
      </c>
      <c r="C38" t="s">
        <v>2504</v>
      </c>
    </row>
    <row r="39" spans="1:3">
      <c r="A39" t="s">
        <v>933</v>
      </c>
      <c r="C39" t="s">
        <v>2505</v>
      </c>
    </row>
    <row r="40" spans="1:3">
      <c r="A40" t="s">
        <v>934</v>
      </c>
      <c r="C40" t="s">
        <v>2506</v>
      </c>
    </row>
    <row r="41" spans="1:3">
      <c r="A41" t="s">
        <v>935</v>
      </c>
      <c r="C41" t="s">
        <v>2507</v>
      </c>
    </row>
    <row r="42" spans="1:3">
      <c r="A42" t="s">
        <v>936</v>
      </c>
      <c r="C42" t="s">
        <v>2508</v>
      </c>
    </row>
    <row r="43" spans="1:3">
      <c r="A43" t="s">
        <v>937</v>
      </c>
      <c r="C43" t="s">
        <v>2509</v>
      </c>
    </row>
    <row r="44" spans="1:3">
      <c r="A44" t="s">
        <v>938</v>
      </c>
      <c r="C44" t="s">
        <v>2510</v>
      </c>
    </row>
    <row r="45" spans="1:3">
      <c r="A45" t="s">
        <v>939</v>
      </c>
      <c r="C45" t="s">
        <v>2511</v>
      </c>
    </row>
    <row r="46" spans="1:3">
      <c r="A46" t="s">
        <v>940</v>
      </c>
      <c r="C46" t="s">
        <v>2512</v>
      </c>
    </row>
    <row r="47" spans="1:3">
      <c r="A47" t="s">
        <v>941</v>
      </c>
      <c r="C47" t="s">
        <v>2513</v>
      </c>
    </row>
    <row r="48" spans="1:3">
      <c r="A48" t="s">
        <v>942</v>
      </c>
      <c r="C48" t="s">
        <v>2514</v>
      </c>
    </row>
    <row r="49" spans="1:3">
      <c r="A49" t="s">
        <v>943</v>
      </c>
      <c r="C49" t="s">
        <v>2515</v>
      </c>
    </row>
    <row r="50" spans="1:3">
      <c r="A50" t="s">
        <v>944</v>
      </c>
      <c r="C50" t="s">
        <v>2516</v>
      </c>
    </row>
    <row r="51" spans="1:3">
      <c r="A51" t="s">
        <v>945</v>
      </c>
      <c r="C51" t="s">
        <v>2517</v>
      </c>
    </row>
    <row r="52" spans="1:3">
      <c r="A52" t="s">
        <v>946</v>
      </c>
      <c r="C52" t="s">
        <v>2518</v>
      </c>
    </row>
    <row r="53" spans="1:3">
      <c r="A53" t="s">
        <v>947</v>
      </c>
      <c r="C53" t="s">
        <v>2519</v>
      </c>
    </row>
    <row r="54" spans="1:3">
      <c r="A54" t="s">
        <v>948</v>
      </c>
      <c r="C54" t="s">
        <v>2520</v>
      </c>
    </row>
    <row r="55" spans="1:3">
      <c r="A55" t="s">
        <v>949</v>
      </c>
      <c r="C55" t="s">
        <v>2521</v>
      </c>
    </row>
    <row r="56" spans="1:3">
      <c r="A56" t="s">
        <v>950</v>
      </c>
      <c r="C56" t="s">
        <v>2522</v>
      </c>
    </row>
    <row r="57" spans="1:3">
      <c r="A57" t="s">
        <v>951</v>
      </c>
      <c r="C57" t="s">
        <v>2523</v>
      </c>
    </row>
    <row r="58" spans="1:3">
      <c r="A58" t="s">
        <v>952</v>
      </c>
      <c r="C58" t="s">
        <v>2524</v>
      </c>
    </row>
    <row r="59" spans="1:3">
      <c r="A59" t="s">
        <v>953</v>
      </c>
      <c r="C59" t="s">
        <v>2525</v>
      </c>
    </row>
    <row r="60" spans="1:3">
      <c r="A60" t="s">
        <v>954</v>
      </c>
      <c r="C60" t="s">
        <v>2526</v>
      </c>
    </row>
    <row r="61" spans="1:3">
      <c r="A61" t="s">
        <v>955</v>
      </c>
      <c r="C61" t="s">
        <v>2527</v>
      </c>
    </row>
    <row r="62" spans="1:3">
      <c r="A62" t="s">
        <v>956</v>
      </c>
      <c r="C62" t="s">
        <v>2528</v>
      </c>
    </row>
    <row r="63" spans="1:3">
      <c r="A63" t="s">
        <v>957</v>
      </c>
      <c r="C63" t="s">
        <v>2529</v>
      </c>
    </row>
    <row r="64" spans="1:3">
      <c r="A64" t="s">
        <v>958</v>
      </c>
      <c r="C64" t="s">
        <v>2530</v>
      </c>
    </row>
    <row r="65" spans="1:3">
      <c r="A65" t="s">
        <v>959</v>
      </c>
      <c r="C65" t="s">
        <v>2531</v>
      </c>
    </row>
    <row r="66" spans="1:3">
      <c r="A66" t="s">
        <v>960</v>
      </c>
      <c r="C66" t="s">
        <v>2532</v>
      </c>
    </row>
    <row r="67" spans="1:3">
      <c r="A67" t="s">
        <v>961</v>
      </c>
      <c r="C67" t="s">
        <v>2533</v>
      </c>
    </row>
    <row r="68" spans="1:3">
      <c r="A68" t="s">
        <v>962</v>
      </c>
      <c r="C68" t="s">
        <v>2534</v>
      </c>
    </row>
    <row r="69" spans="1:3">
      <c r="A69" t="s">
        <v>963</v>
      </c>
      <c r="C69" t="s">
        <v>2535</v>
      </c>
    </row>
    <row r="70" spans="1:3">
      <c r="A70" t="s">
        <v>964</v>
      </c>
      <c r="C70" t="s">
        <v>2536</v>
      </c>
    </row>
    <row r="71" spans="1:3">
      <c r="A71" t="s">
        <v>965</v>
      </c>
      <c r="C71" t="s">
        <v>2537</v>
      </c>
    </row>
    <row r="72" spans="1:3">
      <c r="A72" t="s">
        <v>966</v>
      </c>
      <c r="C72" t="s">
        <v>2538</v>
      </c>
    </row>
    <row r="73" spans="1:3">
      <c r="A73" t="s">
        <v>967</v>
      </c>
      <c r="C73" t="s">
        <v>2539</v>
      </c>
    </row>
    <row r="74" spans="1:3">
      <c r="A74" t="s">
        <v>968</v>
      </c>
      <c r="C74" t="s">
        <v>2540</v>
      </c>
    </row>
    <row r="75" spans="1:3">
      <c r="A75" t="s">
        <v>969</v>
      </c>
      <c r="C75" t="s">
        <v>2541</v>
      </c>
    </row>
    <row r="76" spans="1:3">
      <c r="A76" t="s">
        <v>970</v>
      </c>
      <c r="C76" t="s">
        <v>2542</v>
      </c>
    </row>
    <row r="77" spans="1:3">
      <c r="A77" t="s">
        <v>971</v>
      </c>
      <c r="C77" t="s">
        <v>2543</v>
      </c>
    </row>
    <row r="78" spans="1:3">
      <c r="A78" t="s">
        <v>972</v>
      </c>
      <c r="C78" t="s">
        <v>2544</v>
      </c>
    </row>
    <row r="79" spans="1:3">
      <c r="A79" t="s">
        <v>973</v>
      </c>
      <c r="C79" t="s">
        <v>2545</v>
      </c>
    </row>
    <row r="80" spans="1:3">
      <c r="A80" t="s">
        <v>974</v>
      </c>
      <c r="C80" t="s">
        <v>2546</v>
      </c>
    </row>
    <row r="81" spans="1:3">
      <c r="A81" t="s">
        <v>975</v>
      </c>
      <c r="C81" t="s">
        <v>2547</v>
      </c>
    </row>
    <row r="82" spans="1:3">
      <c r="A82" t="s">
        <v>976</v>
      </c>
      <c r="C82" t="s">
        <v>2548</v>
      </c>
    </row>
    <row r="83" spans="1:3">
      <c r="A83" t="s">
        <v>977</v>
      </c>
      <c r="C83" t="s">
        <v>2549</v>
      </c>
    </row>
    <row r="84" spans="1:3">
      <c r="A84" t="s">
        <v>978</v>
      </c>
      <c r="C84" t="s">
        <v>2550</v>
      </c>
    </row>
    <row r="85" spans="1:3">
      <c r="A85" t="s">
        <v>979</v>
      </c>
      <c r="C85" t="s">
        <v>2551</v>
      </c>
    </row>
    <row r="86" spans="1:3">
      <c r="A86" t="s">
        <v>980</v>
      </c>
      <c r="C86" t="s">
        <v>2552</v>
      </c>
    </row>
    <row r="87" spans="1:3">
      <c r="A87" t="s">
        <v>2465</v>
      </c>
      <c r="C87" t="s">
        <v>2553</v>
      </c>
    </row>
    <row r="88" spans="1:3">
      <c r="A88" t="s">
        <v>981</v>
      </c>
      <c r="C88" t="s">
        <v>2554</v>
      </c>
    </row>
    <row r="89" spans="1:3">
      <c r="A89" t="s">
        <v>982</v>
      </c>
      <c r="C89" t="s">
        <v>2555</v>
      </c>
    </row>
    <row r="90" spans="1:3">
      <c r="A90" t="s">
        <v>983</v>
      </c>
      <c r="C90" t="s">
        <v>2556</v>
      </c>
    </row>
    <row r="91" spans="1:3">
      <c r="A91" t="s">
        <v>984</v>
      </c>
      <c r="C91" t="s">
        <v>2557</v>
      </c>
    </row>
    <row r="92" spans="1:3">
      <c r="A92" t="s">
        <v>985</v>
      </c>
      <c r="C92" t="s">
        <v>2558</v>
      </c>
    </row>
    <row r="93" spans="1:3">
      <c r="A93" t="s">
        <v>986</v>
      </c>
      <c r="C93" t="s">
        <v>2559</v>
      </c>
    </row>
    <row r="94" spans="1:3">
      <c r="A94" t="s">
        <v>987</v>
      </c>
      <c r="C94" t="s">
        <v>2560</v>
      </c>
    </row>
    <row r="95" spans="1:3">
      <c r="A95" t="s">
        <v>988</v>
      </c>
      <c r="C95" t="s">
        <v>2561</v>
      </c>
    </row>
    <row r="96" spans="1:3">
      <c r="A96" t="s">
        <v>989</v>
      </c>
      <c r="C96" t="s">
        <v>2562</v>
      </c>
    </row>
    <row r="97" spans="1:3">
      <c r="A97" t="s">
        <v>990</v>
      </c>
      <c r="C97" t="s">
        <v>2563</v>
      </c>
    </row>
    <row r="98" spans="1:3">
      <c r="C98" t="s">
        <v>2564</v>
      </c>
    </row>
    <row r="99" spans="1:3">
      <c r="C99" t="s">
        <v>2565</v>
      </c>
    </row>
    <row r="100" spans="1:3">
      <c r="C100" t="s">
        <v>2566</v>
      </c>
    </row>
    <row r="101" spans="1:3">
      <c r="C101" t="s">
        <v>2567</v>
      </c>
    </row>
    <row r="102" spans="1:3">
      <c r="C102" t="s">
        <v>2568</v>
      </c>
    </row>
    <row r="103" spans="1:3">
      <c r="C103" t="s">
        <v>2569</v>
      </c>
    </row>
    <row r="104" spans="1:3">
      <c r="C104" t="s">
        <v>2570</v>
      </c>
    </row>
    <row r="105" spans="1:3">
      <c r="C105" t="s">
        <v>2571</v>
      </c>
    </row>
    <row r="106" spans="1:3">
      <c r="C106" t="s">
        <v>2572</v>
      </c>
    </row>
    <row r="107" spans="1:3">
      <c r="C107" t="s">
        <v>2573</v>
      </c>
    </row>
    <row r="108" spans="1:3">
      <c r="C108" t="s">
        <v>2574</v>
      </c>
    </row>
    <row r="109" spans="1:3">
      <c r="C109" t="s">
        <v>2575</v>
      </c>
    </row>
    <row r="110" spans="1:3">
      <c r="C110" t="s">
        <v>2576</v>
      </c>
    </row>
    <row r="111" spans="1:3">
      <c r="C111" t="s">
        <v>2577</v>
      </c>
    </row>
    <row r="112" spans="1:3">
      <c r="C112" t="s">
        <v>2578</v>
      </c>
    </row>
    <row r="113" spans="3:3">
      <c r="C113" t="s">
        <v>2579</v>
      </c>
    </row>
    <row r="114" spans="3:3">
      <c r="C114" t="s">
        <v>2580</v>
      </c>
    </row>
    <row r="115" spans="3:3">
      <c r="C115" t="s">
        <v>2581</v>
      </c>
    </row>
    <row r="116" spans="3:3">
      <c r="C116" t="s">
        <v>2582</v>
      </c>
    </row>
    <row r="117" spans="3:3">
      <c r="C117" t="s">
        <v>2583</v>
      </c>
    </row>
    <row r="118" spans="3:3">
      <c r="C118" t="s">
        <v>2584</v>
      </c>
    </row>
    <row r="119" spans="3:3">
      <c r="C119" t="s">
        <v>2585</v>
      </c>
    </row>
    <row r="120" spans="3:3">
      <c r="C120" t="s">
        <v>2586</v>
      </c>
    </row>
    <row r="121" spans="3:3">
      <c r="C121" t="s">
        <v>2587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6"/>
  <sheetViews>
    <sheetView showGridLines="0" zoomScaleNormal="100" workbookViewId="0"/>
  </sheetViews>
  <sheetFormatPr defaultRowHeight="11.25"/>
  <sheetData>
    <row r="1" spans="1:1">
      <c r="A1" s="669">
        <f>IF('Общие сведения'!$H$8="",1,0)</f>
        <v>0</v>
      </c>
    </row>
    <row r="2" spans="1:1">
      <c r="A2" s="669">
        <f>IF('Общие сведения'!$H$10="",1,0)</f>
        <v>0</v>
      </c>
    </row>
    <row r="3" spans="1:1">
      <c r="A3" s="669">
        <f>IF('Общие сведения'!$H$29="",1,0)</f>
        <v>0</v>
      </c>
    </row>
    <row r="4" spans="1:1">
      <c r="A4" s="669">
        <f>IF('Общие сведения'!$H$30="",1,0)</f>
        <v>0</v>
      </c>
    </row>
    <row r="5" spans="1:1">
      <c r="A5" s="669">
        <f>IF('Общие сведения'!$H$31="",1,0)</f>
        <v>0</v>
      </c>
    </row>
    <row r="6" spans="1:1">
      <c r="A6" s="669">
        <f>IF('Общие сведения'!$H$32="",1,0)</f>
        <v>0</v>
      </c>
    </row>
    <row r="7" spans="1:1">
      <c r="A7" s="669">
        <f>IF('Общие сведения'!$H$33="",1,0)</f>
        <v>0</v>
      </c>
    </row>
    <row r="8" spans="1:1">
      <c r="A8" s="669">
        <f>IF('Общие сведения'!$H$34="",1,0)</f>
        <v>0</v>
      </c>
    </row>
    <row r="9" spans="1:1">
      <c r="A9" s="669">
        <f>IF('Общие сведения'!$H$35="",1,0)</f>
        <v>0</v>
      </c>
    </row>
    <row r="10" spans="1:1">
      <c r="A10" s="669">
        <f>IF('Общие сведения'!$H$37="",1,0)</f>
        <v>0</v>
      </c>
    </row>
    <row r="11" spans="1:1">
      <c r="A11" s="669">
        <f>IF('Общие сведения'!$H$38="",1,0)</f>
        <v>0</v>
      </c>
    </row>
    <row r="12" spans="1:1">
      <c r="A12" s="669">
        <f>IF('Общие сведения'!$H$39="",1,0)</f>
        <v>0</v>
      </c>
    </row>
    <row r="13" spans="1:1">
      <c r="A13" s="669">
        <f>IF('Общие сведения'!$H$40="",1,0)</f>
        <v>0</v>
      </c>
    </row>
    <row r="14" spans="1:1">
      <c r="A14" s="669">
        <f>IF('Общие сведения'!$H$41="",1,0)</f>
        <v>0</v>
      </c>
    </row>
    <row r="15" spans="1:1">
      <c r="A15" s="669">
        <f>IF('Общие сведения'!$H$42="",1,0)</f>
        <v>0</v>
      </c>
    </row>
    <row r="16" spans="1:1">
      <c r="A16" s="669">
        <f>IF('Общие сведения'!$H$43="",1,0)</f>
        <v>0</v>
      </c>
    </row>
    <row r="17" spans="1:1">
      <c r="A17" s="669">
        <f>IF('Общие сведения'!$H$45="",1,0)</f>
        <v>0</v>
      </c>
    </row>
    <row r="18" spans="1:1">
      <c r="A18" s="669">
        <f>IF('Общие сведения'!$H$46="",1,0)</f>
        <v>0</v>
      </c>
    </row>
    <row r="19" spans="1:1">
      <c r="A19" s="669">
        <f>IF('Общие сведения'!$H$52="",1,0)</f>
        <v>0</v>
      </c>
    </row>
    <row r="20" spans="1:1">
      <c r="A20" s="669">
        <f>IF('Общие сведения'!$H$58="",1,0)</f>
        <v>0</v>
      </c>
    </row>
    <row r="21" spans="1:1">
      <c r="A21" s="669">
        <f>IF('Общие сведения'!$H$64="",1,0)</f>
        <v>0</v>
      </c>
    </row>
    <row r="22" spans="1:1">
      <c r="A22" s="669">
        <f>IF('Общие сведения'!$H$71="",1,0)</f>
        <v>0</v>
      </c>
    </row>
    <row r="23" spans="1:1">
      <c r="A23" s="669">
        <f>IF('Общие сведения'!$H$78="",1,0)</f>
        <v>0</v>
      </c>
    </row>
    <row r="24" spans="1:1">
      <c r="A24" s="669">
        <f>IF('Общие сведения'!$H$86="",1,0)</f>
        <v>0</v>
      </c>
    </row>
    <row r="25" spans="1:1">
      <c r="A25" s="669">
        <f>IF('Общие сведения'!$H$110="",1,0)</f>
        <v>0</v>
      </c>
    </row>
    <row r="26" spans="1:1">
      <c r="A26" s="669">
        <f>IF('Общие сведения'!$H$137="",1,0)</f>
        <v>0</v>
      </c>
    </row>
    <row r="27" spans="1:1">
      <c r="A27" s="669">
        <f>IF('Общие сведения'!$H$113="",1,0)</f>
        <v>0</v>
      </c>
    </row>
    <row r="28" spans="1:1">
      <c r="A28" s="669">
        <f>IF('Общие сведения'!$H$111="",1,0)</f>
        <v>0</v>
      </c>
    </row>
    <row r="29" spans="1:1">
      <c r="A29" s="669">
        <f>IF('Общие сведения'!$H$117="",1,0)</f>
        <v>0</v>
      </c>
    </row>
    <row r="30" spans="1:1">
      <c r="A30" s="669">
        <f>IF('Общие сведения'!$H$118="",1,0)</f>
        <v>0</v>
      </c>
    </row>
    <row r="31" spans="1:1">
      <c r="A31" s="669">
        <f>IF('Общие сведения'!$H$120="",1,0)</f>
        <v>0</v>
      </c>
    </row>
    <row r="32" spans="1:1">
      <c r="A32" s="669">
        <f>IF('Список территорий'!$M$16="",1,0)</f>
        <v>0</v>
      </c>
    </row>
    <row r="33" spans="1:1">
      <c r="A33" s="669">
        <f>IF('Список территорий'!$N$16="",1,0)</f>
        <v>0</v>
      </c>
    </row>
    <row r="34" spans="1:1">
      <c r="A34" s="669">
        <f>IF(ЭЭ!$M$23="",1,0)</f>
        <v>0</v>
      </c>
    </row>
    <row r="35" spans="1:1">
      <c r="A35" s="669">
        <f>IF(ФОТ!$M$19="",1,0)</f>
        <v>0</v>
      </c>
    </row>
    <row r="36" spans="1:1">
      <c r="A36" s="669">
        <f>IF(ФОТ!$M$28="",1,0)</f>
        <v>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5"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1"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2"/>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1078</v>
      </c>
    </row>
    <row r="3" spans="1:2">
      <c r="A3" t="s">
        <v>143</v>
      </c>
      <c r="B3" t="s">
        <v>114</v>
      </c>
    </row>
    <row r="4" spans="1:2">
      <c r="A4" t="s">
        <v>1075</v>
      </c>
      <c r="B4" t="s">
        <v>1756</v>
      </c>
    </row>
    <row r="5" spans="1:2">
      <c r="A5" t="s">
        <v>1215</v>
      </c>
      <c r="B5" t="s">
        <v>118</v>
      </c>
    </row>
    <row r="6" spans="1:2">
      <c r="A6" t="s">
        <v>1076</v>
      </c>
      <c r="B6" t="s">
        <v>1362</v>
      </c>
    </row>
    <row r="7" spans="1:2">
      <c r="A7" t="s">
        <v>1213</v>
      </c>
      <c r="B7" t="s">
        <v>1757</v>
      </c>
    </row>
    <row r="8" spans="1:2">
      <c r="A8" t="s">
        <v>1216</v>
      </c>
      <c r="B8" t="s">
        <v>1119</v>
      </c>
    </row>
    <row r="9" spans="1:2">
      <c r="A9" t="s">
        <v>1217</v>
      </c>
      <c r="B9" t="s">
        <v>1280</v>
      </c>
    </row>
    <row r="10" spans="1:2">
      <c r="A10" t="s">
        <v>1218</v>
      </c>
      <c r="B10" t="s">
        <v>1079</v>
      </c>
    </row>
    <row r="11" spans="1:2">
      <c r="A11" t="s">
        <v>1219</v>
      </c>
      <c r="B11" t="s">
        <v>1080</v>
      </c>
    </row>
    <row r="12" spans="1:2">
      <c r="A12" t="s">
        <v>1220</v>
      </c>
      <c r="B12" t="s">
        <v>1761</v>
      </c>
    </row>
    <row r="13" spans="1:2">
      <c r="A13" t="s">
        <v>1214</v>
      </c>
      <c r="B13" t="s">
        <v>185</v>
      </c>
    </row>
    <row r="14" spans="1:2">
      <c r="A14" t="s">
        <v>282</v>
      </c>
      <c r="B14" t="s">
        <v>176</v>
      </c>
    </row>
    <row r="15" spans="1:2">
      <c r="A15" t="s">
        <v>1221</v>
      </c>
      <c r="B15" t="s">
        <v>1363</v>
      </c>
    </row>
    <row r="16" spans="1:2">
      <c r="A16" t="s">
        <v>1282</v>
      </c>
      <c r="B16" t="s">
        <v>1081</v>
      </c>
    </row>
    <row r="17" spans="1:2">
      <c r="A17" t="s">
        <v>1297</v>
      </c>
      <c r="B17" t="s">
        <v>1082</v>
      </c>
    </row>
    <row r="18" spans="1:2">
      <c r="A18" t="s">
        <v>1315</v>
      </c>
      <c r="B18" t="s">
        <v>174</v>
      </c>
    </row>
    <row r="19" spans="1:2">
      <c r="A19" t="s">
        <v>1222</v>
      </c>
      <c r="B19" t="s">
        <v>144</v>
      </c>
    </row>
    <row r="20" spans="1:2">
      <c r="A20" t="s">
        <v>1223</v>
      </c>
      <c r="B20" t="s">
        <v>156</v>
      </c>
    </row>
    <row r="21" spans="1:2">
      <c r="A21" t="s">
        <v>1224</v>
      </c>
      <c r="B21" t="s">
        <v>177</v>
      </c>
    </row>
    <row r="22" spans="1:2">
      <c r="A22" t="s">
        <v>1225</v>
      </c>
      <c r="B22" t="s">
        <v>173</v>
      </c>
    </row>
    <row r="23" spans="1:2">
      <c r="A23" t="s">
        <v>1226</v>
      </c>
      <c r="B23" t="s">
        <v>116</v>
      </c>
    </row>
    <row r="24" spans="1:2">
      <c r="A24" t="s">
        <v>1227</v>
      </c>
      <c r="B24" t="s">
        <v>119</v>
      </c>
    </row>
    <row r="25" spans="1:2">
      <c r="A25" t="s">
        <v>1228</v>
      </c>
      <c r="B25" t="s">
        <v>158</v>
      </c>
    </row>
    <row r="26" spans="1:2">
      <c r="A26" t="s">
        <v>1229</v>
      </c>
      <c r="B26" t="s">
        <v>1758</v>
      </c>
    </row>
    <row r="27" spans="1:2">
      <c r="A27" t="s">
        <v>1230</v>
      </c>
      <c r="B27" t="s">
        <v>1762</v>
      </c>
    </row>
    <row r="28" spans="1:2">
      <c r="A28" t="s">
        <v>109</v>
      </c>
      <c r="B28" t="s">
        <v>1759</v>
      </c>
    </row>
    <row r="29" spans="1:2">
      <c r="A29" t="s">
        <v>117</v>
      </c>
      <c r="B29" t="s">
        <v>157</v>
      </c>
    </row>
    <row r="30" spans="1:2">
      <c r="B30" t="s">
        <v>142</v>
      </c>
    </row>
    <row r="31" spans="1:2">
      <c r="B31" t="s">
        <v>1083</v>
      </c>
    </row>
    <row r="32" spans="1:2">
      <c r="B32" t="s">
        <v>1084</v>
      </c>
    </row>
    <row r="33" spans="2:2">
      <c r="B33" t="s">
        <v>1085</v>
      </c>
    </row>
    <row r="34" spans="2:2">
      <c r="B34" t="s">
        <v>1086</v>
      </c>
    </row>
    <row r="35" spans="2:2">
      <c r="B35" t="s">
        <v>1087</v>
      </c>
    </row>
    <row r="36" spans="2:2">
      <c r="B36" t="s">
        <v>1120</v>
      </c>
    </row>
    <row r="37" spans="2:2">
      <c r="B37" t="s">
        <v>1202</v>
      </c>
    </row>
    <row r="38" spans="2:2">
      <c r="B38" t="s">
        <v>1351</v>
      </c>
    </row>
    <row r="39" spans="2:2">
      <c r="B39" t="s">
        <v>1352</v>
      </c>
    </row>
    <row r="40" spans="2:2">
      <c r="B40" t="s">
        <v>1353</v>
      </c>
    </row>
    <row r="41" spans="2:2">
      <c r="B41" t="s">
        <v>1419</v>
      </c>
    </row>
    <row r="42" spans="2:2">
      <c r="B42" t="s">
        <v>1760</v>
      </c>
    </row>
  </sheetData>
  <sheetProtection formatColumns="0" formatRows="0"/>
  <phoneticPr fontId="13"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5"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0" type="noConversion"/>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election activeCell="R112" sqref="R112"/>
    </sheetView>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675" t="str">
        <f>"Код шаблона: " &amp; GetCode()</f>
        <v>Код шаблона: EXPERT.VSVO.INDEX</v>
      </c>
      <c r="C2" s="675"/>
      <c r="D2" s="675"/>
      <c r="E2" s="675"/>
      <c r="F2" s="675"/>
      <c r="G2" s="675"/>
      <c r="H2" s="18"/>
      <c r="I2" s="18"/>
      <c r="J2" s="18"/>
      <c r="K2" s="18"/>
      <c r="L2" s="18"/>
      <c r="M2" s="18"/>
      <c r="N2" s="18"/>
      <c r="O2" s="18"/>
      <c r="P2" s="18"/>
      <c r="Q2" s="18"/>
      <c r="R2" s="18"/>
      <c r="S2" s="18"/>
      <c r="T2" s="18"/>
      <c r="U2" s="18"/>
      <c r="V2" s="18"/>
      <c r="W2" s="16"/>
      <c r="Y2" s="17"/>
      <c r="AA2" s="15"/>
    </row>
    <row r="3" spans="1:29" ht="18" customHeight="1">
      <c r="B3" s="676" t="str">
        <f>"Версия " &amp; Getversion()</f>
        <v>Версия 4.2</v>
      </c>
      <c r="C3" s="676"/>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677" t="s">
        <v>1281</v>
      </c>
      <c r="C5" s="678"/>
      <c r="D5" s="678"/>
      <c r="E5" s="678"/>
      <c r="F5" s="678"/>
      <c r="G5" s="678"/>
      <c r="H5" s="678"/>
      <c r="I5" s="678"/>
      <c r="J5" s="678"/>
      <c r="K5" s="678"/>
      <c r="L5" s="678"/>
      <c r="M5" s="678"/>
      <c r="N5" s="678"/>
      <c r="O5" s="678"/>
      <c r="P5" s="678"/>
      <c r="Q5" s="678"/>
      <c r="R5" s="678"/>
      <c r="S5" s="678"/>
      <c r="T5" s="678"/>
      <c r="U5" s="678"/>
      <c r="V5" s="678"/>
      <c r="W5" s="678"/>
      <c r="X5" s="678"/>
      <c r="Y5" s="679"/>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680" t="s">
        <v>1148</v>
      </c>
      <c r="F7" s="680"/>
      <c r="G7" s="680"/>
      <c r="H7" s="680"/>
      <c r="I7" s="680"/>
      <c r="J7" s="680"/>
      <c r="K7" s="680"/>
      <c r="L7" s="680"/>
      <c r="M7" s="680"/>
      <c r="N7" s="680"/>
      <c r="O7" s="680"/>
      <c r="P7" s="680"/>
      <c r="Q7" s="680"/>
      <c r="R7" s="680"/>
      <c r="S7" s="680"/>
      <c r="T7" s="680"/>
      <c r="U7" s="680"/>
      <c r="V7" s="680"/>
      <c r="W7" s="680"/>
      <c r="X7" s="680"/>
      <c r="Y7" s="47"/>
      <c r="Z7" s="23"/>
    </row>
    <row r="8" spans="1:29" ht="15" customHeight="1">
      <c r="A8" s="23"/>
      <c r="B8" s="23"/>
      <c r="C8" s="25"/>
      <c r="D8" s="24"/>
      <c r="E8" s="680"/>
      <c r="F8" s="680"/>
      <c r="G8" s="680"/>
      <c r="H8" s="680"/>
      <c r="I8" s="680"/>
      <c r="J8" s="680"/>
      <c r="K8" s="680"/>
      <c r="L8" s="680"/>
      <c r="M8" s="680"/>
      <c r="N8" s="680"/>
      <c r="O8" s="680"/>
      <c r="P8" s="680"/>
      <c r="Q8" s="680"/>
      <c r="R8" s="680"/>
      <c r="S8" s="680"/>
      <c r="T8" s="680"/>
      <c r="U8" s="680"/>
      <c r="V8" s="680"/>
      <c r="W8" s="680"/>
      <c r="X8" s="680"/>
      <c r="Y8" s="47"/>
      <c r="Z8" s="23"/>
    </row>
    <row r="9" spans="1:29" ht="15" customHeight="1">
      <c r="A9" s="23"/>
      <c r="B9" s="23"/>
      <c r="C9" s="25"/>
      <c r="D9" s="24"/>
      <c r="E9" s="680"/>
      <c r="F9" s="680"/>
      <c r="G9" s="680"/>
      <c r="H9" s="680"/>
      <c r="I9" s="680"/>
      <c r="J9" s="680"/>
      <c r="K9" s="680"/>
      <c r="L9" s="680"/>
      <c r="M9" s="680"/>
      <c r="N9" s="680"/>
      <c r="O9" s="680"/>
      <c r="P9" s="680"/>
      <c r="Q9" s="680"/>
      <c r="R9" s="680"/>
      <c r="S9" s="680"/>
      <c r="T9" s="680"/>
      <c r="U9" s="680"/>
      <c r="V9" s="680"/>
      <c r="W9" s="680"/>
      <c r="X9" s="680"/>
      <c r="Y9" s="47"/>
      <c r="Z9" s="23"/>
    </row>
    <row r="10" spans="1:29" ht="10.5" customHeight="1">
      <c r="A10" s="23"/>
      <c r="B10" s="23"/>
      <c r="C10" s="25"/>
      <c r="D10" s="24"/>
      <c r="E10" s="680"/>
      <c r="F10" s="680"/>
      <c r="G10" s="680"/>
      <c r="H10" s="680"/>
      <c r="I10" s="680"/>
      <c r="J10" s="680"/>
      <c r="K10" s="680"/>
      <c r="L10" s="680"/>
      <c r="M10" s="680"/>
      <c r="N10" s="680"/>
      <c r="O10" s="680"/>
      <c r="P10" s="680"/>
      <c r="Q10" s="680"/>
      <c r="R10" s="680"/>
      <c r="S10" s="680"/>
      <c r="T10" s="680"/>
      <c r="U10" s="680"/>
      <c r="V10" s="680"/>
      <c r="W10" s="680"/>
      <c r="X10" s="680"/>
      <c r="Y10" s="47"/>
      <c r="Z10" s="23"/>
    </row>
    <row r="11" spans="1:29" ht="27" customHeight="1">
      <c r="A11" s="23"/>
      <c r="B11" s="23"/>
      <c r="C11" s="25"/>
      <c r="D11" s="24"/>
      <c r="E11" s="680"/>
      <c r="F11" s="680"/>
      <c r="G11" s="680"/>
      <c r="H11" s="680"/>
      <c r="I11" s="680"/>
      <c r="J11" s="680"/>
      <c r="K11" s="680"/>
      <c r="L11" s="680"/>
      <c r="M11" s="680"/>
      <c r="N11" s="680"/>
      <c r="O11" s="680"/>
      <c r="P11" s="680"/>
      <c r="Q11" s="680"/>
      <c r="R11" s="680"/>
      <c r="S11" s="680"/>
      <c r="T11" s="680"/>
      <c r="U11" s="680"/>
      <c r="V11" s="680"/>
      <c r="W11" s="680"/>
      <c r="X11" s="680"/>
      <c r="Y11" s="47"/>
      <c r="Z11" s="23"/>
    </row>
    <row r="12" spans="1:29" ht="12" customHeight="1">
      <c r="A12" s="23"/>
      <c r="B12" s="23"/>
      <c r="C12" s="25"/>
      <c r="D12" s="24"/>
      <c r="E12" s="680"/>
      <c r="F12" s="680"/>
      <c r="G12" s="680"/>
      <c r="H12" s="680"/>
      <c r="I12" s="680"/>
      <c r="J12" s="680"/>
      <c r="K12" s="680"/>
      <c r="L12" s="680"/>
      <c r="M12" s="680"/>
      <c r="N12" s="680"/>
      <c r="O12" s="680"/>
      <c r="P12" s="680"/>
      <c r="Q12" s="680"/>
      <c r="R12" s="680"/>
      <c r="S12" s="680"/>
      <c r="T12" s="680"/>
      <c r="U12" s="680"/>
      <c r="V12" s="680"/>
      <c r="W12" s="680"/>
      <c r="X12" s="680"/>
      <c r="Y12" s="47"/>
      <c r="Z12" s="23"/>
    </row>
    <row r="13" spans="1:29" ht="38.25" customHeight="1">
      <c r="A13" s="23"/>
      <c r="B13" s="23"/>
      <c r="C13" s="25"/>
      <c r="D13" s="24"/>
      <c r="E13" s="680"/>
      <c r="F13" s="680"/>
      <c r="G13" s="680"/>
      <c r="H13" s="680"/>
      <c r="I13" s="680"/>
      <c r="J13" s="680"/>
      <c r="K13" s="680"/>
      <c r="L13" s="680"/>
      <c r="M13" s="680"/>
      <c r="N13" s="680"/>
      <c r="O13" s="680"/>
      <c r="P13" s="680"/>
      <c r="Q13" s="680"/>
      <c r="R13" s="680"/>
      <c r="S13" s="680"/>
      <c r="T13" s="680"/>
      <c r="U13" s="680"/>
      <c r="V13" s="680"/>
      <c r="W13" s="680"/>
      <c r="X13" s="680"/>
      <c r="Y13" s="48"/>
      <c r="Z13" s="23"/>
    </row>
    <row r="14" spans="1:29" ht="15" customHeight="1">
      <c r="A14" s="23"/>
      <c r="B14" s="23"/>
      <c r="C14" s="25"/>
      <c r="D14" s="24"/>
      <c r="E14" s="680" t="s">
        <v>175</v>
      </c>
      <c r="F14" s="680"/>
      <c r="G14" s="680"/>
      <c r="H14" s="680"/>
      <c r="I14" s="680"/>
      <c r="J14" s="680"/>
      <c r="K14" s="680"/>
      <c r="L14" s="680"/>
      <c r="M14" s="680"/>
      <c r="N14" s="680"/>
      <c r="O14" s="680"/>
      <c r="P14" s="680"/>
      <c r="Q14" s="680"/>
      <c r="R14" s="680"/>
      <c r="S14" s="680"/>
      <c r="T14" s="680"/>
      <c r="U14" s="680"/>
      <c r="V14" s="680"/>
      <c r="W14" s="680"/>
      <c r="X14" s="680"/>
      <c r="Y14" s="47"/>
      <c r="Z14" s="23"/>
    </row>
    <row r="15" spans="1:29" ht="15">
      <c r="A15" s="23"/>
      <c r="B15" s="23"/>
      <c r="C15" s="25"/>
      <c r="D15" s="24"/>
      <c r="E15" s="680"/>
      <c r="F15" s="680"/>
      <c r="G15" s="680"/>
      <c r="H15" s="680"/>
      <c r="I15" s="680"/>
      <c r="J15" s="680"/>
      <c r="K15" s="680"/>
      <c r="L15" s="680"/>
      <c r="M15" s="680"/>
      <c r="N15" s="680"/>
      <c r="O15" s="680"/>
      <c r="P15" s="680"/>
      <c r="Q15" s="680"/>
      <c r="R15" s="680"/>
      <c r="S15" s="680"/>
      <c r="T15" s="680"/>
      <c r="U15" s="680"/>
      <c r="V15" s="680"/>
      <c r="W15" s="680"/>
      <c r="X15" s="680"/>
      <c r="Y15" s="47"/>
      <c r="Z15" s="23"/>
    </row>
    <row r="16" spans="1:29" ht="15">
      <c r="A16" s="23"/>
      <c r="B16" s="23"/>
      <c r="C16" s="25"/>
      <c r="D16" s="24"/>
      <c r="E16" s="680"/>
      <c r="F16" s="680"/>
      <c r="G16" s="680"/>
      <c r="H16" s="680"/>
      <c r="I16" s="680"/>
      <c r="J16" s="680"/>
      <c r="K16" s="680"/>
      <c r="L16" s="680"/>
      <c r="M16" s="680"/>
      <c r="N16" s="680"/>
      <c r="O16" s="680"/>
      <c r="P16" s="680"/>
      <c r="Q16" s="680"/>
      <c r="R16" s="680"/>
      <c r="S16" s="680"/>
      <c r="T16" s="680"/>
      <c r="U16" s="680"/>
      <c r="V16" s="680"/>
      <c r="W16" s="680"/>
      <c r="X16" s="680"/>
      <c r="Y16" s="47"/>
      <c r="Z16" s="23"/>
    </row>
    <row r="17" spans="1:26" ht="15" customHeight="1">
      <c r="A17" s="23"/>
      <c r="B17" s="23"/>
      <c r="C17" s="25"/>
      <c r="D17" s="24"/>
      <c r="E17" s="680"/>
      <c r="F17" s="680"/>
      <c r="G17" s="680"/>
      <c r="H17" s="680"/>
      <c r="I17" s="680"/>
      <c r="J17" s="680"/>
      <c r="K17" s="680"/>
      <c r="L17" s="680"/>
      <c r="M17" s="680"/>
      <c r="N17" s="680"/>
      <c r="O17" s="680"/>
      <c r="P17" s="680"/>
      <c r="Q17" s="680"/>
      <c r="R17" s="680"/>
      <c r="S17" s="680"/>
      <c r="T17" s="680"/>
      <c r="U17" s="680"/>
      <c r="V17" s="680"/>
      <c r="W17" s="680"/>
      <c r="X17" s="680"/>
      <c r="Y17" s="47"/>
      <c r="Z17" s="23"/>
    </row>
    <row r="18" spans="1:26" ht="15">
      <c r="A18" s="23"/>
      <c r="B18" s="23"/>
      <c r="C18" s="25"/>
      <c r="D18" s="24"/>
      <c r="E18" s="680"/>
      <c r="F18" s="680"/>
      <c r="G18" s="680"/>
      <c r="H18" s="680"/>
      <c r="I18" s="680"/>
      <c r="J18" s="680"/>
      <c r="K18" s="680"/>
      <c r="L18" s="680"/>
      <c r="M18" s="680"/>
      <c r="N18" s="680"/>
      <c r="O18" s="680"/>
      <c r="P18" s="680"/>
      <c r="Q18" s="680"/>
      <c r="R18" s="680"/>
      <c r="S18" s="680"/>
      <c r="T18" s="680"/>
      <c r="U18" s="680"/>
      <c r="V18" s="680"/>
      <c r="W18" s="680"/>
      <c r="X18" s="680"/>
      <c r="Y18" s="47"/>
      <c r="Z18" s="23"/>
    </row>
    <row r="19" spans="1:26" ht="59.25" customHeight="1">
      <c r="A19" s="23"/>
      <c r="B19" s="23"/>
      <c r="C19" s="25"/>
      <c r="D19" s="25"/>
      <c r="E19" s="680"/>
      <c r="F19" s="680"/>
      <c r="G19" s="680"/>
      <c r="H19" s="680"/>
      <c r="I19" s="680"/>
      <c r="J19" s="680"/>
      <c r="K19" s="680"/>
      <c r="L19" s="680"/>
      <c r="M19" s="680"/>
      <c r="N19" s="680"/>
      <c r="O19" s="680"/>
      <c r="P19" s="680"/>
      <c r="Q19" s="680"/>
      <c r="R19" s="680"/>
      <c r="S19" s="680"/>
      <c r="T19" s="680"/>
      <c r="U19" s="680"/>
      <c r="V19" s="680"/>
      <c r="W19" s="680"/>
      <c r="X19" s="680"/>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671" t="s">
        <v>162</v>
      </c>
      <c r="G21" s="672"/>
      <c r="H21" s="672"/>
      <c r="I21" s="672"/>
      <c r="J21" s="672"/>
      <c r="K21" s="672"/>
      <c r="L21" s="672"/>
      <c r="M21" s="672"/>
      <c r="N21" s="27"/>
      <c r="O21" s="28" t="s">
        <v>161</v>
      </c>
      <c r="P21" s="673" t="s">
        <v>163</v>
      </c>
      <c r="Q21" s="674"/>
      <c r="R21" s="674"/>
      <c r="S21" s="674"/>
      <c r="T21" s="674"/>
      <c r="U21" s="674"/>
      <c r="V21" s="674"/>
      <c r="W21" s="674"/>
      <c r="X21" s="674"/>
      <c r="Y21" s="47"/>
      <c r="Z21" s="23"/>
    </row>
    <row r="22" spans="1:26" ht="19.149999999999999" hidden="1" customHeight="1">
      <c r="A22" s="23"/>
      <c r="B22" s="23"/>
      <c r="C22" s="25"/>
      <c r="D22" s="24"/>
      <c r="E22" s="29" t="s">
        <v>161</v>
      </c>
      <c r="F22" s="671" t="s">
        <v>164</v>
      </c>
      <c r="G22" s="672"/>
      <c r="H22" s="672"/>
      <c r="I22" s="672"/>
      <c r="J22" s="672"/>
      <c r="K22" s="672"/>
      <c r="L22" s="672"/>
      <c r="M22" s="672"/>
      <c r="N22" s="27"/>
      <c r="O22" s="30" t="s">
        <v>161</v>
      </c>
      <c r="P22" s="673" t="s">
        <v>165</v>
      </c>
      <c r="Q22" s="674"/>
      <c r="R22" s="674"/>
      <c r="S22" s="674"/>
      <c r="T22" s="674"/>
      <c r="U22" s="674"/>
      <c r="V22" s="674"/>
      <c r="W22" s="674"/>
      <c r="X22" s="674"/>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681" t="s">
        <v>184</v>
      </c>
      <c r="F35" s="681"/>
      <c r="G35" s="681"/>
      <c r="H35" s="681"/>
      <c r="I35" s="681"/>
      <c r="J35" s="681"/>
      <c r="K35" s="681"/>
      <c r="L35" s="681"/>
      <c r="M35" s="681"/>
      <c r="N35" s="681"/>
      <c r="O35" s="681"/>
      <c r="P35" s="681"/>
      <c r="Q35" s="681"/>
      <c r="R35" s="681"/>
      <c r="S35" s="681"/>
      <c r="T35" s="681"/>
      <c r="U35" s="681"/>
      <c r="V35" s="681"/>
      <c r="W35" s="681"/>
      <c r="X35" s="681"/>
      <c r="Y35" s="47"/>
      <c r="Z35" s="23"/>
    </row>
    <row r="36" spans="1:26" ht="38.25" hidden="1" customHeight="1">
      <c r="A36" s="23"/>
      <c r="B36" s="23"/>
      <c r="C36" s="25"/>
      <c r="D36" s="24"/>
      <c r="E36" s="681"/>
      <c r="F36" s="681"/>
      <c r="G36" s="681"/>
      <c r="H36" s="681"/>
      <c r="I36" s="681"/>
      <c r="J36" s="681"/>
      <c r="K36" s="681"/>
      <c r="L36" s="681"/>
      <c r="M36" s="681"/>
      <c r="N36" s="681"/>
      <c r="O36" s="681"/>
      <c r="P36" s="681"/>
      <c r="Q36" s="681"/>
      <c r="R36" s="681"/>
      <c r="S36" s="681"/>
      <c r="T36" s="681"/>
      <c r="U36" s="681"/>
      <c r="V36" s="681"/>
      <c r="W36" s="681"/>
      <c r="X36" s="681"/>
      <c r="Y36" s="47"/>
      <c r="Z36" s="23"/>
    </row>
    <row r="37" spans="1:26" ht="9.75" hidden="1" customHeight="1">
      <c r="A37" s="23"/>
      <c r="B37" s="23"/>
      <c r="C37" s="25"/>
      <c r="D37" s="24"/>
      <c r="E37" s="681"/>
      <c r="F37" s="681"/>
      <c r="G37" s="681"/>
      <c r="H37" s="681"/>
      <c r="I37" s="681"/>
      <c r="J37" s="681"/>
      <c r="K37" s="681"/>
      <c r="L37" s="681"/>
      <c r="M37" s="681"/>
      <c r="N37" s="681"/>
      <c r="O37" s="681"/>
      <c r="P37" s="681"/>
      <c r="Q37" s="681"/>
      <c r="R37" s="681"/>
      <c r="S37" s="681"/>
      <c r="T37" s="681"/>
      <c r="U37" s="681"/>
      <c r="V37" s="681"/>
      <c r="W37" s="681"/>
      <c r="X37" s="681"/>
      <c r="Y37" s="47"/>
      <c r="Z37" s="23"/>
    </row>
    <row r="38" spans="1:26" ht="51" hidden="1" customHeight="1">
      <c r="A38" s="23"/>
      <c r="B38" s="23"/>
      <c r="C38" s="25"/>
      <c r="D38" s="24"/>
      <c r="E38" s="681"/>
      <c r="F38" s="681"/>
      <c r="G38" s="681"/>
      <c r="H38" s="681"/>
      <c r="I38" s="681"/>
      <c r="J38" s="681"/>
      <c r="K38" s="681"/>
      <c r="L38" s="681"/>
      <c r="M38" s="681"/>
      <c r="N38" s="681"/>
      <c r="O38" s="681"/>
      <c r="P38" s="681"/>
      <c r="Q38" s="681"/>
      <c r="R38" s="681"/>
      <c r="S38" s="681"/>
      <c r="T38" s="681"/>
      <c r="U38" s="681"/>
      <c r="V38" s="681"/>
      <c r="W38" s="681"/>
      <c r="X38" s="681"/>
      <c r="Y38" s="47"/>
      <c r="Z38" s="23"/>
    </row>
    <row r="39" spans="1:26" ht="15" hidden="1" customHeight="1">
      <c r="A39" s="23"/>
      <c r="B39" s="23"/>
      <c r="C39" s="25"/>
      <c r="D39" s="24"/>
      <c r="E39" s="681"/>
      <c r="F39" s="681"/>
      <c r="G39" s="681"/>
      <c r="H39" s="681"/>
      <c r="I39" s="681"/>
      <c r="J39" s="681"/>
      <c r="K39" s="681"/>
      <c r="L39" s="681"/>
      <c r="M39" s="681"/>
      <c r="N39" s="681"/>
      <c r="O39" s="681"/>
      <c r="P39" s="681"/>
      <c r="Q39" s="681"/>
      <c r="R39" s="681"/>
      <c r="S39" s="681"/>
      <c r="T39" s="681"/>
      <c r="U39" s="681"/>
      <c r="V39" s="681"/>
      <c r="W39" s="681"/>
      <c r="X39" s="681"/>
      <c r="Y39" s="47"/>
      <c r="Z39" s="23"/>
    </row>
    <row r="40" spans="1:26" ht="12" hidden="1" customHeight="1">
      <c r="A40" s="23"/>
      <c r="B40" s="23"/>
      <c r="C40" s="25"/>
      <c r="D40" s="24"/>
      <c r="E40" s="682"/>
      <c r="F40" s="682"/>
      <c r="G40" s="682"/>
      <c r="H40" s="682"/>
      <c r="I40" s="682"/>
      <c r="J40" s="682"/>
      <c r="K40" s="682"/>
      <c r="L40" s="682"/>
      <c r="M40" s="682"/>
      <c r="N40" s="682"/>
      <c r="O40" s="682"/>
      <c r="P40" s="682"/>
      <c r="Q40" s="682"/>
      <c r="R40" s="682"/>
      <c r="S40" s="682"/>
      <c r="T40" s="682"/>
      <c r="U40" s="682"/>
      <c r="V40" s="682"/>
      <c r="W40" s="682"/>
      <c r="X40" s="682"/>
      <c r="Y40" s="47"/>
      <c r="Z40" s="23"/>
    </row>
    <row r="41" spans="1:26" ht="38.25" hidden="1" customHeight="1">
      <c r="A41" s="23"/>
      <c r="B41" s="23"/>
      <c r="C41" s="25"/>
      <c r="D41" s="24"/>
      <c r="E41" s="681"/>
      <c r="F41" s="681"/>
      <c r="G41" s="681"/>
      <c r="H41" s="681"/>
      <c r="I41" s="681"/>
      <c r="J41" s="681"/>
      <c r="K41" s="681"/>
      <c r="L41" s="681"/>
      <c r="M41" s="681"/>
      <c r="N41" s="681"/>
      <c r="O41" s="681"/>
      <c r="P41" s="681"/>
      <c r="Q41" s="681"/>
      <c r="R41" s="681"/>
      <c r="S41" s="681"/>
      <c r="T41" s="681"/>
      <c r="U41" s="681"/>
      <c r="V41" s="681"/>
      <c r="W41" s="681"/>
      <c r="X41" s="681"/>
      <c r="Y41" s="47"/>
      <c r="Z41" s="23"/>
    </row>
    <row r="42" spans="1:26" ht="15" hidden="1">
      <c r="A42" s="23"/>
      <c r="B42" s="23"/>
      <c r="C42" s="25"/>
      <c r="D42" s="24"/>
      <c r="E42" s="681"/>
      <c r="F42" s="681"/>
      <c r="G42" s="681"/>
      <c r="H42" s="681"/>
      <c r="I42" s="681"/>
      <c r="J42" s="681"/>
      <c r="K42" s="681"/>
      <c r="L42" s="681"/>
      <c r="M42" s="681"/>
      <c r="N42" s="681"/>
      <c r="O42" s="681"/>
      <c r="P42" s="681"/>
      <c r="Q42" s="681"/>
      <c r="R42" s="681"/>
      <c r="S42" s="681"/>
      <c r="T42" s="681"/>
      <c r="U42" s="681"/>
      <c r="V42" s="681"/>
      <c r="W42" s="681"/>
      <c r="X42" s="681"/>
      <c r="Y42" s="47"/>
      <c r="Z42" s="23"/>
    </row>
    <row r="43" spans="1:26" ht="15" hidden="1">
      <c r="A43" s="23"/>
      <c r="B43" s="23"/>
      <c r="C43" s="25"/>
      <c r="D43" s="24"/>
      <c r="E43" s="681"/>
      <c r="F43" s="681"/>
      <c r="G43" s="681"/>
      <c r="H43" s="681"/>
      <c r="I43" s="681"/>
      <c r="J43" s="681"/>
      <c r="K43" s="681"/>
      <c r="L43" s="681"/>
      <c r="M43" s="681"/>
      <c r="N43" s="681"/>
      <c r="O43" s="681"/>
      <c r="P43" s="681"/>
      <c r="Q43" s="681"/>
      <c r="R43" s="681"/>
      <c r="S43" s="681"/>
      <c r="T43" s="681"/>
      <c r="U43" s="681"/>
      <c r="V43" s="681"/>
      <c r="W43" s="681"/>
      <c r="X43" s="681"/>
      <c r="Y43" s="47"/>
      <c r="Z43" s="23"/>
    </row>
    <row r="44" spans="1:26" ht="33.75" hidden="1" customHeight="1">
      <c r="A44" s="23"/>
      <c r="B44" s="23"/>
      <c r="C44" s="25"/>
      <c r="D44" s="25"/>
      <c r="E44" s="681"/>
      <c r="F44" s="681"/>
      <c r="G44" s="681"/>
      <c r="H44" s="681"/>
      <c r="I44" s="681"/>
      <c r="J44" s="681"/>
      <c r="K44" s="681"/>
      <c r="L44" s="681"/>
      <c r="M44" s="681"/>
      <c r="N44" s="681"/>
      <c r="O44" s="681"/>
      <c r="P44" s="681"/>
      <c r="Q44" s="681"/>
      <c r="R44" s="681"/>
      <c r="S44" s="681"/>
      <c r="T44" s="681"/>
      <c r="U44" s="681"/>
      <c r="V44" s="681"/>
      <c r="W44" s="681"/>
      <c r="X44" s="681"/>
      <c r="Y44" s="47"/>
      <c r="Z44" s="23"/>
    </row>
    <row r="45" spans="1:26" ht="15" hidden="1">
      <c r="A45" s="23"/>
      <c r="B45" s="23"/>
      <c r="C45" s="25"/>
      <c r="D45" s="25"/>
      <c r="E45" s="681"/>
      <c r="F45" s="681"/>
      <c r="G45" s="681"/>
      <c r="H45" s="681"/>
      <c r="I45" s="681"/>
      <c r="J45" s="681"/>
      <c r="K45" s="681"/>
      <c r="L45" s="681"/>
      <c r="M45" s="681"/>
      <c r="N45" s="681"/>
      <c r="O45" s="681"/>
      <c r="P45" s="681"/>
      <c r="Q45" s="681"/>
      <c r="R45" s="681"/>
      <c r="S45" s="681"/>
      <c r="T45" s="681"/>
      <c r="U45" s="681"/>
      <c r="V45" s="681"/>
      <c r="W45" s="681"/>
      <c r="X45" s="681"/>
      <c r="Y45" s="47"/>
      <c r="Z45" s="23"/>
    </row>
    <row r="46" spans="1:26" ht="24" hidden="1" customHeight="1">
      <c r="A46" s="23"/>
      <c r="B46" s="23"/>
      <c r="C46" s="25"/>
      <c r="D46" s="24"/>
      <c r="E46" s="685" t="s">
        <v>166</v>
      </c>
      <c r="F46" s="685"/>
      <c r="G46" s="685"/>
      <c r="H46" s="685"/>
      <c r="I46" s="685"/>
      <c r="J46" s="685"/>
      <c r="K46" s="685"/>
      <c r="L46" s="685"/>
      <c r="M46" s="685"/>
      <c r="N46" s="685"/>
      <c r="O46" s="685"/>
      <c r="P46" s="685"/>
      <c r="Q46" s="685"/>
      <c r="R46" s="685"/>
      <c r="S46" s="685"/>
      <c r="T46" s="685"/>
      <c r="U46" s="685"/>
      <c r="V46" s="685"/>
      <c r="W46" s="685"/>
      <c r="X46" s="685"/>
      <c r="Y46" s="47"/>
      <c r="Z46" s="23"/>
    </row>
    <row r="47" spans="1:26" ht="37.5" hidden="1" customHeight="1">
      <c r="A47" s="23"/>
      <c r="B47" s="23"/>
      <c r="C47" s="25"/>
      <c r="D47" s="24"/>
      <c r="E47" s="685"/>
      <c r="F47" s="685"/>
      <c r="G47" s="685"/>
      <c r="H47" s="685"/>
      <c r="I47" s="685"/>
      <c r="J47" s="685"/>
      <c r="K47" s="685"/>
      <c r="L47" s="685"/>
      <c r="M47" s="685"/>
      <c r="N47" s="685"/>
      <c r="O47" s="685"/>
      <c r="P47" s="685"/>
      <c r="Q47" s="685"/>
      <c r="R47" s="685"/>
      <c r="S47" s="685"/>
      <c r="T47" s="685"/>
      <c r="U47" s="685"/>
      <c r="V47" s="685"/>
      <c r="W47" s="685"/>
      <c r="X47" s="685"/>
      <c r="Y47" s="47"/>
      <c r="Z47" s="23"/>
    </row>
    <row r="48" spans="1:26" ht="28.15" hidden="1" customHeight="1">
      <c r="A48" s="23"/>
      <c r="B48" s="23"/>
      <c r="C48" s="25"/>
      <c r="D48" s="24"/>
      <c r="E48" s="685"/>
      <c r="F48" s="685"/>
      <c r="G48" s="685"/>
      <c r="H48" s="685"/>
      <c r="I48" s="685"/>
      <c r="J48" s="685"/>
      <c r="K48" s="685"/>
      <c r="L48" s="685"/>
      <c r="M48" s="685"/>
      <c r="N48" s="685"/>
      <c r="O48" s="685"/>
      <c r="P48" s="685"/>
      <c r="Q48" s="685"/>
      <c r="R48" s="685"/>
      <c r="S48" s="685"/>
      <c r="T48" s="685"/>
      <c r="U48" s="685"/>
      <c r="V48" s="685"/>
      <c r="W48" s="685"/>
      <c r="X48" s="685"/>
      <c r="Y48" s="47"/>
      <c r="Z48" s="23"/>
    </row>
    <row r="49" spans="1:26" ht="51" hidden="1" customHeight="1">
      <c r="A49" s="23"/>
      <c r="B49" s="23"/>
      <c r="C49" s="25"/>
      <c r="D49" s="24"/>
      <c r="E49" s="685"/>
      <c r="F49" s="685"/>
      <c r="G49" s="685"/>
      <c r="H49" s="685"/>
      <c r="I49" s="685"/>
      <c r="J49" s="685"/>
      <c r="K49" s="685"/>
      <c r="L49" s="685"/>
      <c r="M49" s="685"/>
      <c r="N49" s="685"/>
      <c r="O49" s="685"/>
      <c r="P49" s="685"/>
      <c r="Q49" s="685"/>
      <c r="R49" s="685"/>
      <c r="S49" s="685"/>
      <c r="T49" s="685"/>
      <c r="U49" s="685"/>
      <c r="V49" s="685"/>
      <c r="W49" s="685"/>
      <c r="X49" s="685"/>
      <c r="Y49" s="47"/>
      <c r="Z49" s="23"/>
    </row>
    <row r="50" spans="1:26" ht="15" hidden="1">
      <c r="A50" s="23"/>
      <c r="B50" s="23"/>
      <c r="C50" s="25"/>
      <c r="D50" s="24"/>
      <c r="E50" s="685"/>
      <c r="F50" s="685"/>
      <c r="G50" s="685"/>
      <c r="H50" s="685"/>
      <c r="I50" s="685"/>
      <c r="J50" s="685"/>
      <c r="K50" s="685"/>
      <c r="L50" s="685"/>
      <c r="M50" s="685"/>
      <c r="N50" s="685"/>
      <c r="O50" s="685"/>
      <c r="P50" s="685"/>
      <c r="Q50" s="685"/>
      <c r="R50" s="685"/>
      <c r="S50" s="685"/>
      <c r="T50" s="685"/>
      <c r="U50" s="685"/>
      <c r="V50" s="685"/>
      <c r="W50" s="685"/>
      <c r="X50" s="685"/>
      <c r="Y50" s="47"/>
      <c r="Z50" s="23"/>
    </row>
    <row r="51" spans="1:26" ht="15" hidden="1">
      <c r="A51" s="23"/>
      <c r="B51" s="23"/>
      <c r="C51" s="25"/>
      <c r="D51" s="24"/>
      <c r="E51" s="685"/>
      <c r="F51" s="685"/>
      <c r="G51" s="685"/>
      <c r="H51" s="685"/>
      <c r="I51" s="685"/>
      <c r="J51" s="685"/>
      <c r="K51" s="685"/>
      <c r="L51" s="685"/>
      <c r="M51" s="685"/>
      <c r="N51" s="685"/>
      <c r="O51" s="685"/>
      <c r="P51" s="685"/>
      <c r="Q51" s="685"/>
      <c r="R51" s="685"/>
      <c r="S51" s="685"/>
      <c r="T51" s="685"/>
      <c r="U51" s="685"/>
      <c r="V51" s="685"/>
      <c r="W51" s="685"/>
      <c r="X51" s="685"/>
      <c r="Y51" s="47"/>
      <c r="Z51" s="23"/>
    </row>
    <row r="52" spans="1:26" ht="15" hidden="1">
      <c r="A52" s="23"/>
      <c r="B52" s="23"/>
      <c r="C52" s="25"/>
      <c r="D52" s="24"/>
      <c r="E52" s="685"/>
      <c r="F52" s="685"/>
      <c r="G52" s="685"/>
      <c r="H52" s="685"/>
      <c r="I52" s="685"/>
      <c r="J52" s="685"/>
      <c r="K52" s="685"/>
      <c r="L52" s="685"/>
      <c r="M52" s="685"/>
      <c r="N52" s="685"/>
      <c r="O52" s="685"/>
      <c r="P52" s="685"/>
      <c r="Q52" s="685"/>
      <c r="R52" s="685"/>
      <c r="S52" s="685"/>
      <c r="T52" s="685"/>
      <c r="U52" s="685"/>
      <c r="V52" s="685"/>
      <c r="W52" s="685"/>
      <c r="X52" s="685"/>
      <c r="Y52" s="47"/>
      <c r="Z52" s="23"/>
    </row>
    <row r="53" spans="1:26" ht="15" hidden="1">
      <c r="A53" s="23"/>
      <c r="B53" s="23"/>
      <c r="C53" s="25"/>
      <c r="D53" s="24"/>
      <c r="E53" s="685"/>
      <c r="F53" s="685"/>
      <c r="G53" s="685"/>
      <c r="H53" s="685"/>
      <c r="I53" s="685"/>
      <c r="J53" s="685"/>
      <c r="K53" s="685"/>
      <c r="L53" s="685"/>
      <c r="M53" s="685"/>
      <c r="N53" s="685"/>
      <c r="O53" s="685"/>
      <c r="P53" s="685"/>
      <c r="Q53" s="685"/>
      <c r="R53" s="685"/>
      <c r="S53" s="685"/>
      <c r="T53" s="685"/>
      <c r="U53" s="685"/>
      <c r="V53" s="685"/>
      <c r="W53" s="685"/>
      <c r="X53" s="685"/>
      <c r="Y53" s="47"/>
      <c r="Z53" s="23"/>
    </row>
    <row r="54" spans="1:26" ht="15" hidden="1">
      <c r="A54" s="23"/>
      <c r="B54" s="23"/>
      <c r="C54" s="25"/>
      <c r="D54" s="24"/>
      <c r="E54" s="685"/>
      <c r="F54" s="685"/>
      <c r="G54" s="685"/>
      <c r="H54" s="685"/>
      <c r="I54" s="685"/>
      <c r="J54" s="685"/>
      <c r="K54" s="685"/>
      <c r="L54" s="685"/>
      <c r="M54" s="685"/>
      <c r="N54" s="685"/>
      <c r="O54" s="685"/>
      <c r="P54" s="685"/>
      <c r="Q54" s="685"/>
      <c r="R54" s="685"/>
      <c r="S54" s="685"/>
      <c r="T54" s="685"/>
      <c r="U54" s="685"/>
      <c r="V54" s="685"/>
      <c r="W54" s="685"/>
      <c r="X54" s="685"/>
      <c r="Y54" s="47"/>
      <c r="Z54" s="23"/>
    </row>
    <row r="55" spans="1:26" ht="15" hidden="1">
      <c r="A55" s="23"/>
      <c r="B55" s="23"/>
      <c r="C55" s="25"/>
      <c r="D55" s="24"/>
      <c r="E55" s="685"/>
      <c r="F55" s="685"/>
      <c r="G55" s="685"/>
      <c r="H55" s="685"/>
      <c r="I55" s="685"/>
      <c r="J55" s="685"/>
      <c r="K55" s="685"/>
      <c r="L55" s="685"/>
      <c r="M55" s="685"/>
      <c r="N55" s="685"/>
      <c r="O55" s="685"/>
      <c r="P55" s="685"/>
      <c r="Q55" s="685"/>
      <c r="R55" s="685"/>
      <c r="S55" s="685"/>
      <c r="T55" s="685"/>
      <c r="U55" s="685"/>
      <c r="V55" s="685"/>
      <c r="W55" s="685"/>
      <c r="X55" s="685"/>
      <c r="Y55" s="47"/>
      <c r="Z55" s="23"/>
    </row>
    <row r="56" spans="1:26" ht="25.5" hidden="1" customHeight="1">
      <c r="A56" s="23"/>
      <c r="B56" s="23"/>
      <c r="C56" s="25"/>
      <c r="D56" s="25"/>
      <c r="E56" s="685"/>
      <c r="F56" s="685"/>
      <c r="G56" s="685"/>
      <c r="H56" s="685"/>
      <c r="I56" s="685"/>
      <c r="J56" s="685"/>
      <c r="K56" s="685"/>
      <c r="L56" s="685"/>
      <c r="M56" s="685"/>
      <c r="N56" s="685"/>
      <c r="O56" s="685"/>
      <c r="P56" s="685"/>
      <c r="Q56" s="685"/>
      <c r="R56" s="685"/>
      <c r="S56" s="685"/>
      <c r="T56" s="685"/>
      <c r="U56" s="685"/>
      <c r="V56" s="685"/>
      <c r="W56" s="685"/>
      <c r="X56" s="685"/>
      <c r="Y56" s="47"/>
      <c r="Z56" s="23"/>
    </row>
    <row r="57" spans="1:26" ht="15" hidden="1">
      <c r="A57" s="23"/>
      <c r="B57" s="23"/>
      <c r="C57" s="25"/>
      <c r="D57" s="25"/>
      <c r="E57" s="685"/>
      <c r="F57" s="685"/>
      <c r="G57" s="685"/>
      <c r="H57" s="685"/>
      <c r="I57" s="685"/>
      <c r="J57" s="685"/>
      <c r="K57" s="685"/>
      <c r="L57" s="685"/>
      <c r="M57" s="685"/>
      <c r="N57" s="685"/>
      <c r="O57" s="685"/>
      <c r="P57" s="685"/>
      <c r="Q57" s="685"/>
      <c r="R57" s="685"/>
      <c r="S57" s="685"/>
      <c r="T57" s="685"/>
      <c r="U57" s="685"/>
      <c r="V57" s="685"/>
      <c r="W57" s="685"/>
      <c r="X57" s="685"/>
      <c r="Y57" s="47"/>
      <c r="Z57" s="23"/>
    </row>
    <row r="58" spans="1:26" ht="15" hidden="1" customHeight="1">
      <c r="A58" s="23"/>
      <c r="B58" s="23"/>
      <c r="C58" s="25"/>
      <c r="D58" s="24"/>
      <c r="E58" s="683"/>
      <c r="F58" s="683"/>
      <c r="G58" s="683"/>
      <c r="H58" s="684"/>
      <c r="I58" s="684"/>
      <c r="J58" s="684"/>
      <c r="K58" s="684"/>
      <c r="L58" s="684"/>
      <c r="M58" s="684"/>
      <c r="N58" s="684"/>
      <c r="O58" s="684"/>
      <c r="P58" s="684"/>
      <c r="Q58" s="684"/>
      <c r="R58" s="684"/>
      <c r="S58" s="684"/>
      <c r="T58" s="684"/>
      <c r="U58" s="684"/>
      <c r="V58" s="684"/>
      <c r="W58" s="684"/>
      <c r="X58" s="684"/>
      <c r="Y58" s="47"/>
      <c r="Z58" s="23"/>
    </row>
    <row r="59" spans="1:26" ht="15" hidden="1" customHeight="1">
      <c r="A59" s="23"/>
      <c r="B59" s="23"/>
      <c r="C59" s="25"/>
      <c r="D59" s="24"/>
      <c r="E59" s="687" t="s">
        <v>178</v>
      </c>
      <c r="F59" s="687"/>
      <c r="G59" s="687"/>
      <c r="H59" s="687"/>
      <c r="I59" s="687"/>
      <c r="J59" s="687"/>
      <c r="K59" s="687"/>
      <c r="L59" s="687"/>
      <c r="M59" s="687"/>
      <c r="N59" s="687"/>
      <c r="O59" s="687"/>
      <c r="P59" s="687"/>
      <c r="Q59" s="687"/>
      <c r="R59" s="687"/>
      <c r="S59" s="687"/>
      <c r="T59" s="687"/>
      <c r="U59" s="687"/>
      <c r="V59" s="687"/>
      <c r="W59" s="687"/>
      <c r="X59" s="687"/>
      <c r="Y59" s="47"/>
      <c r="Z59" s="23"/>
    </row>
    <row r="60" spans="1:26" ht="15" hidden="1" customHeight="1">
      <c r="A60" s="23"/>
      <c r="B60" s="23"/>
      <c r="C60" s="25"/>
      <c r="D60" s="24"/>
      <c r="E60" s="692"/>
      <c r="F60" s="692"/>
      <c r="G60" s="692"/>
      <c r="H60" s="684"/>
      <c r="I60" s="684"/>
      <c r="J60" s="684"/>
      <c r="K60" s="684"/>
      <c r="L60" s="684"/>
      <c r="M60" s="684"/>
      <c r="N60" s="684"/>
      <c r="O60" s="684"/>
      <c r="P60" s="684"/>
      <c r="Q60" s="684"/>
      <c r="R60" s="684"/>
      <c r="S60" s="684"/>
      <c r="T60" s="684"/>
      <c r="U60" s="684"/>
      <c r="V60" s="684"/>
      <c r="W60" s="684"/>
      <c r="X60" s="684"/>
      <c r="Y60" s="47"/>
      <c r="Z60" s="23"/>
    </row>
    <row r="61" spans="1:26" ht="15" hidden="1">
      <c r="A61" s="23"/>
      <c r="B61" s="23"/>
      <c r="C61" s="25"/>
      <c r="D61" s="24"/>
      <c r="E61" s="32"/>
      <c r="F61" s="31"/>
      <c r="G61" s="33"/>
      <c r="H61" s="683"/>
      <c r="I61" s="683"/>
      <c r="J61" s="683"/>
      <c r="K61" s="683"/>
      <c r="L61" s="683"/>
      <c r="M61" s="683"/>
      <c r="N61" s="683"/>
      <c r="O61" s="683"/>
      <c r="P61" s="683"/>
      <c r="Q61" s="683"/>
      <c r="R61" s="683"/>
      <c r="S61" s="683"/>
      <c r="T61" s="683"/>
      <c r="U61" s="683"/>
      <c r="V61" s="683"/>
      <c r="W61" s="683"/>
      <c r="X61" s="683"/>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670" t="s">
        <v>1165</v>
      </c>
      <c r="F70" s="670"/>
      <c r="G70" s="670"/>
      <c r="H70" s="670"/>
      <c r="I70" s="670"/>
      <c r="J70" s="670"/>
      <c r="K70" s="670"/>
      <c r="L70" s="670"/>
      <c r="M70" s="670"/>
      <c r="N70" s="670"/>
      <c r="O70" s="670"/>
      <c r="P70" s="670"/>
      <c r="Q70" s="670"/>
      <c r="R70" s="670"/>
      <c r="S70" s="670"/>
      <c r="T70" s="670"/>
      <c r="U70" s="670"/>
      <c r="V70" s="670"/>
      <c r="W70" s="670"/>
      <c r="X70" s="670"/>
      <c r="Y70" s="670"/>
      <c r="Z70" s="23"/>
    </row>
    <row r="71" spans="1:26" ht="29.25" hidden="1" customHeight="1">
      <c r="A71" s="23"/>
      <c r="B71" s="23"/>
      <c r="C71" s="25"/>
      <c r="D71" s="24"/>
      <c r="E71" s="670"/>
      <c r="F71" s="670"/>
      <c r="G71" s="670"/>
      <c r="H71" s="670"/>
      <c r="I71" s="670"/>
      <c r="J71" s="670"/>
      <c r="K71" s="670"/>
      <c r="L71" s="670"/>
      <c r="M71" s="670"/>
      <c r="N71" s="670"/>
      <c r="O71" s="670"/>
      <c r="P71" s="670"/>
      <c r="Q71" s="670"/>
      <c r="R71" s="670"/>
      <c r="S71" s="670"/>
      <c r="T71" s="670"/>
      <c r="U71" s="670"/>
      <c r="V71" s="670"/>
      <c r="W71" s="670"/>
      <c r="X71" s="670"/>
      <c r="Y71" s="670"/>
      <c r="Z71" s="23"/>
    </row>
    <row r="72" spans="1:26" ht="27" hidden="1" customHeight="1">
      <c r="A72" s="23"/>
      <c r="B72" s="23"/>
      <c r="C72" s="25"/>
      <c r="D72" s="24"/>
      <c r="E72" s="670"/>
      <c r="F72" s="670"/>
      <c r="G72" s="670"/>
      <c r="H72" s="670"/>
      <c r="I72" s="670"/>
      <c r="J72" s="670"/>
      <c r="K72" s="670"/>
      <c r="L72" s="670"/>
      <c r="M72" s="670"/>
      <c r="N72" s="670"/>
      <c r="O72" s="670"/>
      <c r="P72" s="670"/>
      <c r="Q72" s="670"/>
      <c r="R72" s="670"/>
      <c r="S72" s="670"/>
      <c r="T72" s="670"/>
      <c r="U72" s="670"/>
      <c r="V72" s="670"/>
      <c r="W72" s="670"/>
      <c r="X72" s="670"/>
      <c r="Y72" s="670"/>
      <c r="Z72" s="23"/>
    </row>
    <row r="73" spans="1:26" ht="36" hidden="1" customHeight="1">
      <c r="A73" s="23"/>
      <c r="B73" s="23"/>
      <c r="C73" s="25"/>
      <c r="D73" s="24"/>
      <c r="E73" s="670"/>
      <c r="F73" s="670"/>
      <c r="G73" s="670"/>
      <c r="H73" s="670"/>
      <c r="I73" s="670"/>
      <c r="J73" s="670"/>
      <c r="K73" s="670"/>
      <c r="L73" s="670"/>
      <c r="M73" s="670"/>
      <c r="N73" s="670"/>
      <c r="O73" s="670"/>
      <c r="P73" s="670"/>
      <c r="Q73" s="670"/>
      <c r="R73" s="670"/>
      <c r="S73" s="670"/>
      <c r="T73" s="670"/>
      <c r="U73" s="670"/>
      <c r="V73" s="670"/>
      <c r="W73" s="670"/>
      <c r="X73" s="670"/>
      <c r="Y73" s="670"/>
      <c r="Z73" s="23"/>
    </row>
    <row r="74" spans="1:26" ht="15" hidden="1" customHeight="1">
      <c r="A74" s="23"/>
      <c r="B74" s="23"/>
      <c r="C74" s="25"/>
      <c r="D74" s="24"/>
      <c r="E74" s="670"/>
      <c r="F74" s="670"/>
      <c r="G74" s="670"/>
      <c r="H74" s="670"/>
      <c r="I74" s="670"/>
      <c r="J74" s="670"/>
      <c r="K74" s="670"/>
      <c r="L74" s="670"/>
      <c r="M74" s="670"/>
      <c r="N74" s="670"/>
      <c r="O74" s="670"/>
      <c r="P74" s="670"/>
      <c r="Q74" s="670"/>
      <c r="R74" s="670"/>
      <c r="S74" s="670"/>
      <c r="T74" s="670"/>
      <c r="U74" s="670"/>
      <c r="V74" s="670"/>
      <c r="W74" s="670"/>
      <c r="X74" s="670"/>
      <c r="Y74" s="670"/>
      <c r="Z74" s="23"/>
    </row>
    <row r="75" spans="1:26" ht="131.25" hidden="1" customHeight="1">
      <c r="A75" s="23"/>
      <c r="B75" s="23"/>
      <c r="C75" s="25"/>
      <c r="D75" s="24"/>
      <c r="E75" s="670"/>
      <c r="F75" s="670"/>
      <c r="G75" s="670"/>
      <c r="H75" s="670"/>
      <c r="I75" s="670"/>
      <c r="J75" s="670"/>
      <c r="K75" s="670"/>
      <c r="L75" s="670"/>
      <c r="M75" s="670"/>
      <c r="N75" s="670"/>
      <c r="O75" s="670"/>
      <c r="P75" s="670"/>
      <c r="Q75" s="670"/>
      <c r="R75" s="670"/>
      <c r="S75" s="670"/>
      <c r="T75" s="670"/>
      <c r="U75" s="670"/>
      <c r="V75" s="670"/>
      <c r="W75" s="670"/>
      <c r="X75" s="670"/>
      <c r="Y75" s="670"/>
      <c r="Z75" s="23"/>
    </row>
    <row r="76" spans="1:26" ht="15" hidden="1" customHeight="1">
      <c r="A76" s="23"/>
      <c r="B76" s="23"/>
      <c r="C76" s="25"/>
      <c r="D76" s="24"/>
      <c r="E76" s="683"/>
      <c r="F76" s="683"/>
      <c r="G76" s="683"/>
      <c r="H76" s="693"/>
      <c r="I76" s="693"/>
      <c r="J76" s="693"/>
      <c r="K76" s="693"/>
      <c r="L76" s="693"/>
      <c r="M76" s="693"/>
      <c r="N76" s="693"/>
      <c r="O76" s="693"/>
      <c r="P76" s="693"/>
      <c r="Q76" s="693"/>
      <c r="R76" s="693"/>
      <c r="S76" s="693"/>
      <c r="T76" s="693"/>
      <c r="U76" s="693"/>
      <c r="V76" s="693"/>
      <c r="W76" s="693"/>
      <c r="X76" s="693"/>
      <c r="Y76" s="47"/>
      <c r="Z76" s="23"/>
    </row>
    <row r="77" spans="1:26" ht="15" hidden="1" customHeight="1">
      <c r="A77" s="23"/>
      <c r="B77" s="23"/>
      <c r="C77" s="25"/>
      <c r="D77" s="24"/>
      <c r="E77" s="690"/>
      <c r="F77" s="690"/>
      <c r="G77" s="690"/>
      <c r="H77" s="690"/>
      <c r="I77" s="690"/>
      <c r="J77" s="690"/>
      <c r="K77" s="690"/>
      <c r="L77" s="690"/>
      <c r="M77" s="690"/>
      <c r="N77" s="690"/>
      <c r="O77" s="690"/>
      <c r="P77" s="690"/>
      <c r="Q77" s="690"/>
      <c r="R77" s="690"/>
      <c r="S77" s="690"/>
      <c r="T77" s="690"/>
      <c r="U77" s="690"/>
      <c r="V77" s="690"/>
      <c r="W77" s="46"/>
      <c r="X77" s="324"/>
      <c r="Y77" s="47"/>
      <c r="Z77" s="23"/>
    </row>
    <row r="78" spans="1:26" ht="15" hidden="1" customHeight="1">
      <c r="A78" s="23"/>
      <c r="B78" s="23"/>
      <c r="C78" s="25"/>
      <c r="D78" s="24"/>
      <c r="E78" s="691"/>
      <c r="F78" s="691"/>
      <c r="G78" s="691"/>
      <c r="H78" s="691"/>
      <c r="I78" s="691"/>
      <c r="J78" s="691"/>
      <c r="K78" s="691"/>
      <c r="L78" s="686"/>
      <c r="M78" s="686"/>
      <c r="N78" s="686"/>
      <c r="O78" s="686"/>
      <c r="P78" s="686"/>
      <c r="Q78" s="686"/>
      <c r="R78" s="686"/>
      <c r="S78" s="686"/>
      <c r="T78" s="686"/>
      <c r="U78" s="686"/>
      <c r="V78" s="686"/>
      <c r="W78" s="686"/>
      <c r="X78" s="43"/>
      <c r="Y78" s="47"/>
      <c r="Z78" s="23"/>
    </row>
    <row r="79" spans="1:26" ht="15" hidden="1" customHeight="1">
      <c r="A79" s="23"/>
      <c r="B79" s="23"/>
      <c r="C79" s="25"/>
      <c r="D79" s="24"/>
      <c r="E79" s="691"/>
      <c r="F79" s="691"/>
      <c r="G79" s="691"/>
      <c r="H79" s="691"/>
      <c r="I79" s="691"/>
      <c r="J79" s="691"/>
      <c r="K79" s="691"/>
      <c r="L79" s="686"/>
      <c r="M79" s="686"/>
      <c r="N79" s="686"/>
      <c r="O79" s="686"/>
      <c r="P79" s="686"/>
      <c r="Q79" s="686"/>
      <c r="R79" s="686"/>
      <c r="S79" s="686"/>
      <c r="T79" s="686"/>
      <c r="U79" s="686"/>
      <c r="V79" s="686"/>
      <c r="W79" s="686"/>
      <c r="X79" s="44"/>
      <c r="Y79" s="47"/>
      <c r="Z79" s="23"/>
    </row>
    <row r="80" spans="1:26" ht="15" hidden="1" customHeight="1">
      <c r="A80" s="23"/>
      <c r="B80" s="23"/>
      <c r="C80" s="25"/>
      <c r="D80" s="24"/>
      <c r="X80" s="44"/>
      <c r="Y80" s="47"/>
      <c r="Z80" s="23"/>
    </row>
    <row r="81" spans="1:27" ht="15" hidden="1" customHeight="1">
      <c r="A81" s="23"/>
      <c r="B81" s="23"/>
      <c r="C81" s="25"/>
      <c r="D81" s="24"/>
      <c r="E81" s="686"/>
      <c r="F81" s="686"/>
      <c r="G81" s="686"/>
      <c r="H81" s="686"/>
      <c r="I81" s="686"/>
      <c r="J81" s="686"/>
      <c r="K81" s="686"/>
      <c r="L81" s="686"/>
      <c r="M81" s="686"/>
      <c r="N81" s="686"/>
      <c r="O81" s="686"/>
      <c r="P81" s="686"/>
      <c r="Q81" s="686"/>
      <c r="R81" s="686"/>
      <c r="S81" s="686"/>
      <c r="T81" s="686"/>
      <c r="U81" s="686"/>
      <c r="V81" s="686"/>
      <c r="W81" s="686"/>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689" t="s">
        <v>167</v>
      </c>
      <c r="F93" s="689"/>
      <c r="G93" s="689"/>
      <c r="H93" s="689"/>
      <c r="I93" s="689"/>
      <c r="J93" s="689"/>
      <c r="K93" s="689"/>
      <c r="L93" s="689"/>
      <c r="M93" s="689"/>
      <c r="N93" s="689"/>
      <c r="O93" s="689"/>
      <c r="P93" s="689"/>
      <c r="Q93" s="689"/>
      <c r="R93" s="689"/>
      <c r="S93" s="689"/>
      <c r="T93" s="689"/>
      <c r="U93" s="689"/>
      <c r="V93" s="689"/>
      <c r="W93" s="689"/>
      <c r="X93" s="689"/>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688" t="s">
        <v>168</v>
      </c>
      <c r="G95" s="688"/>
      <c r="H95" s="688"/>
      <c r="I95" s="688"/>
      <c r="J95" s="688"/>
      <c r="K95" s="688"/>
      <c r="L95" s="688"/>
      <c r="M95" s="688"/>
      <c r="N95" s="688"/>
      <c r="O95" s="688"/>
      <c r="P95" s="688"/>
      <c r="Q95" s="688"/>
      <c r="R95" s="688"/>
      <c r="S95" s="688"/>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688" t="s">
        <v>170</v>
      </c>
      <c r="G97" s="688"/>
      <c r="H97" s="688"/>
      <c r="I97" s="688"/>
      <c r="J97" s="688"/>
      <c r="K97" s="688"/>
      <c r="L97" s="688"/>
      <c r="M97" s="688"/>
      <c r="N97" s="688"/>
      <c r="O97" s="688"/>
      <c r="P97" s="688"/>
      <c r="Q97" s="688"/>
      <c r="R97" s="688"/>
      <c r="S97" s="688"/>
      <c r="T97" s="688"/>
      <c r="U97" s="688"/>
      <c r="V97" s="688"/>
      <c r="W97" s="688"/>
      <c r="X97" s="688"/>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leftLabels="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68</vt:i4>
      </vt:variant>
      <vt:variant>
        <vt:lpstr>Именованные диапазоны</vt:lpstr>
      </vt:variant>
      <vt:variant>
        <vt:i4>318</vt:i4>
      </vt:variant>
    </vt:vector>
  </HeadingPairs>
  <TitlesOfParts>
    <vt:vector size="386"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Комментарии</vt:lpstr>
      <vt:lpstr>Проверка</vt:lpstr>
      <vt:lpstr>et_union</vt:lpstr>
      <vt:lpstr>TEHSHEET</vt:lpstr>
      <vt:lpstr>REESTR_TARIFF</vt:lpstr>
      <vt:lpstr>REESTR_OBJECT</vt:lpstr>
      <vt:lpstr>modList11</vt:lpstr>
      <vt:lpstr>REESTR_MO</vt:lpstr>
      <vt:lpstr>REESTR_ORG</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modfrmDPR</vt:lpstr>
      <vt:lpstr>modfrmSelectTemplate</vt:lpstr>
      <vt:lpstr>modList01</vt:lpstr>
      <vt:lpstr>modList05</vt:lpstr>
      <vt:lpstr>modList06</vt:lpstr>
      <vt:lpstr>modList09</vt:lpstr>
      <vt:lpstr>modList10</vt:lpstr>
      <vt:lpstr>modList16</vt:lpstr>
      <vt:lpstr>modList18</vt:lpstr>
      <vt:lpstr>modList19</vt:lpstr>
      <vt:lpstr>modList20</vt:lpstr>
      <vt:lpstr>modList21</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List19_LOAD_1</vt:lpstr>
      <vt:lpstr>List19_LOAD_2</vt:lpstr>
      <vt:lpstr>List19_vis_flags</vt:lpstr>
      <vt:lpstr>List20_LOAD_1</vt:lpstr>
      <vt:lpstr>List20_LOAD_2</vt:lpstr>
      <vt:lpstr>List20_vis_flags</vt:lpstr>
      <vt:lpstr>List21_LOAD_1</vt:lpstr>
      <vt:lpstr>List21_LOAD_2</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cp:lastModifiedBy>Аймятова Рамиля Камилевна</cp:lastModifiedBy>
  <cp:lastPrinted>2010-03-18T14:38:46Z</cp:lastPrinted>
  <dcterms:created xsi:type="dcterms:W3CDTF">2004-05-21T07:18:45Z</dcterms:created>
  <dcterms:modified xsi:type="dcterms:W3CDTF">2023-12-20T07:26:57Z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